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<sst xmlns="http://schemas.openxmlformats.org/spreadsheetml/2006/main" count="25709" uniqueCount="13173">
  <si>
    <t xml:space="preserve">DOI</t>
  </si>
  <si>
    <t xml:space="preserve">curated</t>
  </si>
  <si>
    <t xml:space="preserve">skip</t>
  </si>
  <si>
    <t xml:space="preserve">donor</t>
  </si>
  <si>
    <t xml:space="preserve">donor_smiles</t>
  </si>
  <si>
    <t xml:space="preserve">donor_coreferents</t>
  </si>
  <si>
    <t xml:space="preserve">fullerene_acceptor</t>
  </si>
  <si>
    <t xml:space="preserve">acceptor</t>
  </si>
  <si>
    <t xml:space="preserve">acceptor_smiles</t>
  </si>
  <si>
    <t xml:space="preserve">acceptor_coreferents</t>
  </si>
  <si>
    <t xml:space="preserve">power conversion efficiency</t>
  </si>
  <si>
    <t xml:space="preserve">open circuit voltage</t>
  </si>
  <si>
    <t xml:space="preserve">short circuit current</t>
  </si>
  <si>
    <t xml:space="preserve">fill factor</t>
  </si>
  <si>
    <t xml:space="preserve">property_metadata</t>
  </si>
  <si>
    <t xml:space="preserve">10.1039/c3ra47512c</t>
  </si>
  <si>
    <t xml:space="preserve">P3HT</t>
  </si>
  <si>
    <t xml:space="preserve">[*]c1cc(CCCCCC)c([*])s1</t>
  </si>
  <si>
    <t xml:space="preserve">['poly(3-hexylthiophene)', 'P3HT']</t>
  </si>
  <si>
    <t xml:space="preserve">PFDTBT-OC6</t>
  </si>
  <si>
    <t xml:space="preserve">CCCCCCCCC7(CCCCCCCC)c1cc([*])ccc1c6ccc(c5ccc(c3c(OCCCCCC)c(OCCCCCC)c(c2ccc([*])s2)c4nsnc34)s5)cc67</t>
  </si>
  <si>
    <t xml:space="preserve">["poly[2,7-(9,9'-octyl-fluorene)-alt-5,5-(4',7'-di-2-thienyl-5',6'-bis(hexyloxy)-2',1',3'-benzothiadiazole)]", 'PFDTBT-OC6']</t>
  </si>
  <si>
    <t xml:space="preserve">{"power conversion efficiency": {"entity_name": "power conversion efficiency", "entity_start": 97, "entity_end": 99, "property_value_start": 101, "property_value_end": 102, "property_numeric_value": 1.8, "property_unit": "%", "property_value_descriptor": ""}, "open circuit voltage": {"entity_name": "V_{OC}", "entity_start": 105, "entity_end": 106, "property_value_start": 108, "property_value_end": 109, "property_numeric_value": 1.36,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</si>
  <si>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10.1016/j.solmat.2014.08.039</t>
  </si>
  <si>
    <t xml:space="preserve">P3TI</t>
  </si>
  <si>
    <t xml:space="preserve">[*]c7ccc6c(=c4c(=O)n(CC(CCCCCC)CCCCCCCC)c5cc(c3cc(CCCCCCCC)c(c2ccc(c1sc([*])cc1CCCCCCCC)s2)s3)ccc45)c(=O)n(CC(CCCCCC)CCCCCCCC)c6c7</t>
  </si>
  <si>
    <t xml:space="preserve">['P3TI']</t>
  </si>
  <si>
    <t xml:space="preserve">PC_{71}BM</t>
  </si>
  <si>
    <t xml:space="preserve">['PC_{71}BM']</t>
  </si>
  <si>
    <t xml:space="preserve">{"power conversion efficiency": {"entity_name": "PCE", "entity_start": 194, "entity_end": 194, "property_value_start": 196, "property_value_end": 197, "property_numeric_value": 4.46,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</si>
  <si>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10.1039/c4ra11305e</t>
  </si>
  <si>
    <t xml:space="preserve">poly(3-hexylthiophene-2,5-diyl)</t>
  </si>
  <si>
    <t xml:space="preserve">['poly(3-hexylthiophene-2,5-diyl)']</t>
  </si>
  <si>
    <t xml:space="preserve">PCBM</t>
  </si>
  <si>
    <t xml:space="preserve">['PCBM']</t>
  </si>
  <si>
    <t xml:space="preserve">{"power conversion efficiency": {"entity_name": "PCE", "entity_start": 191, "entity_end": 191, "property_value_start": 194, "property_value_end": 195, "property_numeric_value": 2.86,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</si>
  <si>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10.1016/j.solmat.2009.07.005</t>
  </si>
  <si>
    <t xml:space="preserve">PBTDT</t>
  </si>
  <si>
    <t xml:space="preserve">CCCCCCCCCCCCc5cc(c4cc(CCCCCCCCCCCC)c(c3cc2sc1cc([*])sc1c2s3)s4)sc5[*]</t>
  </si>
  <si>
    <t xml:space="preserve">["poly(2,6-bis(3-alkylthiophen-2-yl)dithieno-[3,2-b;2',3'-d]thiophene)", 'PBTDT']</t>
  </si>
  <si>
    <t xml:space="preserve">[]</t>
  </si>
  <si>
    <t xml:space="preserve">{"power conversion efficiency": {"entity_name": "power conversion efficiency", "entity_start": 65, "entity_end": 67, "property_value_start": 69, "property_value_end": 70, "property_numeric_value": 0.42,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</si>
  <si>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10.1016/j.polymer.2015.04.058</t>
  </si>
  <si>
    <t xml:space="preserve">poly{4,8-bis(2,3-(dioctyl)thiophen-5-yl)-benzo[1,2-b:4,5-b′]difuran-alt-5,8-bis(thiophen-2-yl)-6,7-difluoro-2,3-bis(3-octyloxyphenyl) quinoxaline}</t>
  </si>
  <si>
    <t xml:space="preserve">[*]c%11cc%10c(c1cc(CCCCCCCC)c(CCCCCCCC)s1)c8oc(c7ccc(c5c(F)c(F)c(c2ccc([*])s2)c6nc(c3cccc(OCCCCCCCC)c3)c(c4cccc(OCCCCCCCC)c4)nc56)s7)cc8c(c9cc(CCCCCCCC)c(CCCCCCCC)s9)c%10o%11</t>
  </si>
  <si>
    <t xml:space="preserve">["poly{4,8-bis(2,3-(dioctyl)thiophen-5-yl)-benzo[1,2-b:4,5-b′]difuran-alt-5,8-bis(thiophen-2-yl)-6,7-difluoro-2,3-bis(3-octyloxyphenyl) quinoxaline}", 'P2']</t>
  </si>
  <si>
    <t xml:space="preserve">8.74 mA/cm^{2}</t>
  </si>
  <si>
    <t xml:space="preserve">{"power conversion efficiency": {"entity_name": "PCE", "entity_start": 186, "entity_end": 186, "property_value_start": 188, "property_value_end": 189, "property_numeric_value": 4.44,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</si>
  <si>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poly{4,8-bis(2,3-(dioctyl)thiophen-5-yl)-benzo[1,2-b:4,5-b′]difuran-alt-5,8-bis(thiophen-2-yl)-6-fluoro-2,3-bis(3-octyloxyphenyl) quinoxaline}</t>
  </si>
  <si>
    <t xml:space="preserve">[*]c%11cc%10c(c1cc(CCCCCCCC)c(CCCCCCCC)s1)c8oc(c7ccc(c5cc(F)c(c2ccc([*])s2)c6nc(c3cccc(OCCCCCCCC)c3)c(c4cccc(OCCCCCCCC)c4)nc56)s7)cc8c(c9cc(CCCCCCCC)c(CCCCCCCC)s9)c%10o%11</t>
  </si>
  <si>
    <t xml:space="preserve">["poly{4,8-bis(2,3-(dioctyl)thiophen-5-yl)-benzo[1,2-b:4,5-b']difuran-alt-5,8-bis(thiophen-2-yl)-6-fluoro-2,3-bis(3-octyloxyphenyl) quinoxaline}", 'P1']</t>
  </si>
  <si>
    <t xml:space="preserve">5.28 mA/cm^{2}</t>
  </si>
  <si>
    <t xml:space="preserve">10.1016/j.polymer.2009.09.004</t>
  </si>
  <si>
    <t xml:space="preserve">PTBTV</t>
  </si>
  <si>
    <t xml:space="preserve">CCCCCCc4cc(c2ccc(c1cc(CCCCCC)c([*])s1)c3nsnc23)sc4/C=C/[*]</t>
  </si>
  <si>
    <t xml:space="preserve">['Poly(thienylene-benzothiadiazole-thienylene-vinylene)', 'PTBTV']</t>
  </si>
  <si>
    <t xml:space="preserve">{"power conversion efficiency": {"entity_name": "power conversion efficiency", "entity_start": 112, "entity_end": 114, "property_value_start": 119, "property_value_end": 120, "property_numeric_value": 0.51, "property_unit": "%", "property_value_descriptor": ""}, "open circuit voltage": {}, "short circuit current": {}, "fill factor": {}, "highest occupied molecular orbital": {"entity_name": "HOMO", "entity_start": 74, "entity_end": 74, "property_value_start": 82, "property_value_end": 83, "property_numeric_value": -4.99, "property_unit": "eV", "property_value_descriptor": ""}, "lowest unoccupied molecular orbital": {"entity_name": "LUMO energy levels", "entity_start": 76, "entity_end": 78, "property_value_start": 85, "property_value_end": 86, "property_numeric_value": -3.49, "property_unit": "eV", "property_value_descriptor": ""}, "bandgap": {"entity_name": "bandgap", "entity_start": 68, "entity_end": 68, "property_value_start": 70, "property_value_end": 71, "property_numeric_value": 1.5, "property_unit": "eV", "property_value_descriptor": ""}, "hole mobility": {}, "electron mobility": {}, "external quantum efficiency": {}}</t>
  </si>
  <si>
    <t xml:space="preserve">10.1016/j.synthmet.2015.12.021</t>
  </si>
  <si>
    <t xml:space="preserve">poly-(3-hexylthiophene)</t>
  </si>
  <si>
    <t xml:space="preserve">['poly-(3-hexylthiophene)', 'P3HT']</t>
  </si>
  <si>
    <t xml:space="preserve">['[6,6]-phenyl-C_{61}-butyric acid methyl ester', 'PCBM']</t>
  </si>
  <si>
    <t xml:space="preserve">{"power conversion efficiency": {"entity_name": "power conversion efficiencies", "entity_start": 94, "entity_end": 96, "property_value_start": 103, "property_value_end": 104, "property_numeric_value": 90.0,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</si>
  <si>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10.1039/c5ta10192a</t>
  </si>
  <si>
    <t xml:space="preserve">PBDTTT-C-T</t>
  </si>
  <si>
    <t xml:space="preserve">CCCCC(CC)Cc7ccc(c5c3cc(c1sc([*])c2cc(C(=O)C(CC)CCCC)sc12)sc3c(c4ccc(CC(CC)CCCC)s4)c6cc([*])sc56)s7</t>
  </si>
  <si>
    <t xml:space="preserve">['PBDTTT-C-T']</t>
  </si>
  <si>
    <t xml:space="preserve">PC_{70}BM</t>
  </si>
  <si>
    <t xml:space="preserve">['PC_{70}BM']</t>
  </si>
  <si>
    <t xml:space="preserve">='0.76 V'</t>
  </si>
  <si>
    <t xml:space="preserve">='14.9 mA/cm^{2}'</t>
  </si>
  <si>
    <t xml:space="preserve">='64.1%'</t>
  </si>
  <si>
    <t xml:space="preserve">{"power conversion efficiency": {"entity_name": "PCE", "entity_start": 214, "entity_end": 214, "property_value_start": 216, "property_value_end": 217, "property_numeric_value": 8.81,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</si>
  <si>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10.1016/j.polymer.2012.10.025</t>
  </si>
  <si>
    <t xml:space="preserve">PBDTTDFTT</t>
  </si>
  <si>
    <t xml:space="preserve">[*]c9ccc(c8nc7sc(c6ccc(c5cc4c(c1cc(CCCCCC)c(CCCCCC)s1)c2sc([*])cc2c(c3cc(CCCCCC)c(CCCCCC)s3)c4s5)o6)nc7s8)o9</t>
  </si>
  <si>
    <t xml:space="preserve">['PBDTTDFTT']</t>
  </si>
  <si>
    <t xml:space="preserve">PC_{61}BM</t>
  </si>
  <si>
    <t xml:space="preserve">['PC_{61}BM']</t>
  </si>
  <si>
    <t xml:space="preserve">='6.97 mA/cm^{2}'</t>
  </si>
  <si>
    <t xml:space="preserve">='0.46'</t>
  </si>
  <si>
    <t xml:space="preserve">{"power conversion efficiency": {"entity_name": "power conversion efficiency", "entity_start": 102, "entity_end": 104, "property_value_start": 106, "property_value_end": 107, "property_numeric_value": 3.06, "property_unit": "%", "property_value_descriptor": ""}, "open circuit voltage": {"entity_name": "open-circuit voltage", "entity_start": 93, "entity_end": 96, "property_value_start": 98, "property_value_end": 99, "property_numeric_value": 0.83,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</si>
  <si>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PBDTODFTT</t>
  </si>
  <si>
    <t xml:space="preserve">[*]c7ccc(c6nc5sc(c4ccc(c3cc2c(OCC(CCCCCCCC)CCCCCCCCCC)c1sc([*])cc1c(OCC(CCCCCCCC)CCCCCCCCCC)c2s3)o4)nc5s6)o7</t>
  </si>
  <si>
    <t xml:space="preserve">['PBDTODFTT']</t>
  </si>
  <si>
    <t xml:space="preserve">10.1007/s11664-017-5605-7</t>
  </si>
  <si>
    <t xml:space="preserve">PTB7</t>
  </si>
  <si>
    <t xml:space="preserve">[*]c5cc4c(OCC(CC)CCCC)c3sc(c1sc([*])c2c(F)c(C(=O)OCC(CC)CCCC)sc12)cc3c(OCC(CC)CCCC)c4s5</t>
  </si>
  <si>
    <t xml:space="preserve">['PTB7']</t>
  </si>
  <si>
    <t xml:space="preserve">{"power conversion efficiency": {"entity_name": "power conversion efficiency", "entity_start": 105, "entity_end": 107, "property_value_start": 109, "property_value_end": 112, "property_numeric_value": 4.7,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</si>
  <si>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10.1016/j.orgel.2017.06.011</t>
  </si>
  <si>
    <t xml:space="preserve">PSBT-FTT</t>
  </si>
  <si>
    <t xml:space="preserve">[*]c9cc8c(c2ccc(c1ccc(SCCC(CCCCCC)CCCCCCCC)cc1)s2)c5sc(c3sc([*])c4c(F)c(C(=O)OCC(CC)CCCC)sc34)cc5c(c7ccc(c6ccc(SCC(CCCCCC)CCCCCCCC)cc6)s7)c8s9</t>
  </si>
  <si>
    <t xml:space="preserve">['PSBT-FTT']</t>
  </si>
  <si>
    <t xml:space="preserve">='0.8 V'</t>
  </si>
  <si>
    <t xml:space="preserve">='12.6 mA/cm^{2}'</t>
  </si>
  <si>
    <t xml:space="preserve">='0.7%'</t>
  </si>
  <si>
    <t xml:space="preserve">{"power conversion efficiency": {"entity_name": "PCE", "entity_start": 111, "entity_end": 111, "property_value_start": 123, "property_value_end": 124, "property_numeric_value": 4.83,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</si>
  <si>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PSB-FTT</t>
  </si>
  <si>
    <t xml:space="preserve">[*]c7cc6c(c1ccc(SCC(CCCCCC)CCCCCCCC)cc1)c4sc(c2sc([*])c3c(F)c(C(=O)OCC(CC)CCCC)sc23)cc4c(c5ccc(SCC(CCCCCC)CCCCCCCC)cc5)c6s7</t>
  </si>
  <si>
    <t xml:space="preserve">['PSB-FTT']</t>
  </si>
  <si>
    <t xml:space="preserve">10.1016/j.solmat.2017.10.020</t>
  </si>
  <si>
    <t xml:space="preserve">['poly(3-hexylthiophene)', 'P3HT', 'P3HT']</t>
  </si>
  <si>
    <t xml:space="preserve">{"power conversion efficiency": {"entity_name": "PCEs", "entity_start": 80, "entity_end": 80, "property_value_start": 86, "property_value_end": 89, "property_numeric_value": 2.44,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</si>
  <si>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10.1002/pola.28887</t>
  </si>
  <si>
    <t xml:space="preserve">='0.602 V'</t>
  </si>
  <si>
    <t xml:space="preserve">='8.29 mA/cm^{2}'</t>
  </si>
  <si>
    <t xml:space="preserve">='66.09%'</t>
  </si>
  <si>
    <t xml:space="preserve">{"power conversion efficiency": {"entity_name": "power conversion efficiency", "entity_start": 130, "entity_end": 132, "property_value_start": 151, "property_value_end": 152, "property_numeric_value": 3.33,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66, "entity_end": 67, "property_value_start": 69, "property_value_end": 74, "property_numeric_value": 0.39, "property_unit": "cm^{2} V^{-1} s^{-1}", "property_value_descriptor": ""}, "electron mobility": {}, "external quantum efficiency": {}}</t>
  </si>
  <si>
    <t xml:space="preserve">10.1016/j.jcis.2018.10.013</t>
  </si>
  <si>
    <t xml:space="preserve">PCDTBT</t>
  </si>
  <si>
    <t xml:space="preserve">[*]c7ccc6c5ccc(c4ccc(c2ccc(c1ccc([*])s1)c3nsnc23)s4)cc5n(C(CCCCCCCC)CCCCCCCC)c6c7</t>
  </si>
  <si>
    <t xml:space="preserve">['PCDTBT']</t>
  </si>
  <si>
    <t xml:space="preserve">{"power conversion efficiency": {"entity_name": "power conversion efficiency", "entity_start": 188, "entity_end": 190, "property_value_start": 192, "property_value_end": 193, "property_numeric_value": 7.05,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</si>
  <si>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10.1007/s10854-018-0127-5</t>
  </si>
  <si>
    <t xml:space="preserve">{"power conversion efficiency": {"entity_name": "PCE", "entity_start": 193, "entity_end": 193, "property_value_start": 208, "property_value_end": 209, "property_numeric_value": 5.66,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</si>
  <si>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10.1016/j.electacta.2017.11.085</t>
  </si>
  <si>
    <t xml:space="preserve">['P3HT']</t>
  </si>
  <si>
    <t xml:space="preserve">ICBA</t>
  </si>
  <si>
    <t xml:space="preserve">['ICBA']</t>
  </si>
  <si>
    <t xml:space="preserve">='0.84 V'</t>
  </si>
  <si>
    <t xml:space="preserve">='11.84 mA/cm^{2}'</t>
  </si>
  <si>
    <t xml:space="preserve">='65.23%'</t>
  </si>
  <si>
    <t xml:space="preserve">{"power conversion efficiency": {"entity_name": "PCE", "entity_start": 58, "entity_end": 58, "property_value_start": 66, "property_value_end": 67, "property_numeric_value": 6.49,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</si>
  <si>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10.1002/pola.28904</t>
  </si>
  <si>
    <t xml:space="preserve">P1</t>
  </si>
  <si>
    <t xml:space="preserve">[*]c1cc%14c(s1)c%13sc(c%11ccc(c2cc8c(s2)c7sc(c5ccc([*])c6nc(c3cccc(OCCCCCCCC)c3)c(c4cccc(OCCCCCCCC)c4)nc56)cc7[Si]8(CC(CC)CCCC)C(CC)CCCC)c%12nc(c9cccc(OCCCCCCCC)c9)c(c%10cccc(OCCCCCCCC)c%10)nc%11%12)cc%13[Si]%14(CC(CC)CCCC)CC(CC)CCCC</t>
  </si>
  <si>
    <t xml:space="preserve">['P1', 'P1-based']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</si>
  <si>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bandgaps", "entity_start": 57, "entity_end": 58, "property_value_start": 60, "property_value_end": 60, "property_numeric_value": 1.54, "property_unit": "eV", "property_value_descriptor": ""}, "hole mobility": {}, "electron mobility": {}, "external quantum efficiency": {}}</t>
  </si>
  <si>
    <t xml:space="preserve">P2</t>
  </si>
  <si>
    <t xml:space="preserve">[*]c1cc7c(s1)c6sc(c4ccc([*])c5nc(c2cccc(OCCCCCCCC)c2)c(c3cccc(OCCCCCCCC)c3)nc45)cc6[Si]7(CC(CC)CCCC)CC(CC)CCCC</t>
  </si>
  <si>
    <t xml:space="preserve">['P2']</t>
  </si>
  <si>
    <t xml:space="preserve">{"power conversion efficiency": {"entity_name": "PCE", "entity_start": 168, "entity_end": 168, "property_value_start": 174, "property_value_end": 175, "property_numeric_value": 6.57, "property_unit": "%", "property_value_descriptor": ""}, "open circuit voltage": {}, "short circuit current": {}, "fill factor": {}, "highest occupied molecular orbital": {}, "lowest unoccupied molecular orbital": {}, "bandgap": {"entity_name": "optical bandgaps", "entity_start": 57, "entity_end": 58, "property_value_start": 62, "property_value_end": 63, "property_numeric_value": 1.62, "property_unit": "eV", "property_value_descriptor": ""}, "hole mobility": {}, "electron mobility": {}, "external quantum efficiency": {}}</t>
  </si>
  <si>
    <t xml:space="preserve">10.1002/pat.4202</t>
  </si>
  <si>
    <t xml:space="preserve">['[6,6]-phenyl-C_{61}-butyricacid methyl ester', 'PC_{61}BM']</t>
  </si>
  <si>
    <t xml:space="preserve">='0.59 V'</t>
  </si>
  <si>
    <t xml:space="preserve">='62.94%'</t>
  </si>
  <si>
    <t xml:space="preserve">{"power conversion efficiency": {"entity_name": "PCE", "entity_start": 54, "entity_end": 54, "property_value_start": 63, "property_value_end": 64, "property_numeric_value": 3.75, "property_unit": "%", "property_value_descriptor": ""}, "open circuit voltage": {}, "short circuit current": {"entity_name": "Jsc", "entity_start": 104, "entity_end": 104, "property_value_start": 109, "property_value_end": 111, "property_numeric_value": 10.11, "property_unit": "mA*cm^{-2}",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</si>
  <si>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10.1039/c7tc05055k</t>
  </si>
  <si>
    <t xml:space="preserve">='0.768 V'</t>
  </si>
  <si>
    <t xml:space="preserve">='72.2%'</t>
  </si>
  <si>
    <t xml:space="preserve">{"power conversion efficiency": {"entity_name": "power conversion efficiency", "entity_start": 177, "entity_end": 179, "property_value_start": 182, "property_value_end": 183, "property_numeric_value": 9.19,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</si>
  <si>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10.1039/c6ra08385d</t>
  </si>
  <si>
    <t xml:space="preserve">P3HT-PEO</t>
  </si>
  <si>
    <t xml:space="preserve">[*]OCCOC(=O)c2ccc(c1ccc([*])s1)cc2</t>
  </si>
  <si>
    <t xml:space="preserve">['P3HT-PEO']</t>
  </si>
  <si>
    <t xml:space="preserve">0.6 V </t>
  </si>
  <si>
    <t xml:space="preserve">10.59 mA/cm^{2}</t>
  </si>
  <si>
    <t xml:space="preserve">{"power conversion efficiency": {"entity_name": "PCE", "entity_start": 147, "entity_end": 147, "property_value_start": 153, "property_value_end": 154, "property_numeric_value": 1.61,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</si>
  <si>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10.1016/s0040-6090(01)01585-1</t>
  </si>
  <si>
    <t xml:space="preserve">MEH-OPV5</t>
  </si>
  <si>
    <t xml:space="preserve">CCCCC(CC)COc3cc(/C=C/c2ccc(/C=C/c1ccccc1)cc2)c(OC)cc3/C=C/c5ccc(/C=C/c4ccccc4)cc5</t>
  </si>
  <si>
    <t xml:space="preserve">['MEH-OPV5']</t>
  </si>
  <si>
    <t xml:space="preserve">C_{60}</t>
  </si>
  <si>
    <t xml:space="preserve">['C_{60}']</t>
  </si>
  <si>
    <t xml:space="preserve">='6.3 mA/cm^{2}'</t>
  </si>
  <si>
    <t xml:space="preserve">='41%'</t>
  </si>
  <si>
    <t xml:space="preserve">{"power conversion efficiency": {"entity_name": "power conversion efficiency", "entity_start": 260, "entity_end": 262, "property_value_start": 264, "property_value_end": 265, "property_numeric_value": 2.2,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</si>
  <si>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10.1039/c6tc03948k</t>
  </si>
  <si>
    <t xml:space="preserve">{"power conversion efficiency": {"entity_name": "PCE", "entity_start": 159, "entity_end": 159, "property_value_start": 162, "property_value_end": 163, "property_numeric_value": 8.97,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</si>
  <si>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10.1039/c7ta04127f</t>
  </si>
  <si>
    <t xml:space="preserve">PBDCS</t>
  </si>
  <si>
    <t xml:space="preserve">[*]c8ccc(/C(C#N)=C/c7cc(OCC(CCCCCC)CCCCCCCC)c(/C=C(C#N)/c6ccc(c5cc4c(c1ccc(CC(CC)CCCC)s1)c2sc([*])cc2c(c3ccc(CC(CC)CCCC)s3)c4s5)s6)cc7OCC(CCCCCC)CCCCCCCC)s8</t>
  </si>
  <si>
    <t xml:space="preserve">['PBDCS']</t>
  </si>
  <si>
    <t xml:space="preserve">ITIC</t>
  </si>
  <si>
    <t xml:space="preserve">CCCCCCc%15ccc(C7(c1ccc(CCCCCC)cc1)c2cc%10c(cc2c6sc5cc(C=c4c(=O)c3ccccc3c4=C(C#N)C#N)sc5c67)C(c8ccc(CCCCCC)cc8)(c9ccc(CCCCCC)cc9)c%13c%10sc%14cc(C=c%12c(=O)c%11ccccc%11c%12=C(C#N)C#N)sc%13%14)cc%15</t>
  </si>
  <si>
    <t xml:space="preserve">['ITIC']</t>
  </si>
  <si>
    <t xml:space="preserve">{"power conversion efficiency": {"entity_name": "PCE", "entity_start": 191, "entity_end": 191, "property_value_start": 193, "property_value_end": 194, "property_numeric_value": 7.81, "property_unit": "%", "property_value_descriptor": ""}, "open circuit voltage": {"entity_name": "V_{OC}", "entity_start": 199, "entity_end": 200, "property_value_start": 202, "property_value_end": 203, "property_numeric_value": 1.08, "property_unit": "V", "property_value_descriptor": ""}, "short circuit current": {"entity_name": "J_{SC}", "entity_start": 206, "entity_end": 207, "property_value_start": 209, "property_value_end": 211, "property_numeric_value": 15.9, "property_unit": "mA cm^{-2}", "property_value_descriptor": ""}, "fill factor": {}, "highest occupied molecular orbital": {}, "lowest unoccupied molecular orbital": {}, "bandgap": {}, "hole mobility": {}, "electron mobility": {}, "external quantum efficiency": {"entity_name": "EQE_{max}", "entity_start": 230, "entity_end": 231, "property_value_start": 233, "property_value_end": 234, "property_numeric_value": 74.2, "property_unit": "%", "property_value_descriptor": ""}}</t>
  </si>
  <si>
    <t xml:space="preserve">0.95 V</t>
  </si>
  <si>
    <t xml:space="preserve">15 mA cm^{-2}</t>
  </si>
  <si>
    <t xml:space="preserve">10.1016/j.cap.2018.02.016</t>
  </si>
  <si>
    <t xml:space="preserve">='0.6 V'</t>
  </si>
  <si>
    <t xml:space="preserve">='7.54 mA/cm^{2}'</t>
  </si>
  <si>
    <t xml:space="preserve">='62%'</t>
  </si>
  <si>
    <t xml:space="preserve">{"power conversion efficiency": {"entity_name": "PCE", "entity_start": 182, "entity_end": 182, "property_value_start": 184, "property_value_end": 185, "property_numeric_value": 2.8,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</si>
  <si>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10.1016/j.polymer.2010.10.018</t>
  </si>
  <si>
    <t xml:space="preserve">PDFTP</t>
  </si>
  <si>
    <t xml:space="preserve">[*]CC([*])(C)C(=O)OCCCCCCCCCCOc8ccc(c7ccc(c6ccc5c4ccc(c3ccc(c2ccc(c1ccncc1)s2)s3)cc4C(CCCCCC)(CCCCCC)c5c6)s7)cc8</t>
  </si>
  <si>
    <t xml:space="preserve">['PDFTP']</t>
  </si>
  <si>
    <t xml:space="preserve">['PCBM', '[6,6]-phenyl C_{61}-butyric acid methyl ester']</t>
  </si>
  <si>
    <t xml:space="preserve">0.55 V</t>
  </si>
  <si>
    <t xml:space="preserve">1.9 mA/cm^{2}</t>
  </si>
  <si>
    <t xml:space="preserve">{"power conversion efficiency": {"entity_name": "PCE", "entity_start": 346, "entity_end": 346, "property_value_start": 348, "property_value_end": 349, "property_numeric_value": 0.02, "property_unit": "%", "property_value_descriptor": ""}, "open circuit voltage": {}, "short circuit current": {}, "fill factor": {"entity_name": "FF", "entity_start": 313, "entity_end": 313, "property_value_start": 316, "property_value_end": 317, "property_numeric_value": 29.0,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</si>
  <si>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D2</t>
  </si>
  <si>
    <t xml:space="preserve">CCCCCCc3cc(c2ccc(c1ccc(/C=C(C#N)/C(=O)O)s1)s2)sc3c4ccc9c(c4)c8cc(c7sc(c6ccc(c5ccc(/C=C(C#N)/C(=O)O)s5)s6)cc7CCCCCC)ccc8n9CCCCCC</t>
  </si>
  <si>
    <t xml:space="preserve">['D2']</t>
  </si>
  <si>
    <t xml:space="preserve">{"power conversion efficiency": {"entity_name": "PCE", "entity_start": 334, "entity_end": 334, "property_value_start": 336, "property_value_end": 337, "property_numeric_value": 0.15,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</si>
  <si>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10.1016/j.synthmet.2012.12.028</t>
  </si>
  <si>
    <t xml:space="preserve">PDTDPP-Oct</t>
  </si>
  <si>
    <t xml:space="preserve">[*]c7ccc(c6c5c(=O)n(CCCCCCCC)c(c4ccc(c3cc2sc1cc([*])sc1c2s3)s4)c5c(=O)n6CCCCCCCC)s7</t>
  </si>
  <si>
    <t xml:space="preserve">['polymer', 'PDTDPP-Oct']</t>
  </si>
  <si>
    <t xml:space="preserve">{"power conversion efficiency": {"entity_name": "power conversion efficiency", "entity_start": 182, "entity_end": 184, "property_value_start": 186, "property_value_end": 187, "property_numeric_value": 0.55, "property_unit": "%", "property_value_descriptor": ""}, "open circuit voltage": {"entity_name": "open circuit voltage", "entity_start": 166, "entity_end": 168, "property_value_start": 170, "property_value_end": 171, "property_numeric_value": 0.6, "property_unit": "V", "property_value_descriptor": ""}, "short circuit current": {"entity_name": "short circuit current", "entity_start": 155, "entity_end": 157, "property_value_start": 159, "property_value_end": 163, "property_numeric_value": -1.8, "property_unit": "mA/cm^{2}", "property_value_descriptor": ""}, "fill factor": {"entity_name": "fill factor", "entity_start": 175, "entity_end": 176, "property_value_start": 178, "property_value_end": 178, "property_numeric_value": 52.0, "property_unit": "%", "property_value_descriptor": ""}, "highest occupied molecular orbital": {}, "lowest unoccupied molecular orbital": {"entity_name": "LUMO", "entity_start": 78, "entity_end": 79, "property_value_start": 87, "property_value_end": 90, "property_numeric_value": -4.355, "property_unit": "eV", "property_value_descriptor": "and"}, "bandgap": {}, "hole mobility": {}, "electron mobility": {}, "external quantum efficiency": {}}</t>
  </si>
  <si>
    <t xml:space="preserve">10.1002/app.38996</t>
  </si>
  <si>
    <t xml:space="preserve">HXS-1</t>
  </si>
  <si>
    <t xml:space="preserve">[*]c7ccc6c5ccc(c4ccc(c2c(OCCCCCCCC)c(OCCCCCCCC)c(c1ccc([*])s1)c3nsnc23)s4)cc5n(CCCCCCCC)c6c7</t>
  </si>
  <si>
    <t xml:space="preserve">['HXS-1']</t>
  </si>
  <si>
    <t xml:space="preserve">='PC_{71}BM'</t>
  </si>
  <si>
    <t xml:space="preserve">{"power conversion efficiency": {"entity_name": "Power conversion efficiency", "entity_start": 57, "entity_end": 59, "property_value_start": 67, "property_value_end": 68, "property_numeric_value": 5.4,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</si>
  <si>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HXS-2</t>
  </si>
  <si>
    <t xml:space="preserve">[*]c%10ccc9c8ccc(c7ccc6c5ccc(c4ccc(c2c(OCCCCCCCC)c(OCCCCCCCC)c(c1ccc([*])s1)c3nsnc23)s4)cc5n(CCCCCCCC)c6c7)cc8n(CCCCCCCC)c9c%10</t>
  </si>
  <si>
    <t xml:space="preserve">['HXS-2']</t>
  </si>
  <si>
    <t xml:space="preserve">10.1016/j.orgel.2019.05.051</t>
  </si>
  <si>
    <t xml:space="preserve">PTB7-Th</t>
  </si>
  <si>
    <t xml:space="preserve">[*]c7cc6c(c1ccc(CC(CC)CCCC)s1)c4sc(c2sc([*])c3sc(C(=O)OCC(CC)CCCC)c(F)c23)cc4c(c5ccc(CC(CC)CCCC)s5)c6s7</t>
  </si>
  <si>
    <t xml:space="preserve">["poly[4,8-bis(5-(2-ethylhexyl) thiophen-2-yl)benzo[1,2-b; 4,5-b']dithiophene-2,6-diyl-alt-(4-(2-ethylhexyl)-3fluorothieno[3,4-b]thiophene-)-2-carboxylate-2-6-diyl)]", 'PTB7-Th']</t>
  </si>
  <si>
    <t xml:space="preserve">{"power conversion efficiency": {"entity_name": "PCE", "entity_start": 180, "entity_end": 180, "property_value_start": 182, "property_value_end": 183, "property_numeric_value": 6.9, "property_unit": "%", "property_value_descriptor": ""}, "open circuit voltage": {}, "short circuit current": {}, "fill factor": {"entity_name": "FF", "entity_start": 175, "entity_end": 175, "property_value_start": 177, "property_value_end": 177, "property_numeric_value": 66.0,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</si>
  <si>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10.1002/adfm.200900183</t>
  </si>
  <si>
    <t xml:space="preserve">{"power conversion efficiency": {"entity_name": "power-conversion efficiency", "entity_start": 212, "entity_end": 215, "property_value_start": 217, "property_value_end": 218, "property_numeric_value": 4.12,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</si>
  <si>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10.1016/j.solmat.2011.02.019</t>
  </si>
  <si>
    <t xml:space="preserve">poly(3-hexylthiophene)</t>
  </si>
  <si>
    <t xml:space="preserve">['poly(3-hexylthiophene)']</t>
  </si>
  <si>
    <t xml:space="preserve">{"power conversion efficiency": {"entity_name": "power conversion efficiency", "entity_start": 56, "entity_end": 58, "property_value_start": 60, "property_value_end": 61, "property_numeric_value": 5.03,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</si>
  <si>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10.1002/macp.201000379</t>
  </si>
  <si>
    <t xml:space="preserve">{"power conversion efficiency": {"entity_name": "power conversion efficiency", "entity_start": 88, "entity_end": 90, "property_value_start": 96, "property_value_end": 97, "property_numeric_value": 2.14,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</si>
  <si>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10.1021/ja513260w</t>
  </si>
  <si>
    <t xml:space="preserve">PBDTTT-CT</t>
  </si>
  <si>
    <t xml:space="preserve">['PBDTTT-CT']</t>
  </si>
  <si>
    <t xml:space="preserve">30PDI</t>
  </si>
  <si>
    <t xml:space="preserve">[*]c%13ccc(c9cc%11c(=O)n(CC(CCCCCC)CCCCCCCC)c(=O)c%12c(c8ccc(c1cc4c(=O)n(CC(CC)CCCC)c(=O)c3ccc2c5c([*])cc7c(=O)n(CC(CC)CCCC)c(=O)c6ccc(c1c2c34)c5c67)[se]8)cc%10c(=O)n(CC(CCCCCC)CCCCCCCC)c(=O)c9c%10c%11%12)[se]%13</t>
  </si>
  <si>
    <t xml:space="preserve">['30PDI']</t>
  </si>
  <si>
    <t xml:space="preserve">{"power conversion efficiency": {"entity_name": "PCE", "entity_start": 199, "entity_end": 199, "property_value_start": 201, "property_value_end": 202, "property_numeric_value": 6.3, "property_unit": "%", "property_value_descriptor": ""}, "open circuit voltage": {}, "short circuit current": {"entity_name": "J_{sc}", "entity_start": 204, "entity_end": 205, "property_value_start": 207, "property_value_end": 211, "property_numeric_value": 18.6, "property_unit": "mA/cm^{2}", "property_value_descriptor": ""}, "fill factor": {}, "highest occupied molecular orbital": {}, "lowest unoccupied molecular orbital": {}, "bandgap": {}, "hole mobility": {}, "electron mobility": {}, "external quantum efficiency": {"entity_name": "external quantum efficiency", "entity_start": 213, "entity_end": 215, "property_value_start": 217, "property_value_end": 218, "property_numeric_value": 91.0, "property_unit": "%", "property_value_descriptor": ""}}</t>
  </si>
  <si>
    <t xml:space="preserve">10.1021/ja5123182</t>
  </si>
  <si>
    <t xml:space="preserve">PPDT2FBT</t>
  </si>
  <si>
    <t xml:space="preserve">[*]c5ccc(c4cc(OCC(CCCCCC)CCCCCCCC)c(c3ccc(c1c(F)c(F)c([*])c2nsnc12)s3)cc4OCC(CCCCCC)CCCCCCCC)s5</t>
  </si>
  <si>
    <t xml:space="preserve">["poly[(2,5-bis(2-hexyldecyloxy)phenylene)-alt-(5,6-difluoro-4,7-di(thiophen-2-yl)benzo[c][1,2,5]thiadiazole)]", 'PPDT2FBT', 'PPDT2FBT H']</t>
  </si>
  <si>
    <t xml:space="preserve">P(NDI2OD-T2)</t>
  </si>
  <si>
    <t xml:space="preserve">[*]c6ccc(c5ccc(c1cc3c(=O)n(CC(CCCCCCCC)CCCCCCCCCC)c(=O)c4c([*])cc2c(=O)n(CC(CCCCCCCC)CCCCCCCCCC)c(=O)c1c2c34)s5)s6</t>
  </si>
  <si>
    <t xml:space="preserve">["poly[[N,N'-bis(2-octyldodecyl)-napthalene-1,4,5,8-bis(dicarboximide)-2,6-diyl]-alt-5,5'-(2,2'-bithiophene)]", 'P(NDI2OD-T2)']</t>
  </si>
  <si>
    <t xml:space="preserve">{"power conversion efficiency": {"entity_name": "power conversion efficiency", "entity_start": 277, "entity_end": 279, "property_value_start": 281, "property_value_end": 282,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</si>
  <si>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10.1016/j.dyepig.2017.05.011</t>
  </si>
  <si>
    <t xml:space="preserve">poly({4,8-bis[(5-(2-ethylhexyl)-2-thienyl]benzo[1,2-b:4,5-b′]dithiophene-2,6-diyl}{3-fluoro-2-[(2-ethylhexyl)carbonyl]thieno[3,4-b]thiophenediyl})</t>
  </si>
  <si>
    <t xml:space="preserve">["poly({4,8-bis[(5-(2-ethylhexyl)-2-thienyl]benzo[1,2-b:4,5-b′]dithiophene-2,6-diyl}{3-fluoro-2-[(2-ethylhexyl)carbonyl]thieno[3,4-b]thiophenediyl})", 'PTB7-Th']</t>
  </si>
  <si>
    <t xml:space="preserve">DTF-IC</t>
  </si>
  <si>
    <t xml:space="preserve">CCCCCCCCC3(CCCCCCCC)c1cc%14c(cc1c2cc7c(cc23)c6sc(C=c5c(=O)c4ccccc4c5=C(C#N)C#N)cc6C7(c8ccc(CCCCCC)cc8)c9ccc(CCCCCC)cc9)C(c%10ccc(CCCCCC)cc%10)(c%11ccc(CCCCCC)cc%11)c%15cc(C=c%13c(=O)c%12ccccc%12c%13=C(C#N)C#N)sc%14%15</t>
  </si>
  <si>
    <t xml:space="preserve">{"power conversion efficiency": {"entity_name": "power conversion efficiencies", "entity_start": 213, "entity_end": 215, "property_value_start": 217, "property_value_end": 218, "property_numeric_value": 7.0,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</si>
  <si>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DTC-IC</t>
  </si>
  <si>
    <t xml:space="preserve">CCCCCCCCC(CCCCCCCC)n9c7cc6c3sc(C=c2c(=O)c1ccccc1c2=C(C#N)C#N)cc3C(c4ccc(CCCCCC)cc4)(c5ccc(CCCCCC)cc5)c6cc7c8cc%13c(cc89)c%12sc(C=c%11c(=O)c%10ccccc%10c%11=C(C#N)C#N)cc%12C%13(c%14ccc(CCCCCC)cc%14)c%15ccc(CCCCCC)cc%15</t>
  </si>
  <si>
    <t xml:space="preserve">10.1021/acsami.9b00083</t>
  </si>
  <si>
    <t xml:space="preserve">PNT2Th2Se-OD</t>
  </si>
  <si>
    <t xml:space="preserve">[*]c8ccc(c7ccc(c6sc(c4cc2c(cc(c1cc(CC(CCCCCCCC)CCCCCCCCCC)c([*])s1)c3nsnc23)c5nsnc45)cc6CC(CCCCCCCC)CCCCCCCCCC)[se]7)[se]8</t>
  </si>
  <si>
    <t xml:space="preserve">['PNT2Th2Se-OD']</t>
  </si>
  <si>
    <t xml:space="preserve">{"power conversion efficiency": {"entity_name": "power conversion efficiency", "entity_start": 192, "entity_end": 194, "property_value_start": 196, "property_value_end": 197, "property_numeric_value": 9.47, "property_unit": "%", "property_value_descriptor": ""}, "open circuit voltage": {"entity_name": "V_{oc}", "entity_start": 200, "entity_end": 201, "property_value_start": 203, "property_value_end": 204, "property_numeric_value": 0.68, "property_unit": "V", "property_value_descriptor": ""}, "short circuit current": {"entity_name": "J_{sc}", "entity_start": 216, "entity_end": 217, "property_value_start": 219, "property_value_end": 221, "property_numeric_value": 20.69, "property_unit": "mA cm^{-2}", "property_value_descriptor": ""}, "fill factor": {"entity_name": "fill factor", "entity_start": 207, "entity_end": 208, "property_value_start": 210, "property_value_end": 211, "property_numeric_value": 67.0, "property_unit": "%", "property_value_descriptor": ""}, "highest occupied molecular orbital": {}, "lowest unoccupied molecular orbital": {}, "bandgap": {}, "hole mobility": {"entity_name": "hole mobility", "entity_start": 160, "entity_end": 161, "property_value_start": 163, "property_value_end": 169, "property_numeric_value": 0.36, "property_unit": "cm^{2} V^{-1} s^{-1}", "property_value_descriptor": ""}, "electron mobility": {}, "external quantum efficiency": {}}</t>
  </si>
  <si>
    <t xml:space="preserve">10.1039/c5ta08898d</t>
  </si>
  <si>
    <t xml:space="preserve">{"power conversion efficiency": {"entity_name": "PCEs", "entity_start": 89, "entity_end": 89, "property_value_start": 112, "property_value_end": 113, "property_numeric_value": 3.84,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</si>
  <si>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PBDTTT-C</t>
  </si>
  <si>
    <t xml:space="preserve">[*]c5cc4c(OCC(CC)CCCC)c3sc(c1sc([*])c2sc(C(=O)C(CC)CCCC)cc12)cc3c(OCC(CC)CCCC)c4s5</t>
  </si>
  <si>
    <t xml:space="preserve">['PBDTTT-C']</t>
  </si>
  <si>
    <t xml:space="preserve">{"power conversion efficiency": {"entity_name": "PCEs", "entity_start": 89, "entity_end": 89, "property_value_start": 126, "property_value_end": 127, "property_numeric_value": 7.5,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</si>
  <si>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10.1039/b818885h</t>
  </si>
  <si>
    <t xml:space="preserve">PDTPBT-C8</t>
  </si>
  <si>
    <t xml:space="preserve">CCCCCCCCC(CCCCCCCC)n5c1cc([*])sc1c4sc(c2ccc([*])c3nsnc23)cc45</t>
  </si>
  <si>
    <t xml:space="preserve">['PDTPBT-C8', 'PDTPBT-C5']</t>
  </si>
  <si>
    <t xml:space="preserve">{"power conversion efficiency": {"entity_name": "PCE", "entity_start": 196, "entity_end": 196, "property_value_start": 200, "property_value_end": 201, "property_numeric_value": 2.8,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</si>
  <si>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10.1039/c5tc01788b</t>
  </si>
  <si>
    <t xml:space="preserve">P3</t>
  </si>
  <si>
    <t xml:space="preserve">[*]c7ccc(c5c(OCCCCCCCCCCCC)c(OCCCCCCCCCCCC)c(c4ccc(c1cc3c(cc1F)c2cc(F)c([*])cc2n3CC(CCCCCCCCCC)CCCCCCCCCCCC)s4)c6nonc56)s7</t>
  </si>
  <si>
    <t xml:space="preserve">{"power conversion efficiency": {"entity_name": "PCE", "entity_start": 108, "entity_end": 108, "property_value_start": 113, "property_value_end": 114, "property_numeric_value": 5.71,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</si>
  <si>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10.1039/c5ta06065f</t>
  </si>
  <si>
    <t xml:space="preserve">[*]c9ccc(c7c(OCC(CCCCCCCCCC)CCCCCCCCCCCC)c(F)c(c6ccc(c5cc4c(c1ccc(SCC(CC)CCCC)cc1)c2sc([*])cc2c(c3ccc(SCC(CC)CCCC)cc3)c4s5)s6)c8nsnc78)s9</t>
  </si>
  <si>
    <t xml:space="preserve">['P3']</t>
  </si>
  <si>
    <t xml:space="preserve">{"power conversion efficiency": {"entity_name": "PCE", "entity_start": 77, "entity_end": 77, "property_value_start": 80, "property_value_end": 81, "property_numeric_value": 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</si>
  <si>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10.1021/acsami.7b00557</t>
  </si>
  <si>
    <t xml:space="preserve">PDPP5T</t>
  </si>
  <si>
    <t xml:space="preserve">[*]c7ccc(c6sc(c5ccc(c4c3c(=O)n(CC(CCCCCC)CCCCCCCC)c(c2ccc(c1cc(CCCCCC)c([*])s1)s2)c3c(=O)n4CC(CCCCCC)CCCCCCCC)s5)cc6CCCCCC)s7</t>
  </si>
  <si>
    <t xml:space="preserve">['PDPP5T']</t>
  </si>
  <si>
    <t xml:space="preserve">{"power conversion efficiency": {"entity_name": "PCEs", "entity_start": 126, "entity_end": 126, "property_value_start": 136, "property_value_end": 137, "property_numeric_value": 2.4,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</si>
  <si>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10.1016/j.orgel.2008.08.001</t>
  </si>
  <si>
    <t xml:space="preserve">{"power conversion efficiency": {"entity_name": "power conversion efficiency", "entity_start": 46, "entity_end": 48, "property_value_start": 60, "property_value_end": 61, "property_numeric_value": 4.26,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</si>
  <si>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10.1002/aenm.201201061</t>
  </si>
  <si>
    <t xml:space="preserve">{"power conversion efficiency": {"entity_name": "Power conversion efficiencies", "entity_start": 112, "entity_end": 114, "property_value_start": 119, "property_value_end": 120, "property_numeric_value": 3.1, "property_unit": "%", "property_value_descriptor": ""}, "open circuit voltage": {}, "short circuit current": {}, "fill factor": {"entity_name": "fill factor", "entity_start": 156, "entity_end": 157, "property_value_start": 159, "property_value_end": 160, "property_numeric_value": 65.0,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</si>
  <si>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10.1016/j.orgel.2012.03.015</t>
  </si>
  <si>
    <t xml:space="preserve">{"power conversion efficiency": {"entity_name": "PCE", "entity_start": 124, "entity_end": 124, "property_value_start": 134, "property_value_end": 135, "property_numeric_value": 2.15,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</si>
  <si>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10.1016/j.tsf.2003.11.063</t>
  </si>
  <si>
    <t xml:space="preserve">OC_{1}C_{10}-PPV</t>
  </si>
  <si>
    <t xml:space="preserve">[*]/C=C/c1cc(OC)c([*])cc1OCCC(C)CCCC(C)C</t>
  </si>
  <si>
    <t xml:space="preserve">['OC_{1}C_{10}-PPV']</t>
  </si>
  <si>
    <t xml:space="preserve">{"power conversion efficiency": {"entity_name": "power conversion efficiency", "entity_start": 187, "entity_end": 189, "property_value_start": 193, "property_value_end": 194, "property_numeric_value": 1.9, "property_unit": "%", "property_value_descriptor": ""}, "open circuit voltage": {"entity_name": "open circuit voltage", "entity_start": 154, "entity_end": 156, "property_value_start": 158, "property_value_end": 159, "property_numeric_value": 0.91,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</si>
  <si>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10.1016/j.synthmet.2013.11.002</t>
  </si>
  <si>
    <t xml:space="preserve">{"power conversion efficiency": {"entity_name": "PCE", "entity_start": 213, "entity_end": 213, "property_value_start": 236, "property_value_end": 237, "property_numeric_value": 2.9, "property_unit": "%", "property_value_descriptor": ""}, "open circuit voltage": {"entity_name": "V_{oc}", "entity_start": 134, "entity_end": 136, "property_value_start": 170, "property_value_end": 171, "property_numeric_value": 0.58, "property_unit": "V", "property_value_descriptor": ""}, "short circuit current": {"entity_name": "J_{sc}", "entity_start": 208, "entity_end": 210, "property_value_start": 230, "property_value_end": 234, "property_numeric_value": -9.0, "property_unit": "mA/cm^{2}", "property_value_descriptor": ""}, "fill factor": {"entity_name": "FF", "entity_start": 220, "entity_end": 220, "property_value_start": 240, "property_value_end": 241, "property_numeric_value": 55.6,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</si>
  <si>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10.1016/j.orgel.2015.05.023</t>
  </si>
  <si>
    <t xml:space="preserve">P(PTQD-Th)</t>
  </si>
  <si>
    <t xml:space="preserve">[*]c6ccc(c5cc4c1cc([*])sc1c3nc2c(=O)n(CC(CCCCCCCC)CCCCCCCCCC)c(=O)c2nc3c4s5)s6</t>
  </si>
  <si>
    <t xml:space="preserve">['P(PTQD-Th)']</t>
  </si>
  <si>
    <t xml:space="preserve">{"power conversion efficiency": {"entity_name": "PCE", "entity_start": 205, "entity_end": 205, "property_value_start": 215, "property_value_end": 216, "property_numeric_value": 5.54,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</si>
  <si>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P(PTQD-2Th)</t>
  </si>
  <si>
    <t xml:space="preserve">['P(PTQD-2Th)']</t>
  </si>
  <si>
    <t xml:space="preserve">{"power conversion efficiency": {"entity_name": "PCE", "entity_start": 205, "entity_end": 205, "property_value_start": 218, "property_value_end": 219, "property_numeric_value": 5.67,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</si>
  <si>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10.1039/c5nr02657a</t>
  </si>
  <si>
    <t xml:space="preserve">PIDT-PhanQ</t>
  </si>
  <si>
    <t xml:space="preserve">[*]c1cc3c(s1)c2cc%12c(cc2C3(c4ccc(CCCCCC)cc4)c5ccc(CCCCCC)cc5)c%11sc(c9ccc([*])c%10nc8c6ccccc6c7ccccc7c8nc9%10)cc%11C%12(c%13ccc(CCCCCC)cc%13)c%14ccc(CCCCCC)cc%14</t>
  </si>
  <si>
    <t xml:space="preserve">['PIDT-PhanQ']</t>
  </si>
  <si>
    <t xml:space="preserve">{"power conversion efficiency": {"entity_name": "power conversion efficiency", "entity_start": 65, "entity_end": 67, "property_value_start": 98, "property_value_end": 99, "property_numeric_value": 6.29,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</si>
  <si>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10.1002/ijch.201400207</t>
  </si>
  <si>
    <t xml:space="preserve">DM_OXCBA</t>
  </si>
  <si>
    <t xml:space="preserve">Cc1ccc2c(c1)C%36CC2C3%37c4c5c%35c6c8c%10c(c%11c%15c3c%14c%19c4c%20c%23c5c%24c6c9c%26c7c%29c%25c%22c%33c%21c%18c%13c%32c%12c(c%27c7c(c89)c%28c%10c%11c%17c(c%12c%16c%13c(c%14c%15c%16%17)c%18c%19c%20c%21c%22c%23c%24c%25%26)c%27%28)C%29%34C%31CC(c%30ccc(C)cc%30%31)C%32%33%34)C%35%36%37</t>
  </si>
  <si>
    <t xml:space="preserve">{"power conversion efficiency": {"entity_name": "power conversion efficiency", "entity_start": 228, "entity_end": 230, "property_value_start": 232, "property_value_end": 233, "property_numeric_value": 4.77, "property_unit": "%", "property_value_descriptor": ""}, "open circuit voltage": {"entity_name": "open-circuit voltage", "entity_start": 236, "entity_end": 239, "property_value_start": 241, "property_value_end": 242, "property_numeric_value": 0.88, "property_unit": "V", "property_value_descriptor": ""}, "short circuit current": {"entity_name": "short-circuit current density", "entity_start": 245, "entity_end": 249, "property_value_start": 251, "property_value_end": 254, "property_numeric_value": 10.52, "property_unit": "mA cm^{-2}", "property_value_descriptor": ""}, "fill factor": {"entity_name": "fill factor", "entity_start": 258, "entity_end": 259, "property_value_start": 261, "property_value_end": 261, "property_numeric_value": 51.0,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</si>
  <si>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10.1016/j.synthmet.2016.06.009</t>
  </si>
  <si>
    <t xml:space="preserve">MDN-PCBM</t>
  </si>
  <si>
    <t xml:space="preserve">COC(=O)CCCC2(c1ccccc1)c3c4cc5c7c9cc%10c%14c2c%13c%18c3c%19c%22c4c%23c5c8c%25c6c%28c%24c%21c%32c%20c%17c%12c%31c%11c(c%26c6c(c78)c%27c9c%10c%15c(c%11c%16c%12c(c%13c%14c%15%16)c%17c%18c%19c%20c%21c%22c%23c%24%25)c%26%27)C%28%33C%30CC(c%29ccc(OC)cc%29%30)C%31%32%33</t>
  </si>
  <si>
    <t xml:space="preserve">['MDN-PCBM', '2-methoxy-(5,8)-dihydronaphthyl-PCBM']</t>
  </si>
  <si>
    <t xml:space="preserve">8.80 mA/cm^{2}</t>
  </si>
  <si>
    <t xml:space="preserve">{"power conversion efficiency": {"entity_name": "power conversion efficiency", "entity_start": 87, "entity_end": 89, "property_value_start": 94, "property_value_end": 95, "property_numeric_value": 3.09, "property_unit": "%", "property_value_descriptor": ""}, "open circuit voltage": {"entity_name": "open circuit voltage", "entity_start": 98, "entity_end": 100, "property_value_start": 105, "property_value_end": 106, "property_numeric_value": 0.54, "property_unit": "V", "property_value_descriptor": ""}, "short circuit current": {}, "fill factor": {}, "highest occupied molecular orbital": {}, "lowest unoccupied molecular orbital": {"entity_name": "lowest unoccupied molecular orbital", "entity_start": 53, "entity_end": 56, "property_value_start": 62, "property_value_end": 63, "property_numeric_value": -3.79, "property_unit": "eV", "property_value_descriptor": ""}, "bandgap": {}, "hole mobility": {}, "electron mobility": {}, "external quantum efficiency": {}}</t>
  </si>
  <si>
    <t xml:space="preserve">10.1016/j.orgel.2016.06.013</t>
  </si>
  <si>
    <t xml:space="preserve">PTB7-th</t>
  </si>
  <si>
    <t xml:space="preserve">['PTB7-th']</t>
  </si>
  <si>
    <t xml:space="preserve">[ 'PC_{71}BM']</t>
  </si>
  <si>
    <t xml:space="preserve">{"power conversion efficiency": {"entity_name": "PCEs", "entity_start": 207, "entity_end": 207, "property_value_start": 250, "property_value_end": 251, "property_numeric_value": 7.5,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</si>
  <si>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10.1039/c6ra09791j</t>
  </si>
  <si>
    <t xml:space="preserve">TBFPF-BO</t>
  </si>
  <si>
    <t xml:space="preserve">[*]c9cc8c(c1ccc(OCC(CC)CCCC)c(F)c1)c6sc(c5ccc(c3c(OCCCCCCCC)c(OCCCCCCCC)c(c2ccc([*])s2)c4nonc34)s5)cc6c(c7ccc(OCC(CC)CCCC)c(F)c7)c8o9</t>
  </si>
  <si>
    <t xml:space="preserve">['TBFPF-BO']</t>
  </si>
  <si>
    <t xml:space="preserve">{"power conversion efficiency": {"entity_name": "PCE", "entity_start": 160, "entity_end": 160, "property_value_start": 166, "property_value_end": 167, "property_numeric_value": 5.98,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</si>
  <si>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TBFPF-BT</t>
  </si>
  <si>
    <t xml:space="preserve">[*]c9cc8c(c1ccc(OCC(CC)CCCC)c(F)c1)c6sc(c5ccc(c3c(OCCCCCCCC)c(OCCCCCCCC)c(c2ccc([*])s2)c4nsnc34)s5)cc6c(c7ccc(OCC(CC)CCCC)c(F)c7)c8o9</t>
  </si>
  <si>
    <t xml:space="preserve">['TBFPF-BT']</t>
  </si>
  <si>
    <t xml:space="preserve">10.1002/pola.24564</t>
  </si>
  <si>
    <t xml:space="preserve">PBDT-CNECPDT</t>
  </si>
  <si>
    <t xml:space="preserve">[*]c6cc5c(OCC(CC)CCCC)c4sc(c3cc2c(=C(C#N)C(=O)OC(CCC(CC)CCCC)CC(C)C)c1cc([*])sc1c2s3)cc4c(OCC(CC)CCCC)c5s6</t>
  </si>
  <si>
    <t xml:space="preserve">['PBDT-CNECPDT']</t>
  </si>
  <si>
    <t xml:space="preserve">PC_{61}BH</t>
  </si>
  <si>
    <t xml:space="preserve">['PC_{61}BH']</t>
  </si>
  <si>
    <t xml:space="preserve">{"power conversion efficiency": {}, "open circuit voltage": {}, "short circuit current": {}, "fill factor": {}, "highest occupied molecular orbital": {}, "lowest unoccupied molecular orbital": {}, "bandgap": {"entity_name": "band gaps", "entity_start": 52, "entity_end": 53, "property_value_start": 55, "property_value_end": 58, "property_numeric_value": 1.2599999999999998, "property_unit": "eV", "property_value_descriptor": "and"}, "hole mobility": {}, "electron mobility": {}, "external quantum efficiency": {}}</t>
  </si>
  <si>
    <t xml:space="preserve">PBDT-CNETT</t>
  </si>
  <si>
    <t xml:space="preserve">[*]c5cc4c(OCC(CC)CCCC)c3sc(c1sc([*])c2sc(/C=C(C#N)/C(=O)OCCCCCCCCCCCC)cc12)cc3c(OCC(CC)CCCC)c4s5</t>
  </si>
  <si>
    <t xml:space="preserve">['PBDT-CNETT']</t>
  </si>
  <si>
    <t xml:space="preserve">{"power conversion efficiency": {"entity_name": "power conversion efficiencies", "entity_start": 117, "entity_end": 119, "property_value_start": 130, "property_value_end": 131, "property_numeric_value": 0.16, "property_unit": "%", "property_value_descriptor": ""}, "open circuit voltage": {}, "short circuit current": {}, "fill factor": {}, "highest occupied molecular orbital": {"entity_name": "Highest occupied molecular orbital energy levels", "entity_start": 62, "entity_end": 67, "property_value_start": 73, "property_value_end": 76, "property_numeric_value": -5.140000000000001, "property_unit": "eV", "property_value_descriptor": "and"}, "lowest unoccupied molecular orbital": {}, "bandgap": {}, "hole mobility": {}, "electron mobility": {}, "external quantum efficiency": {}}</t>
  </si>
  <si>
    <t xml:space="preserve">10.1002/pola.28205</t>
  </si>
  <si>
    <t xml:space="preserve">P(BDT-TCNT)</t>
  </si>
  <si>
    <t xml:space="preserve">CCCCCCCCCCc7cc(c5c1cc([*])sc1c(c2cc(CCCCCCCCCC)c(CCCCCCCCCC)s2)c6cc(c4ccc(C(C#N)=Cc3ccc([*])s3)s4)sc56)sc7CCCCCCCCCC</t>
  </si>
  <si>
    <t xml:space="preserve">['P(BDT-TCNT)']</t>
  </si>
  <si>
    <t xml:space="preserve">9.06 mA/cm^{2}</t>
  </si>
  <si>
    <t xml:space="preserve">{"power conversion efficiency": {"entity_name": "PCE", "entity_start": 235, "entity_end": 235, "property_value_start": 237, "property_value_end": 238, "property_numeric_value": 5.83, "property_unit": "%", "property_value_descriptor": ""}, "open circuit voltage": {"entity_name": "V_{OC}", "entity_start": 249, "entity_end": 250, "property_value_start": 252, "property_value_end": 253, "property_numeric_value": 0.77,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</si>
  <si>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P(DTBDAT-TCNT)</t>
  </si>
  <si>
    <t xml:space="preserve">CCCCCCCCCCc9cc(c7c4sc3cc(c2ccc(C(C#N)=Cc1ccc([*])s1)s2)sc3c4c(c5cc(CCCCCCCCCC)c(CCCCCCCCCC)s5)c8sc6cc([*])sc6c78)sc9CCCCCCCCCC</t>
  </si>
  <si>
    <t xml:space="preserve">['P(DTBDAT-TCNT)']</t>
  </si>
  <si>
    <t xml:space="preserve">0.77 V </t>
  </si>
  <si>
    <t xml:space="preserve">{"power conversion efficiency": {}, "open circuit voltage": {}, "short circuit current": {"entity_name": "J_{SC}", "entity_start": 240, "entity_end": 241, "property_value_start": 243, "property_value_end": 247, "property_numeric_value": 12.2, "property_unit": "mA/cm^{2}", "property_value_descriptor": ""}, "fill factor": {"entity_name": "FF", "entity_start": 256, "entity_end": 256, "property_value_start": 258, "property_value_end": 258, "property_numeric_value": 62.0,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</si>
  <si>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10.1002/pola.24568</t>
  </si>
  <si>
    <t xml:space="preserve">[*]c5ccc4c3ccc(c1sc([*])cc1/C=C/c2ccc(/C=C(C#N)/C#N)s2)cc3C(CCCCCCCC)(CCCCCCCC)c4c5</t>
  </si>
  <si>
    <t xml:space="preserve">{"power conversion efficiency": {"entity_name": "power conversion efficiency", "entity_start": 73, "entity_end": 75, "property_value_start": 77, "property_value_end": 78, "property_numeric_value": 1.33,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</si>
  <si>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10.1039/c0jm03899g</t>
  </si>
  <si>
    <t xml:space="preserve">{"power conversion efficiency": {"entity_name": "PCE", "entity_start": 311, "entity_end": 311, "property_value_start": 313, "property_value_end": 314, "property_numeric_value": 3.35,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</si>
  <si>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10.1002/pola.24567</t>
  </si>
  <si>
    <t xml:space="preserve">[*]c7ccc(c6c5c(=O)n(CCCCCC)c(c4ccc(c1cc3c(s1)c2sc([*])cc2n3CC(CC)CCCC)cc4)c5c(=O)n6CCCCCC)cc7</t>
  </si>
  <si>
    <t xml:space="preserve">['PCBM', '[6,6]-phenyl-C_{61}-butyric acid methyl ester']</t>
  </si>
  <si>
    <t xml:space="preserve">0.70 V</t>
  </si>
  <si>
    <t xml:space="preserve">{"power conversion efficiency": {"entity_name": "power conversion efficiency", "entity_start": 192, "entity_end": 194, "property_value_start": 196, "property_value_end": 197, "property_numeric_value": 1.22, "property_unit": "%", "property_value_descriptor": ""}, "open circuit voltage": {}, "short circuit current": {"entity_name": "I_{SC}", "entity_start": 220, "entity_end": 222, "property_value_start": 224, "property_value_end": 228, "property_numeric_value": 5.02, "property_unit": "mA/cm^{2}", "property_value_descriptor": ""}, "fill factor": {}, "highest occupied molecular orbital": {"entity_name": "HOMO energy level", "entity_start": 112, "entity_end": 114, "property_value_start": 116, "property_value_end": 117, "property_numeric_value": -5.27, "property_unit": "eV", "property_value_descriptor": ""}, "lowest unoccupied molecular orbital": {}, "bandgap": {}, "hole mobility": {}, "electron mobility": {}, "external quantum efficiency": {}}</t>
  </si>
  <si>
    <t xml:space="preserve">10.1007/s40242-016-6176-5</t>
  </si>
  <si>
    <t xml:space="preserve">{"power conversion efficiency": {"entity_name": "power conversion efficiency", "entity_start": 177, "entity_end": 179, "property_value_start": 205, "property_value_end": 206, "property_numeric_value": 8.48,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</si>
  <si>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10.1039/c7tc00788d</t>
  </si>
  <si>
    <t xml:space="preserve">Bphen-Pr</t>
  </si>
  <si>
    <t xml:space="preserve">['Bphen', 'Bphen-Pr', 'Pr', 'Bphen-Pr', 'Pr', 'Bphen-Pr']</t>
  </si>
  <si>
    <t xml:space="preserve">['PC_{71}BM', '[6,6]-phenyl-C71 butyric acid methyl ester']</t>
  </si>
  <si>
    <t xml:space="preserve">{"power conversion efficiency": {"entity_name": "power conversion efficiency", "entity_start": 277, "entity_end": 279, "property_value_start": 285, "property_value_end": 286, "property_numeric_value": 8.05, "property_unit": "%", "property_value_descriptor": ""}, "open circuit voltage": {}, "short circuit current": {}, "fill factor": {}, "highest occupied molecular orbital": {}, "lowest unoccupied molecular orbital": {"entity_name": "LUMOs", "entity_start": 180, "entity_end": 180, "property_value_start": 194, "property_value_end": 197, "property_numeric_value": -4.17, "property_unit": "eV", "property_value_descriptor": "and"}, "bandgap": {}, "hole mobility": {}, "electron mobility": {}, "external quantum efficiency": {}}</t>
  </si>
  <si>
    <t xml:space="preserve">Bphen-Et</t>
  </si>
  <si>
    <t xml:space="preserve">10.1016/j.dyepig.2017.04.052</t>
  </si>
  <si>
    <t xml:space="preserve">re-P3</t>
  </si>
  <si>
    <t xml:space="preserve">[*]c%21ccc(C%20=C%19C(=O)C(CC(CCCCCCCC)CCCCCCCCCC)C(c%18ccc(c%17cc(/C=C/c5sc(c3c(F)c(F)c(c2cc(CCCCCC)c(c1ccc(C)s1)s2)c4nsnc34)cc5CCCCCC)c(c%16cc%15c(c6ccc(CC(CC)CCCC)s6)c%13sc(c7sc([*])cc7/C=C/c%12sc(c%10c(F)c(F)c(c9cc(CCCCCC)c(c8ccc(C)s8)s9)c%11nsnc%10%11)cc%12CCCCCC)cc%13c(c%14ccc(CC(CC)CCCC)s%14)c%15s%16)s%17)s%18)=C%19C(=O)C%20CC(CCCCCCCC)CCCCCCCCCC)s%21</t>
  </si>
  <si>
    <t xml:space="preserve">['PC_{71}BM', '[6,6]-phenyl-C_{71}-butyric acid methyl ester']</t>
  </si>
  <si>
    <t xml:space="preserve">0.76 V</t>
  </si>
  <si>
    <t xml:space="preserve">{"power conversion efficiency": {"entity_name": "power conversion efficiency", "entity_start": 188, "entity_end": 190, "property_value_start": 192, "property_value_end": 193, "property_numeric_value": 4.08, "property_unit": "%", "property_value_descriptor": ""}, "open circuit voltage": {}, "short circuit current": {"entity_name": "short-circuit current", "entity_start": 196, "entity_end": 199, "property_value_start": 201, "property_value_end": 204, "property_numeric_value": 8.23, "property_unit": "mA cm^{-2}", "property_value_descriptor": ""}, "fill factor": {"entity_name": "fill factor", "entity_start": 216, "entity_end": 217, "property_value_start": 219, "property_value_end": 220, "property_numeric_value": 65.0,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</si>
  <si>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10.1002/pola.29286</t>
  </si>
  <si>
    <t xml:space="preserve">PFQ2T-benzodithiophene</t>
  </si>
  <si>
    <t xml:space="preserve">[*]c%11ccc(c9c(F)c(F)c(c6ccc(c5cc4c(c1ccc(CCCCCCCC)s1)c2sc([*])cc2c(c3ccc(CCCCCCCC)s3)c4s5)s6)c%10nc(c7cccc(OCC(CCCC)CCCCCC)c7)c(c8cccc(OCC(CCCC)CCCCCC)c8)nc9%10)s%11</t>
  </si>
  <si>
    <t xml:space="preserve">['PFQ2T-benzodithiophene']</t>
  </si>
  <si>
    <t xml:space="preserve">['[6,6]-phenyl-C61-butyric acid methyl ester', 'PC_{61}BM']</t>
  </si>
  <si>
    <t xml:space="preserve">{"power conversion efficiency": {"entity_name": "power conversion efficiency", "entity_start": 148, "entity_end": 150, "property_value_start": 152, "property_value_end": 153, "property_numeric_value": 4.2,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</si>
  <si>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10.1016/j.synthmet.2018.01.002</t>
  </si>
  <si>
    <t xml:space="preserve">PDPPPYBDT</t>
  </si>
  <si>
    <t xml:space="preserve">[*]c%15ccc(c%14c%13c(=O)n(CC(CCCCCCCCCC)CCCCCCCCCCCC)c(c%12ccc(c8cc9ccc%10cc(c7ccc(c6c5c(=O)n(CC(CCCCCCCCCC)CCCCCCCCCCCC)c(c4ccc(c3cc2cc1sc([*])cc1cc2s3)s4)c5c(=O)n6CC(CCCCCCCCCC)CCCCCCCCCCCC)s7)cc%11ccc(c8)c9c%10%11)s%12)c%13c(=O)n%14CC(CCCCCCCCCC)CCCCCCCCCCCC)s%15</t>
  </si>
  <si>
    <t xml:space="preserve">['PDPPPYBDT']</t>
  </si>
  <si>
    <t xml:space="preserve">{"power conversion efficiency": {"entity_name": "PCE", "entity_start": 226, "entity_end": 226, "property_value_start": 229, "property_value_end": 230, "property_numeric_value": 4.46,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</si>
  <si>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10.1002/pola.29293</t>
  </si>
  <si>
    <t xml:space="preserve">P(Tt-DFQx)</t>
  </si>
  <si>
    <t xml:space="preserve">[*]c5cc(CCCCCC)c(c4ccc(c3sc(c1c(F)c(F)c([*])c2nc(CCCCCCCCCCCC)c(CCCCCCCCCCCC)nc12)cc3CCCCCC)s4)s5</t>
  </si>
  <si>
    <t xml:space="preserve">['P(Tt-DFQx)', 'P(Tt-DFQx)-based']</t>
  </si>
  <si>
    <t xml:space="preserve">{"power conversion efficiency": {"entity_name": "PCE", "entity_start": 236, "entity_end": 236, "property_value_start": 238, "property_value_end": 239, "property_numeric_value": 4.36, "property_unit": "%", "property_value_descriptor": ""}, "open circuit voltage": {"entity_name": "V_{oc}", "entity_start": 242, "entity_end": 243, "property_value_start": 245, "property_value_end": 246, "property_numeric_value": 0.69, "property_unit": "V", "property_value_descriptor": ""}, "short circuit current": {"entity_name": "J_{sc}", "entity_start": 249, "entity_end": 250, "property_value_start": 252, "property_value_end": 256, "property_numeric_value": 9.92, "property_unit": "mA/cm^{2}", "property_value_descriptor": ""}, "fill factor": {"entity_name": "FF", "entity_start": 259, "entity_end": 259, "property_value_start": 261, "property_value_end": 262, "property_numeric_value": 63.0, "property_unit": "%", "property_value_descriptor": ""}, "highest occupied molecular orbital": {}, "lowest unoccupied molecular orbital": {}, "bandgap": {"entity_name": "E_{g}", "entity_start": 89, "entity_end": 91, "property_value_start": 93, "property_value_end": 96, "property_numeric_value": 1.79, "property_unit": "eV", "property_value_descriptor": "and"}, "hole mobility": {}, "electron mobility": {}, "external quantum efficiency": {}}</t>
  </si>
  <si>
    <t xml:space="preserve">P(Tt-FQx)</t>
  </si>
  <si>
    <t xml:space="preserve">[*]c5cc(CCCCCC)c(c4ccc(c3sc(c1cc(F)c([*])c2nc(CCCCCCCCCCCC)c(CCCCCCCCCCCC)nc12)cc3CCCCCC)s4)s5</t>
  </si>
  <si>
    <t xml:space="preserve">['P(Tt-FQx)', 'P(Tt-FQx)-based']</t>
  </si>
  <si>
    <t xml:space="preserve">0.59 V </t>
  </si>
  <si>
    <t xml:space="preserve">10.65 mA/cm^{2}</t>
  </si>
  <si>
    <t xml:space="preserve">10.1002/polb.24779</t>
  </si>
  <si>
    <t xml:space="preserve">c-P3HT</t>
  </si>
  <si>
    <t xml:space="preserve">['P3HT', 'c-P3HT', 'linear P3HT', 'l-P3HT']</t>
  </si>
  <si>
    <t xml:space="preserve">{"power conversion efficiency": {"entity_name": "PCE", "entity_start": 249, "entity_end": 249, "property_value_start": 255, "property_value_end": 256, "property_numeric_value": 3.23,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97, "entity_end": 98, "property_value_start": 103, "property_value_end": 112, "property_numeric_value": 0.00051, "property_unit": "cm^{2} V^{-1} s^{-1}", "property_value_descriptor": ""}, "electron mobility": {}, "external quantum efficiency": {}}</t>
  </si>
  <si>
    <t xml:space="preserve">10.1002/pola.28959</t>
  </si>
  <si>
    <t xml:space="preserve">PTBTTFT</t>
  </si>
  <si>
    <t xml:space="preserve">CCCCC(CC)COC(=O)c5sc4c(c3ccc(c2cc(OCC(CC)CCCC)c(c1ccc([*])s1)cc2OCC(CC)CCCC)s3)sc([*])c4c5F</t>
  </si>
  <si>
    <t xml:space="preserve">['PTBTTFT']</t>
  </si>
  <si>
    <t xml:space="preserve">{"power conversion efficiency": {"entity_name": "PCE", "entity_start": 191, "entity_end": 191, "property_value_start": 193, "property_value_end": 194, "property_numeric_value": 1.96,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</si>
  <si>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PTBTTPD</t>
  </si>
  <si>
    <t xml:space="preserve">[*]c5ccc(c4cc(OCC(CC)CCCC)c(c3ccc(c1sc([*])c2c(=O)n(CCCCCCC)c(=O)c12)s3)cc4OCC(CC)CCCC)s5</t>
  </si>
  <si>
    <t xml:space="preserve">['PTBTTPD']</t>
  </si>
  <si>
    <t xml:space="preserve">PTBTDPP</t>
  </si>
  <si>
    <t xml:space="preserve">[*]c7ccc(c6cc(OCC(CC)CCCC)c(c5ccc(c4ccc(c3c2c(=O)n(CC(CCCCCC)CCCCCCCC)c(c1ccc([*])s1)c2c(=O)n3CC(CCCCCC)CCCCCCCC)s4)s5)cc6OCC(CC)CCCC)s7</t>
  </si>
  <si>
    <t xml:space="preserve">['PTBTDPP']</t>
  </si>
  <si>
    <t xml:space="preserve">{"power conversion efficiency": {"entity_name": "PCE", "entity_start": 283, "entity_end": 283, "property_value_start": 285, "property_value_end": 286, "property_numeric_value": 3.91,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</si>
  <si>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10.1016/j.matchemphys.2015.03.049</t>
  </si>
  <si>
    <t xml:space="preserve">['[6,6]-phenyl-C61-butyric acid methyl ester', 'PCBM']</t>
  </si>
  <si>
    <t xml:space="preserve">{"power conversion efficiency": {"entity_name": "power conversion efficiencies", "entity_start": 129, "entity_end": 131, "property_value_start": 136, "property_value_end": 137, "property_numeric_value": 2.5,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</si>
  <si>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10.1016/j.solener.2013.12.009</t>
  </si>
  <si>
    <t xml:space="preserve">{"power conversion efficiency": {"entity_name": "power conversion efficiency", "entity_start": 129, "entity_end": 131, "property_value_start": 154, "property_value_end": 155, "property_numeric_value": 1.96,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</si>
  <si>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10.1039/c8ta05778h</t>
  </si>
  <si>
    <t xml:space="preserve">PBDTTT-EFT</t>
  </si>
  <si>
    <t xml:space="preserve">CCCCC(CC)COC(=O)c7sc6c(c5cc4c(c1ccc(CC(CC)CCCC)s1)c2sc([*])cc2c(c3ccc(CC(CC)CCCC)s3)c4s5)sc([*])c6c7F</t>
  </si>
  <si>
    <t xml:space="preserve">['PBDTTT-EFT']</t>
  </si>
  <si>
    <t xml:space="preserve">PC70BM</t>
  </si>
  <si>
    <t xml:space="preserve">['PC70BM']</t>
  </si>
  <si>
    <t xml:space="preserve">{"power conversion efficiency": {"entity_name": "PCE", "entity_start": 170, "entity_end": 170, "property_value_start": 172, "property_value_end": 173, "property_numeric_value": 11.0, "property_unit": "%", "property_value_descriptor": ""}, "open circuit voltage": {}, "short circuit current": {}, "fill factor": {"entity_name": "FF", "entity_start": 181, "entity_end": 181, "property_value_start": 183, "property_value_end": 184, "property_numeric_value": 73.5,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</si>
  <si>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10.1016/j.orgel.2012.10.020</t>
  </si>
  <si>
    <t xml:space="preserve">['[6,6]-phenyl-C_{60}-butyric acid methyl ester', 'PCBM']</t>
  </si>
  <si>
    <t xml:space="preserve">{"power conversion efficiency": {"entity_name": "PCE", "entity_start": 216, "entity_end": 216, "property_value_start": 220, "property_value_end": 221, "property_numeric_value": 2.7,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</si>
  <si>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10.1016/j.polymer.2017.08.001</t>
  </si>
  <si>
    <t xml:space="preserve">P(BDTT-ttPPD)</t>
  </si>
  <si>
    <t xml:space="preserve">[*]c%11cc%10sc(c9c1c(=O)n(CC(CCCCCCCC)CCCCCCCCCC)c(=O)c1c(c8cc7sc(c6cc5c(c2ccc(CC(CC)CCCC)s2)c3sc([*])cc3c(c4ccc(CC(CC)CCCC)s4)c5s6)cc7s8)n9CCCCCCCC)cc%10s%11</t>
  </si>
  <si>
    <t xml:space="preserve">['P(BDTT-ttPPD)']</t>
  </si>
  <si>
    <t xml:space="preserve">{"power conversion efficiency": {}, "open circuit voltage": {"entity_name": "Voc", "entity_start": 78, "entity_end": 78, "property_value_start": 81, "property_value_end": 82, "property_numeric_value": 0.87, "property_unit": "V", "property_value_descriptor": ""}, "short circuit current": {"entity_name": "Jsc", "entity_start": 125, "entity_end": 125, "property_value_start": 127, "property_value_end": 131, "property_numeric_value": 16.05, "property_unit": "mA/cm^{2}", "property_value_descriptor": ""}, "fill factor": {"entity_name": "FF", "entity_start": 104, "entity_end": 104, "property_value_start": 107, "property_value_end": 108, "property_numeric_value": 70.0,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</si>
  <si>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10.1016/j.orgel.2018.04.001</t>
  </si>
  <si>
    <t xml:space="preserve">PBFTT</t>
  </si>
  <si>
    <t xml:space="preserve">[*]c7cc6c(c1cc(F)c(CC(CC)CCCC)s1)c4sc(c2sc([*])c3c(F)c(C(=O)OCCCCCCCC)sc23)cc4c(c5cc(F)c(CC(CC)CCCC)s5)c6s7</t>
  </si>
  <si>
    <t xml:space="preserve">['PBFTT']</t>
  </si>
  <si>
    <t xml:space="preserve">{"power conversion efficiency": {}, "open circuit voltage": {"entity_name": "V_{oc}", "entity_start": 169, "entity_end": 170, "property_value_start": 172, "property_value_end": 173, "property_numeric_value": 0.81, "property_unit": "V", "property_value_descriptor": ""}, "short circuit current": {"entity_name": "J_{sc}", "entity_start": 146, "entity_end": 147, "property_value_start": 149, "property_value_end": 152, "property_numeric_value": 16.0, "property_unit": "mA cm^{-2}", "property_value_descriptor": ""}, "fill factor": {}, "highest occupied molecular orbital": {"entity_name": "HOMO energy level", "entity_start": 96, "entity_end": 98, "property_value_start": 100, "property_value_end": 101, "property_numeric_value": -5.3, "property_unit": "eV", "property_value_descriptor": ""}, "lowest unoccupied molecular orbital": {}, "bandgap": {}, "hole mobility": {"entity_name": "hole mobility", "entity_start": 104, "entity_end": 105, "property_value_start": 107, "property_value_end": 116, "property_numeric_value": 0.00111, "property_unit": "cm^{2} V^{-1} s^{-1}", "property_value_descriptor": ""}, "electron mobility": {}, "external quantum efficiency": {}}</t>
  </si>
  <si>
    <t xml:space="preserve">['PTB7-Th']</t>
  </si>
  <si>
    <t xml:space="preserve">0.81 V</t>
  </si>
  <si>
    <t xml:space="preserve">{"power conversion efficiency": {"entity_name": "PCE", "entity_start": 163, "entity_end": 163, "property_value_start": 165, "property_value_end": 166, "property_numeric_value": 6.8, "property_unit": "%", "property_value_descriptor": ""}, "open circuit voltage": {}, "short circuit current": {"entity_name": "J_{sc}", "entity_start": 176, "entity_end": 177, "property_value_start": 179, "property_value_end": 182, "property_numeric_value": 14.2, "property_unit": "mA cm^{-2}", "property_value_descriptor": ""}, "fill factor": {"entity_name": "FF", "entity_start": 185, "entity_end": 185, "property_value_start": 187, "property_value_end": 188, "property_numeric_value": 59.1,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</si>
  <si>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10.1016/j.synthmet.2016.11.018</t>
  </si>
  <si>
    <t xml:space="preserve">[*]c%11cc%10c(c2ccc(c1cccc(OCC(CC)CCCC)c1)s2)c7sc(c6sc(c4sc(c3cc(CCCCCCCC)c([*])s3)c5c(=O)n(CC(CC)CCCC)c(=O)c45)cc6CCCCCCCC)cc7c(c9ccc(c8ccc(OCC(CC)CCCC)cc8)s9)c%10s%11</t>
  </si>
  <si>
    <t xml:space="preserve">['P1']</t>
  </si>
  <si>
    <t xml:space="preserve">0.92 V</t>
  </si>
  <si>
    <t xml:space="preserve">{"power conversion efficiency": {"entity_name": "power conversion efficiency", "entity_start": 127, "entity_end": 129, "property_value_start": 135, "property_value_end": 136, "property_numeric_value": 1.54,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</si>
  <si>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[*]c%11cc%10c(c2ccc(c1cccc(OCC(CC)CCCC)c1)[se]2)c7sc(c6sc(c4sc(c3cc(CCCCCCCC)c([*])s3)c5c(=O)n(CC(CC)CCCC)c(=O)c45)cc6CCCCCCCC)cc7c(c9ccc(c8ccc(OCC(CC)CCCC)cc8)[se]9)c%10s%11</t>
  </si>
  <si>
    <t xml:space="preserve">0.96 V</t>
  </si>
  <si>
    <t xml:space="preserve">[*]c%11cc%10c(c2ccc(c1cccc(OCC(CC)CCCC)c1)o2)c7sc(c6sc(c4sc(c3cc(CCCCCCCC)c([*])s3)c5c(=O)n(CC(CC)CCCC)c(=O)c45)cc6CCCCCCCC)cc7c(c9ccc(c8ccc(OCC(CC)CCCC)cc8)o9)c%10s%11</t>
  </si>
  <si>
    <t xml:space="preserve">{"power conversion efficiency": {}, "open circuit voltage": {"entity_name": "V_{oc}", "entity_start": 148, "entity_end": 149, "property_value_start": 161, "property_value_end": 162, "property_numeric_value": 0.8,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</si>
  <si>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10.1007/s40242-015-5184-1</t>
  </si>
  <si>
    <t xml:space="preserve">['P3HT', 'poly(3-hexylthiophene)']</t>
  </si>
  <si>
    <t xml:space="preserve">PCBB-C_{n}</t>
  </si>
  <si>
    <t xml:space="preserve">CCCCCCCCCCCCCCOc%34cc(COC(=O)CCCC%32(c1ccccc1)C2%33c3c4c%31c5c6c7c(c8c9c2c%10c%11c3c%12c%13c4c%14c5c%15c6c%16c%17c7c8c%18c%19c9c%10c%20c%21c%11c%12c%22c%23c%13c%14c%24c%15c%25c%16c%26c%17c%18c%27c%19c%20c%28c%21c%22c%29c%23c%24c%25c%30c%26c%27c%28c%29%30)C%31%32%33)cc(OCCCCCCCCCCCCCC)c%34OCCCCCCCCCCCCCC</t>
  </si>
  <si>
    <t xml:space="preserve">['PCBB-C_{n}']</t>
  </si>
  <si>
    <t xml:space="preserve">{"power conversion efficiency": {"entity_name": "power conversion efficiency", "entity_start": 158, "entity_end": 160, "property_value_start": 162, "property_value_end": 163, "property_numeric_value": 3.03,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</si>
  <si>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10.1016/j.orgel.2012.07.002</t>
  </si>
  <si>
    <t xml:space="preserve">PBI</t>
  </si>
  <si>
    <t xml:space="preserve">N#C/C(=C/c%12ccc(Oc5cc8c(=O)n(C1CCCCC1)c(=O)c7ccc6c9c(Oc3ccc(/C=C(C#N)/c2ccc(N(=O)=O)cc2)cc3)cc%11c(=O)n(C4CCCCC4)c(=O)c%10ccc(c5c6c78)c9c%10%11)cc%12)c%13ccc(N(=O)=O)cc%13</t>
  </si>
  <si>
    <t xml:space="preserve">['PBI']</t>
  </si>
  <si>
    <t xml:space="preserve">{"power conversion efficiency": {"entity_name": "PCE", "entity_start": 133, "entity_end": 133, "property_value_start": 141, "property_value_end": 142, "property_numeric_value": 3.17, "property_unit": "%", "property_value_descriptor": ""}, "open circuit voltage": {}, "short circuit current": {}, "fill factor": {}, "highest occupied molecular orbital": {}, "lowest unoccupied molecular orbital": {"entity_name": "LUMO energy level", "entity_start": 58, "entity_end": 60, "property_value_start": 62, "property_value_end": 63, "property_numeric_value": -3.9, "property_unit": "eV", "property_value_descriptor": ""}, "bandgap": {"entity_name": "optical band gap", "entity_start": 43, "entity_end": 45, "property_value_start": 47, "property_value_end": 48, "property_numeric_value": 1.72, "property_unit": "eV", "property_value_descriptor": ""}, "hole mobility": {}, "electron mobility": {}, "external quantum efficiency": {}}</t>
  </si>
  <si>
    <t xml:space="preserve">10.1039/b924147g</t>
  </si>
  <si>
    <t xml:space="preserve">PCPDTTBT</t>
  </si>
  <si>
    <t xml:space="preserve">[*]c7cc(c6sc(c5nc(CCCCCC)c(c4ccc(c1cc3c(s1)c2sc([*])cc2C3(CC(CC)CCCC)CC(CC)CCCC)s4)s5)nc6CCCCCC)cs7</t>
  </si>
  <si>
    <t xml:space="preserve">["poly{2,6-(4,4-bis[2-ethylhexyl]-4H-cyclopenta[2,1-b;3,4-b']dithiophene)-alt-4,7-(2,1,3-benzothiadiazole)}", 'PCPDTTBT']</t>
  </si>
  <si>
    <t xml:space="preserve">C_{70}</t>
  </si>
  <si>
    <t xml:space="preserve">C12=C3C4=C5C6=C7C8=C9C%10=C%11C%12=C%13C%10=C%10C8=C5C1=C%10C1=C%13C5=C8C1=C2C1=C3C2=C3C%10=C%13C%14=C3C1=C8C1=C3C5=C%12C5=C8C%11=C%11C9=C7C7=C9C6=C4C2=C2C%10=C4C(=C29)C2=C6C(=C8C8=C9C6=C4C%13=C9C(=C%141)C3=C85)C%11=C27</t>
  </si>
  <si>
    <t xml:space="preserve">{"power conversion efficiency": {"entity_name": "power conversion efficiency", "entity_start": 136, "entity_end": 138, "property_value_start": 140, "property_value_end": 141, "property_numeric_value": 2.85, "property_unit": "%", "property_value_descriptor": ""}, "open circuit voltage": {"entity_name": "open-circuit voltage", "entity_start": 164, "entity_end": 167, "property_value_start": 169, "property_value_end": 170, "property_numeric_value": 0.69, "property_unit": "V", "property_value_descriptor": ""}, "short circuit current": {"entity_name": "short-circuit current", "entity_start": 173, "entity_end": 176, "property_value_start": 178, "property_value_end": 180, "property_numeric_value": 8.42,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</si>
  <si>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10.1002/adfm.201201470</t>
  </si>
  <si>
    <t xml:space="preserve">PBTHDDT</t>
  </si>
  <si>
    <t xml:space="preserve">[*]c8cc(CCCCCCCCCCCC)c(c7nc6cc5sc(c4sc(c3cc2c(OCC(CCCCCC)CCCCCCCC)c1sc([*])cc1c(OCC(CCCCCC)CCCCCCCC)c2s3)cc4CCCCCCCCCCCC)nc5cc6s7)s8</t>
  </si>
  <si>
    <t xml:space="preserve">["poly[(4,8-bis(2-hexyldecyl)oxy)benzo[1,2-b:4,5-b']dithiophene)-2,6-diyl-alt-(2,5-bis(3-dodecylthiophen-2-yl)benzo[1,2-d;4,5-d']bisthiazole)", 'PBTHDDT']</t>
  </si>
  <si>
    <t xml:space="preserve">['PC_{71}BM', '[6,6]-phenyl-C71-butyric acid methyl ester']</t>
  </si>
  <si>
    <t xml:space="preserve">{"power conversion efficiency": {"entity_name": "Power conversion efficiency", "entity_start": 68, "entity_end": 70, "property_value_start": 82, "property_value_end": 83, "property_numeric_value": 3.75,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</si>
  <si>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IC_{60}BA</t>
  </si>
  <si>
    <t xml:space="preserve">['IC_{60}BA', 'indene-C_{60} bis-adduct']</t>
  </si>
  <si>
    <t xml:space="preserve">10.1039/c6ee00315j</t>
  </si>
  <si>
    <t xml:space="preserve">J51</t>
  </si>
  <si>
    <t xml:space="preserve">[*]c9ccc(c7c(F)c(F)c(c6ccc(c5cc4c(c1ccc(CC(CCCCCC)CCCCCCCC)s1)c2sc([*])cc2c(c3ccc(CC(CCCCCC)CCCCCCCC)s3)c4s5)s6)c8nn(CCCCCCCC)nc78)s9</t>
  </si>
  <si>
    <t xml:space="preserve">['J51']</t>
  </si>
  <si>
    <t xml:space="preserve">IDSe-T-IC</t>
  </si>
  <si>
    <t xml:space="preserve">CCCCCCc%15ccc(C7(c1ccc(CCCCCC)cc1)c2cc%13c(cc2c6[se]c(c5sc(C=c4c(=O)c3ccccc3c4=C(C#N)C#N)cc5CC(CC)CCCC)cc67)C(c8ccc(CCCCCC)cc8)(c9ccc(CCCCCC)cc9)c%14cc(c%12sc(C=c%11c(=O)c%10ccccc%10c%11=C(C#N)C#N)cc%12CC(CC)CCCC)[se]c%13%14)cc%15</t>
  </si>
  <si>
    <t xml:space="preserve">['IDSe-T-IC']</t>
  </si>
  <si>
    <t xml:space="preserve">{"power conversion efficiency": {"entity_name": "PCE", "entity_start": 185, "entity_end": 185, "property_value_start": 187, "property_value_end": 188, "property_numeric_value": 6.0, "property_unit": "%", "property_value_descriptor": ""}, "open circuit voltage": {"entity_name": "V_{oc}", "entity_start": 139, "entity_end": 140, "property_value_start": 142, "property_value_end": 143, "property_numeric_value": 0.91, "property_unit": "V", "property_value_descriptor": ""}, "short circuit current": {"entity_name": "J_{sc}", "entity_start": 146, "entity_end": 147, "property_value_start": 149, "property_value_end": 152, "property_numeric_value": 15.2, "property_unit": "mA cm^{-2}", "property_value_descriptor": ""}, "fill factor": {"entity_name": "FF", "entity_start": 158, "entity_end": 158, "property_value_start": 161, "property_value_end": 162, "property_numeric_value": 62.0, "property_unit": "%", "property_value_descriptor": ""}, "highest occupied molecular orbital": {}, "lowest unoccupied molecular orbital": {"entity_name": "LUMO level", "entity_start": 69, "entity_end": 70, "property_value_start": 72, "property_value_end": 73, "property_numeric_value": -3.79, "property_unit": "eV", "property_value_descriptor": ""}, "bandgap": {"entity_name": "E_{g}", "entity_start": 84, "entity_end": 85, "property_value_start": 87, "property_value_end": 88, "property_numeric_value": 1.91, "property_unit": "eV", "property_value_descriptor": ""}, "hole mobility": {}, "electron mobility": {}, "external quantum efficiency": {}}</t>
  </si>
  <si>
    <t xml:space="preserve">10.1039/c7tc02915b</t>
  </si>
  <si>
    <t xml:space="preserve">PDCB-DFQ812</t>
  </si>
  <si>
    <t xml:space="preserve">[*]c%10ccc(/C(C#N)=C/c9cc(OCC(CC)CCCC)c(/C=C(C#N)/c8ccc(c7sc(c5c(F)c(F)c(c1cc(CCCCCCCC)c([*])s1)c6nc4c2ccccc2c3ccccc3c4nc56)cc7CCCCCCCC)s8)cc9OCC(CC)CCCC)s%10</t>
  </si>
  <si>
    <t xml:space="preserve">['PDCB-DFQ812']</t>
  </si>
  <si>
    <t xml:space="preserve">{"power conversion efficiency": {"entity_name": "PCE", "entity_start": 230, "entity_end": 230, "property_value_start": 233, "property_value_end": 234, "property_numeric_value": 8.37, "property_unit": "%", "property_value_descriptor": ""}, "open circuit voltage": {"entity_name": "V_{OC}", "entity_start": 156, "entity_end": 158, "property_value_start": 162, "property_value_end": 163, "property_numeric_value": 1.043,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</si>
  <si>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10.1002/adfm.200600215</t>
  </si>
  <si>
    <t xml:space="preserve">['poly(3-hexylthiophene)', 'P3HT)-ZnMg']</t>
  </si>
  <si>
    <t xml:space="preserve">ZnMgO</t>
  </si>
  <si>
    <t xml:space="preserve">{"power conversion efficiency": {"entity_name": "power-conversion efficiency", "entity_start": 185, "entity_end": 188, "property_value_start": 190, "property_value_end": 191, "property_numeric_value": 0.5, "property_unit": "%", "property_value_descriptor": ""}, "open circuit voltage": {"entity_name": "V_{OC}", "entity_start": 138, "entity_end": 139, "property_value_start": 157, "property_value_end": 158, "property_numeric_value": 0.9,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</si>
  <si>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10.1021/ja506785w</t>
  </si>
  <si>
    <t xml:space="preserve">PIPCP</t>
  </si>
  <si>
    <t xml:space="preserve">[*]c1cc3c(s1)c2cc%14c(cc2C3(c4ccc(CCCCCC)cc4)c5ccc(CCCCCC)cc5)c%13sc(c%11cnc(c6cc%10c(s6)c9sc(c7ncc([*])c8nsnc78)cc9S%10(CC(CC)CCCC)CC(CC)CCCC)c%12nsnc%11%12)cc%13C%14(c%15ccc(CCCCCC)cc%15)c%16ccc(CCCCCC)cc%16</t>
  </si>
  <si>
    <t xml:space="preserve">['PIPCP']</t>
  </si>
  <si>
    <t xml:space="preserve">{"power conversion efficiency": {"entity_name": "PCE", "entity_start": 167, "entity_end": 167, "property_value_start": 169, "property_value_end": 170, "property_numeric_value": 6.0, "property_unit": "%", "property_value_descriptor": "~"}, "open circuit voltage": {"entity_name": "V_{oc}", "entity_start": 157, "entity_end": 158, "property_value_start": 161, "property_value_end": 162, "property_numeric_value": 0.86, "property_unit": "V", "property_value_descriptor": ""}, "short circuit current": {}, "fill factor": {}, "highest occupied molecular orbital": {}, "lowest unoccupied molecular orbital": {}, "bandgap": {"entity_name": "band gaps", "entity_start": 198, "entity_end": 199, "property_value_start": 204, "property_value_end": 205, "property_numeric_value": 1.5, "property_unit": "eV", "property_value_descriptor": ""}, "hole mobility": {}, "electron mobility": {}, "external quantum efficiency": {}}</t>
  </si>
  <si>
    <t xml:space="preserve">10.1016/j.matlet.2014.01.140</t>
  </si>
  <si>
    <t xml:space="preserve">TTQ</t>
  </si>
  <si>
    <t xml:space="preserve">[*]c5ccc(c3ccc([*])c4nc(c1ccc(CCCCCCCC)s1)c(c2ccc(CCCCCCCC)s2)nc34)s5</t>
  </si>
  <si>
    <t xml:space="preserve">['TTQ']</t>
  </si>
  <si>
    <t xml:space="preserve">{"power conversion efficiency": {"entity_name": "PCE", "entity_start": 182, "entity_end": 182, "property_value_start": 184, "property_value_end": 185, "property_numeric_value": 1.1, "property_unit": "%", "property_value_descriptor": ""}, "open circuit voltage": {"entity_name": "V_{oc}", "entity_start": 130, "entity_end": 131, "property_value_start": 133, "property_value_end": 134, "property_numeric_value": 0.7, "property_unit": "V", "property_value_descriptor": ""}, "short circuit current": {"entity_name": "J_{sc}", "entity_start": 136, "entity_end": 137, "property_value_start": 139, "property_value_end": 143, "property_numeric_value": 3.89, "property_unit": "mA/cm^{2}", "property_value_descriptor": ""}, "fill factor": {"entity_name": "FF", "entity_start": 149, "entity_end": 149, "property_value_start": 152, "property_value_end": 153, "property_numeric_value": 55.0, "property_unit": "%", "property_value_descriptor": ""}, "highest occupied molecular orbital": {}, "lowest unoccupied molecular orbital": {}, "bandgap": {"entity_name": "E_{g}^{opt}", "entity_start": 52, "entity_end": 53, "property_value_start": 72, "property_value_end": 73, "property_numeric_value": 1.62, "property_unit": "eV", "property_value_descriptor": ""}, "hole mobility": {}, "electron mobility": {}, "external quantum efficiency": {}}</t>
  </si>
  <si>
    <t xml:space="preserve">10.1016/j.solmat.2010.10.007</t>
  </si>
  <si>
    <t xml:space="preserve">PBTTbT</t>
  </si>
  <si>
    <t xml:space="preserve">{[*]c2ccc(c1sc([*])cc1CCCCCC)s2, [*]c3ccc(c1c(C)cc([*])c2nsnc12)s3}</t>
  </si>
  <si>
    <t xml:space="preserve">{"power conversion efficiency": {"entity_name": "PCE", "entity_start": 187, "entity_end": 187, "property_value_start": 194, "property_value_end": 195, "property_numeric_value": 1.98,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</si>
  <si>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10.1016/j.synthmet.2016.01.026</t>
  </si>
  <si>
    <t xml:space="preserve">C4-BFCBA</t>
  </si>
  <si>
    <t xml:space="preserve">['C4-BFCBA']</t>
  </si>
  <si>
    <t xml:space="preserve">{"power conversion efficiency": {"entity_name": "PCE", "entity_start": 140, "entity_end": 140, "property_value_start": 150, "property_value_end": 151, "property_numeric_value": 3.4,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</si>
  <si>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10.1039/c6ra07951b</t>
  </si>
  <si>
    <t xml:space="preserve">PBDTT-fDTBO</t>
  </si>
  <si>
    <t xml:space="preserve">[*]c9cc8c(c1cc(CCCCCCCCCC)c(CCCCCCCCCC)s1)c6sc(c5cc4c2nonc2c3cc([*])sc3c4s5)cc6c(c7cc(CCCCCCCCCC)c(CCCCCCCCCC)s7)c8s9</t>
  </si>
  <si>
    <t xml:space="preserve">['PBDTT-fDTBO']</t>
  </si>
  <si>
    <t xml:space="preserve">{"power conversion efficiency": {"entity_name": "PCE", "entity_start": 121, "entity_end": 121, "property_value_start": 130, "property_value_end": 131, "property_numeric_value": 4.5, "property_unit": "%", "property_value_descriptor": ""}, "open circuit voltage": {}, "short circuit current": {}, "fill factor": {}, "highest occupied molecular orbital": {"entity_name": "HOMO", "entity_start": 62, "entity_end": 62, "property_value_start": 64, "property_value_end": 65, "property_numeric_value": -5.5, "property_unit": "eV", "property_value_descriptor": ""}, "lowest unoccupied molecular orbital": {}, "bandgap": {"entity_name": "band gap", "entity_start": 150, "entity_end": 151, "property_value_start": 155, "property_value_end": 156, "property_numeric_value": 1.99, "property_unit": "eV", "property_value_descriptor": ""}, "hole mobility": {}, "electron mobility": {}, "external quantum efficiency": {}}</t>
  </si>
  <si>
    <t xml:space="preserve">10.1002/pola.25970</t>
  </si>
  <si>
    <t xml:space="preserve">POPT</t>
  </si>
  <si>
    <t xml:space="preserve">[*]c2cc(c1ccc(CCCCCCCC)cc1)c([*])s2</t>
  </si>
  <si>
    <t xml:space="preserve">['poly[3-(4-octylphenyl)thiophene)]', 'POPT']</t>
  </si>
  <si>
    <t xml:space="preserve">['[6,6]-phenyl C_{61} butyric acid methyl ester', 'PCBM']</t>
  </si>
  <si>
    <t xml:space="preserve">{"power conversion efficiency": {"entity_name": "power conversion efficiency", "entity_start": 135, "entity_end": 137, "property_value_start": 139, "property_value_end": 140, "property_numeric_value": 1.58,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</si>
  <si>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10.1016/j.tsf.2012.03.024</t>
  </si>
  <si>
    <t xml:space="preserve">[6,6]-phenyl-C_{61}-buytyric acid methyl ester</t>
  </si>
  <si>
    <t xml:space="preserve">{"power conversion efficiency": {"entity_name": "PCE", "entity_start": 73, "entity_end": 73, "property_value_start": 75, "property_value_end": 76, "property_numeric_value": 2.4,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</si>
  <si>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10.1016/j.synthmet.2012.02.001</t>
  </si>
  <si>
    <t xml:space="preserve">MEH-PPV</t>
  </si>
  <si>
    <t xml:space="preserve">[*]/C=C/c1cc(OC)c([*])cc1OCC(CC)CCCC</t>
  </si>
  <si>
    <t xml:space="preserve">['MEH-PPV']</t>
  </si>
  <si>
    <t xml:space="preserve">DBTFM-PPV</t>
  </si>
  <si>
    <t xml:space="preserve">[*]/C=C/c2cc(c1ccc(F)c(C(F)(F)F)c1)c([*])cc2c3ccc(F)c(C(F)(F)F)c3</t>
  </si>
  <si>
    <t xml:space="preserve">['DBTFM-PPV']</t>
  </si>
  <si>
    <t xml:space="preserve">{"power conversion efficiency": {"entity_name": "PCE", "entity_start": 129, "entity_end": 129, "property_value_start": 149, "property_value_end": 150, "property_numeric_value": 0.49, "property_unit": "%", "property_value_descriptor": ""}, "open circuit voltage": {"entity_name": "V_{oc}", "entity_start": 158, "entity_end": 159, "property_value_start": 162, "property_value_end": 163, "property_numeric_value": 1.16, "property_unit": "V", "property_value_descriptor": ""}, "short circuit current": {"entity_name": "J_{sc}", "entity_start": 178, "entity_end": 180, "property_value_start": 182, "property_value_end": 185, "property_numeric_value": 1.17, "property_unit": "mA/cm^{2}", "property_value_descriptor": ""}, "fill factor": {"entity_name": "fill factor", "entity_start": 165, "entity_end": 166, "property_value_start": 168, "property_value_end": 169, "property_numeric_value": 0.49,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</si>
  <si>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10.1039/c2cp40937b</t>
  </si>
  <si>
    <t xml:space="preserve">poly(2,5-bis(2-octyldodecyl)-3,6-di(furan-2-yl)-2,5-dihydro-pyrrolo[3,4-c]pyrrole-1,4-dione-co-thieno[3,2-b]thiophene)</t>
  </si>
  <si>
    <t xml:space="preserve">[*]c6ccc(c5c4c(=O)n(CC(CCCCCCCC)CCCCCCCCCC)c(c3ccc(c2cc1sc([*])cc1s2)o3)c4c(=O)n5CC(CCCCCCCC)CCCCCCCCCC)o6</t>
  </si>
  <si>
    <t xml:space="preserve">['poly(2,5-bis(2-octyldodecyl)-3,6-di(furan-2-yl)-2,5-dihydro-pyrrolo[3,4-c]pyrrole-1,4-dione-co-thieno[3,2-b]thiophene)', 'PDBF-co-TT']</t>
  </si>
  <si>
    <t xml:space="preserve">{"power conversion efficiency": {"entity_name": "power conversion efficiency", "entity_start": 142, "entity_end": 144, "property_value_start": 148, "property_value_end": 149, "property_numeric_value": 4.38, "property_unit": "%", "property_value_descriptor": ""}, "open circuit voltage": {}, "short circuit current": {}, "fill factor": {}, "highest occupied molecular orbital": {}, "lowest unoccupied molecular orbital": {}, "bandgap": {"entity_name": "band gap", "entity_start": 104, "entity_end": 105, "property_value_start": 107, "property_value_end": 108, "property_numeric_value": 1.39, "property_unit": "eV", "property_value_descriptor": ""}, "hole mobility": {"entity_name": "hole mobility", "entity_start": 49, "entity_end": 50, "property_value_start": 54, "property_value_end": 60, "property_numeric_value": 0.53, "property_unit": "cm^{2} V^{-1} s^{-1}", "property_value_descriptor": ""}, "electron mobility": {}, "external quantum efficiency": {}}</t>
  </si>
  <si>
    <t xml:space="preserve">10.1002/pola.26075</t>
  </si>
  <si>
    <t xml:space="preserve">PBDF</t>
  </si>
  <si>
    <t xml:space="preserve">[*]C#Cc2c1oc(N(CCCCCC)CCCCCC)c(C#N)c1c(C#C[*])c3oc(N(CCCCCC)CCCCCC)c(C#N)c23</t>
  </si>
  <si>
    <t xml:space="preserve">['PBDF']</t>
  </si>
  <si>
    <t xml:space="preserve">[6,6]-phenyl-C_{61}-butyric acid methyl ester</t>
  </si>
  <si>
    <t xml:space="preserve">['[6,6]-phenyl-C_{61}-butyric acid methyl ester', ]</t>
  </si>
  <si>
    <t xml:space="preserve">{"power conversion efficiency": {}, "open circuit voltage": {}, "short circuit current": {}, "fill factor": {}, "highest occupied molecular orbital": {"entity_name": "HOMO levels", "entity_start": 105, "entity_end": 106, "property_value_start": 108, "property_value_end": 111, "property_numeric_value": -5.234999999999999, "property_unit": "eV", "property_value_descriptor": "and"}, "lowest unoccupied molecular orbital": {}, "bandgap": {"entity_name": "optical band gaps", "entity_start": 87, "entity_end": 89, "property_value_start": 91, "property_value_end": 94, "property_numeric_value": 2.065, "property_unit": "eV", "property_value_descriptor": "-"}, "hole mobility": {}, "electron mobility": {}, "external quantum efficiency": {}}</t>
  </si>
  <si>
    <t xml:space="preserve">PBDFBTD</t>
  </si>
  <si>
    <t xml:space="preserve">[*]C#Cc4c1oc(N(CCCCCC)CCCCCC)c(C#N)c1c(C#Cc2ccc([*])c3nsnc23)c5oc(N(CCCCCC)CCCCCC)c(C#N)c45</t>
  </si>
  <si>
    <t xml:space="preserve">['PBDFBTD', 'poly(BDF-benzothiadiazole)']</t>
  </si>
  <si>
    <t xml:space="preserve">10.1002/adfm.201200738</t>
  </si>
  <si>
    <t xml:space="preserve">{"power conversion efficiency": {"entity_name": "power conversion efficiency", "entity_start": 135, "entity_end": 137, "property_value_start": 139, "property_value_end": 140,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</si>
  <si>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10.1039/c2jm31371e</t>
  </si>
  <si>
    <t xml:space="preserve">PHPT</t>
  </si>
  <si>
    <t xml:space="preserve">CCCCCCc4ccc(c3cc(c1sc([*])cc1c2ccc(CCCCCC)cc2)sc3[*])cc4</t>
  </si>
  <si>
    <t xml:space="preserve">['poly[3-(4-n-hexyl)phenylthiophene]', 'PHPT']</t>
  </si>
  <si>
    <t xml:space="preserve">['phenyl-C_{61}-butyric acid methyl ester', 'PCBM']</t>
  </si>
  <si>
    <t xml:space="preserve">{"power conversion efficiency": {"entity_name": "power conversion efficiency", "entity_start": 247, "entity_end": 249, "property_value_start": 251, "property_value_end": 252, "property_numeric_value": 3.7, "property_unit": "%", "property_value_descriptor": ""}, "open circuit voltage": {"entity_name": "V_{oc}", "entity_start": 240, "entity_end": 241, "property_value_start": 243, "property_value_end": 244, "property_numeric_value": 0.79,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</si>
  <si>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10.1016/j.solmat.2008.12.013</t>
  </si>
  <si>
    <t xml:space="preserve">poly-3-hexylthiophene</t>
  </si>
  <si>
    <t xml:space="preserve">['poly-3-hexylthiophene']</t>
  </si>
  <si>
    <t xml:space="preserve">[6,6]-phenyl-C61-butyric acid methyl ester</t>
  </si>
  <si>
    <t xml:space="preserve">{"power conversion efficiency": {"entity_name": "Light power conversion efficiencies", "entity_start": 128, "entity_end": 131, "property_value_start": 134, "property_value_end": 135, "property_numeric_value": 1.7,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</si>
  <si>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10.1016/j.polymer.2010.04.057</t>
  </si>
  <si>
    <t xml:space="preserve">PCzDBSe</t>
  </si>
  <si>
    <t xml:space="preserve">[*]c7ccc6c5ccc(c4ccc(c2ccc(c1ccc([*])s1)c3n[se]nc23)s4)cc5n(C(CCCCCCCC)CCCCCCCC)c6c7</t>
  </si>
  <si>
    <t xml:space="preserve">['PCzDBSe']</t>
  </si>
  <si>
    <t xml:space="preserve">{"power conversion efficiency": {"entity_name": "PCE", "entity_start": 256, "entity_end": 256, "property_value_start": 259, "property_value_end": 260, "property_numeric_value": 2.58, "property_unit": "%", "property_value_descriptor": ""}, "open circuit voltage": {"entity_name": "V_{oc}", "entity_start": 218, "entity_end": 220, "property_value_start": 222, "property_value_end": 223, "property_numeric_value": 0.75, "property_unit": "V", "property_value_descriptor": ""}, "short circuit current": {"entity_name": "J_{sc}", "entity_start": 232, "entity_end": 234, "property_value_start": 236, "property_value_end": 239, "property_numeric_value": 7.23, "property_unit": "mA cm^{-2}", "property_value_descriptor": ""}, "fill factor": {"entity_name": "FF", "entity_start": 245, "entity_end": 245, "property_value_start": 248, "property_value_end": 249, "property_numeric_value": 45.0, "property_unit": "%", "property_value_descriptor": ""}, "highest occupied molecular orbital": {}, "lowest unoccupied molecular orbital": {"entity_name": "LUMO levels", "entity_start": 102, "entity_end": 103, "property_value_start": 111, "property_value_end": 114, "property_numeric_value": -4.415, "property_unit": "eV", "property_value_descriptor": "and"}, "bandgap": {}, "hole mobility": {"entity_name": "hole mobility", "entity_start": 127, "entity_end": 128, "property_value_start": 149, "property_value_end": 157, "property_numeric_value": 0.00039, "property_unit": "cm^{2} V^{-1} s^{-1}", "property_value_descriptor": ""}, "electron mobility": {}, "external quantum efficiency": {}}</t>
  </si>
  <si>
    <t xml:space="preserve">10.1002/pola.24604</t>
  </si>
  <si>
    <t xml:space="preserve">CPDT-co-DFADTA</t>
  </si>
  <si>
    <t xml:space="preserve">[*]c%12ccc%11c%10ccc(N(c3ccc(/C=C/c2ccc(C=c1c(=O)n(CC)c(=S)n(CC)c1=O)s2)cc3)c9ccc8c7ccc(c4cc6c(s4)c5sc([*])cc5C6(CC(CC)CCCC)CC(CC)CCCC)cc7C(CCCCCC)(CCCCCC)c8c9)cc%10C(CCCCCC)(CCCCCC)c%11c%12</t>
  </si>
  <si>
    <t xml:space="preserve">['CPDT-co-DFADTA']</t>
  </si>
  <si>
    <t xml:space="preserve">0.7 V</t>
  </si>
  <si>
    <t xml:space="preserve">4.57 mA/cm^{2}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</si>
  <si>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 gaps", "entity_start": 167, "entity_end": 169, "property_value_start": 171, "property_value_end": 172, "property_numeric_value": 1.34, "property_unit": "eV", "property_value_descriptor": ""}, "hole mobility": {}, "electron mobility": {}, "external quantum efficiency": {}}</t>
  </si>
  <si>
    <t xml:space="preserve">CPDT-co-DFATCN</t>
  </si>
  <si>
    <t xml:space="preserve">[*]c%11ccc%10c9ccc(N(c2ccc(/C=C/c1ccc(/C(C#N)=C(C#N)/C#N)s1)cc2)c8ccc7c6ccc(c3cc5c(s3)c4sc([*])cc4C5(CC(CC)CCCC)CC(CC)CCCC)cc6C(CCCCCC)(CCCCCC)c7c8)cc9C(CCCCCC)(CCCCCC)c%10c%11</t>
  </si>
  <si>
    <t xml:space="preserve">['CPDT-co-DFADCN', 'CPDT-co-DFATCN']</t>
  </si>
  <si>
    <t xml:space="preserve">{"power conversion efficiency": {"entity_name": "PCEs", "entity_start": 201, "entity_end": 201, "property_value_start": 206, "property_value_end": 207, "property_numeric_value": 0.31, "property_unit": "%", "property_value_descriptor": ""}, "open circuit voltage": {}, "short circuit current": {}, "fill factor": {"entity_name": "fill factor", "entity_start": 288, "entity_end": 289, "property_value_start": 291, "property_value_end": 291, "property_numeric_value": 43.0,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</si>
  <si>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CPDT-co-TPATCN</t>
  </si>
  <si>
    <t xml:space="preserve">[*]c7ccc(N(c2ccc(/C=C/c1ccc(/C(C#N)=C(C#N)/C#N)s1)cc2)c6ccc(c3cc5c(s3)c4sc([*])cc4C5(CC(CC)CCCC)CC(CC)CCCC)cc6)cc7</t>
  </si>
  <si>
    <t xml:space="preserve">['CPDT-co-TPADCN', 'CPDT-co-TPATCN']</t>
  </si>
  <si>
    <t xml:space="preserve">{"power conversion efficiency": {"entity_name": "PCE", "entity_start": 264, "entity_end": 264, "property_value_start": 266, "property_value_end": 267, "property_numeric_value": 1.38, "property_unit": "%", "property_value_descriptor": ""}, "open circuit voltage": {"entity_name": "V_{oc}", "entity_start": 270, "entity_end": 271, "property_value_start": 273, "property_value_end": 274, "property_numeric_value": 0.7, "property_unit": "V", "property_value_descriptor": ""}, "short circuit current": {"entity_name": "J_{sc}", "entity_start": 277, "entity_end": 278, "property_value_start": 280, "property_value_end": 284, "property_numeric_value": 4.57,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</si>
  <si>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10.1039/b925089a</t>
  </si>
  <si>
    <t xml:space="preserve">TCBM-C6</t>
  </si>
  <si>
    <t xml:space="preserve">CCCCCCc%33ccc(CC%31(CCCC(=O)OC)C1%32c2c3c%30c4c5c6c(c7c8c1c9c%10c2c%11c%12c3c%13c4c%14c5c%15c%16c6c7c%17c%18c8c9c%19c%20c%10c%11c%21c%22c%12c%13c%23c%14c%24c%15c%25c%16c%17c%26c%18c%19c%27c%20c%21c%28c%22c%23c%24c%29c%25c%26c%27c%28%29)C%30%31%32)s%33</t>
  </si>
  <si>
    <t xml:space="preserve">['TCBM-C6']</t>
  </si>
  <si>
    <t xml:space="preserve">{"power conversion efficiency": {"entity_name": "PCE", "entity_start": 170, "entity_end": 170, "property_value_start": 175, "property_value_end": 176, "property_numeric_value": 4.26,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</si>
  <si>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10.1016/j.orgel.2013.06.019</t>
  </si>
  <si>
    <t xml:space="preserve">['P3HT', 'poly 3-hexylthiophene']</t>
  </si>
  <si>
    <t xml:space="preserve">['PCBM', '[6,6]-phenyl-C_{60}-butyric acid methyl ester']</t>
  </si>
  <si>
    <t xml:space="preserve">{"power conversion efficiency": {"entity_name": "PCE", "entity_start": 122, "entity_end": 122, "property_value_start": 138, "property_value_end": 141, "property_numeric_value": 3.6,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</si>
  <si>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10.1039/c9ta03989a</t>
  </si>
  <si>
    <t xml:space="preserve">PC_{60}BM</t>
  </si>
  <si>
    <t xml:space="preserve">['PC_{60}BM']</t>
  </si>
  <si>
    <t xml:space="preserve">{"power conversion efficiency": {"entity_name": "power conversion efficiencies", "entity_start": 152, "entity_end": 154, "property_value_start": 156, "property_value_end": 157, "property_numeric_value": 3.54,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</si>
  <si>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efficiencies", "entity_start": 152, "entity_end": 154, "property_value_start": 159, "property_value_end": 160, "property_numeric_value": 8.12,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</si>
  <si>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efficiencies", "entity_start": 152, "entity_end": 154, "property_value_start": 163, "property_value_end": 164, "property_numeric_value": 9.08,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</si>
  <si>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10.1021/am200720e</t>
  </si>
  <si>
    <t xml:space="preserve">C12DPP-π-BT</t>
  </si>
  <si>
    <t xml:space="preserve">[*]c6ccc(c5c4c(=O)n(CCCCCCCCCCCC)c(c3ccc(c2ccc(c1ccc([*])s1)s2)cc3)c4c(=O)n5CCCCCCCCCCCC)cc6</t>
  </si>
  <si>
    <t xml:space="preserve">['C12DPP-π-BT']</t>
  </si>
  <si>
    <t xml:space="preserve">{"power conversion efficiency": {"entity_name": "power conversion efficiencies", "entity_start": 178, "entity_end": 180, "property_value_start": 185, "property_value_end": 186, "property_numeric_value": 0.84,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</si>
  <si>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10.1021/am200907k</t>
  </si>
  <si>
    <t xml:space="preserve">{"power conversion efficiency": {"entity_name": "power conversion efficiency", "entity_start": 117, "entity_end": 119, "property_value_start": 121, "property_value_end": 122, "property_numeric_value": 2.53, "property_unit": "%", "property_value_descriptor": ""}, "open circuit voltage": {}, "short circuit current": {}, "fill factor": {"entity_name": "fill factor", "entity_start": 111, "entity_end": 112, "property_value_start": 114, "property_value_end": 115, "property_numeric_value": 67.0,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</si>
  <si>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poly[N-9-heptadecanyl-2,7-carbazole-alt-3,6-bis(thiophen-5-yl)-2,5-diethylhexyl-2,5-dihydropyrrolo-[3,4-]pyrrole-1,4-dione]</t>
  </si>
  <si>
    <t xml:space="preserve">[*]c7ccc6c5ccc(c4ccc(c3c2c(=O)n(CCCCCCCC)c(c1ccc([*])s1)c2c(=O)n3CCCCCCCC)s4)cc5n(C(CCCCCCCC)CCCCCCCC)c6c7</t>
  </si>
  <si>
    <t xml:space="preserve">['poly[N-9-heptadecanyl-2,7-carbazole-alt-3,6-bis(thiophen-5-yl)-2,5-diethylhexyl-2,5-dihydropyrrolo-[3,4-]pyrrole-1,4-dione]']</t>
  </si>
  <si>
    <t xml:space="preserve">{"power conversion efficiency": {"entity_name": "power conversion efficiency", "entity_start": 141, "entity_end": 143, "property_value_start": 147, "property_value_end": 148, "property_numeric_value": 3.14,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</si>
  <si>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10.1021/acsnano.7b03684</t>
  </si>
  <si>
    <t xml:space="preserve">{"power conversion efficiency": {"entity_name": "PCE", "entity_start": 51, "entity_end": 51, "property_value_start": 54, "property_value_end": 55, "property_numeric_value": 11.2,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</si>
  <si>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10.1021/am100078g</t>
  </si>
  <si>
    <t xml:space="preserve">PBTDTT-15</t>
  </si>
  <si>
    <t xml:space="preserve">[*]c5ccc(c4ccc(c3sc2c(sc1c(CCCCCCCCCCCCCCC)c([*])sc12)c3CCCCCCCCCCCCCCC)s4)s5</t>
  </si>
  <si>
    <t xml:space="preserve">["poly(2,6-bis(thiophene-2-yl)-3,5-dipentadecyldithieno[3,2-b;2',3'-d]thiophene)", 'PBTDTT-15']</t>
  </si>
  <si>
    <t xml:space="preserve">{"power conversion efficiency": {"entity_name": "PCE", "entity_start": 89, "entity_end": 89, "property_value_start": 92, "property_value_end": 93, "property_numeric_value": 3.23,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124, "entity_end": 125, "property_value_start": 135, "property_value_end": 141, "property_numeric_value": 0.0004, "property_unit": "cm^{2}(V s)", "property_value_descriptor": ""}, "electron mobility": {}, "external quantum efficiency": {}}</t>
  </si>
  <si>
    <t xml:space="preserve">10.1021/acsmacrolett.7b00738</t>
  </si>
  <si>
    <t xml:space="preserve">PBDB-T</t>
  </si>
  <si>
    <t xml:space="preserve">CCCCC(CC)Cc%10ccc(c8c1cc([*])sc1c(c2ccc(CC(CC)CCCC)s2)c9cc(c7ccc(c5sc(c3ccc([*])s3)c6c(=O)c4c(CC(CC)CCCC)sc(CC(CC)CCCC)c4c(=O)c56)s7)sc89)s%10</t>
  </si>
  <si>
    <t xml:space="preserve">['PBDB-T']</t>
  </si>
  <si>
    <t xml:space="preserve">PNDI-Si25</t>
  </si>
  <si>
    <t xml:space="preserve">[*]c%24cc(c%23ccc(c%19cc%21c(=O)n(CCCCCC[Si](C)(O[Si](C)(C)C)O[Si](C)(C)C)c(=O)c%22c(c%18ccc(c%17ccc(c%13cc%15c(=O)n(CC(CCCCCCCC)CCCCCCCCCC)c(=O)c%16c(c%12ccc(c%11ccc(c7cc9c(=O)n(CC(CCCCCCCC)CCCCCCCCCC)c(=O)c%10c(c6ccc(c5ccc(c1cc3c(=O)n(CC(CCCCCCCC)CCCCCCCCCC)c(=O)c4c([*])cc2c(=O)n(CC(CCCCCCCC)CCCCCCCCCC)c(=O)c1c2c34)s5)s6)cc8c(=O)n(CC(CCCCCCCC)CCCCCCCCCC)c(=O)c7c8c9%10)s%11)s%12)cc%14c(=O)n(CC(CCCCCCCC)CCCCCCCCCC)c(=O)c%13c%14c%15%16)s%17)s%18)cc%20c(=O)n(CCCCCC[Si](C)(O[Si](C)(C)C)O[Si](C)(C)C)c(=O)c%19c%20c%21%22)s%23)cs%24</t>
  </si>
  <si>
    <t xml:space="preserve">['PNDI-Si25']</t>
  </si>
  <si>
    <t xml:space="preserve">{"power conversion efficiency": {"entity_name": "PCE", "entity_start": 108, "entity_end": 108, "property_value_start": 111, "property_value_end": 112, "property_numeric_value": 7.4, "property_unit": "%", "property_value_descriptor": ""}, "open circuit voltage": {}, "short circuit current": {}, "fill factor": {"entity_name": "fill factor", "entity_start": 116, "entity_end": 117, "property_value_start": 119, "property_value_end": 119, "property_numeric_value": 68.0,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</si>
  <si>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10.1007/s00542-016-3033-x</t>
  </si>
  <si>
    <t xml:space="preserve">PNDI</t>
  </si>
  <si>
    <t xml:space="preserve">[*]c5ccc(c1cc3c(=O)n(CC(CCCCCCCCCC)CCCCCCCCCCCC)c(=O)c4c([*])cc2c(=O)n(CC(CCCCCCCCCC)CCCCCCCCCCCC)c(=O)c1c2c34)s5</t>
  </si>
  <si>
    <t xml:space="preserve">['poly(naphthalene diimide)s', 'PNDIs', 'PNDI']</t>
  </si>
  <si>
    <t xml:space="preserve">poly(naphthalene diimide)s; PNDI</t>
  </si>
  <si>
    <t xml:space="preserve">{"power conversion efficiency": {"entity_name": "PCE", "entity_start": 242, "entity_end": 242, "property_value_start": 244, "property_value_end": 245, "property_numeric_value": 2.28, "property_unit": "%", "property_value_descriptor": ""}, "open circuit voltage": {"entity_name": "V_{oc}", "entity_start": 247, "entity_end": 248, "property_value_start": 250, "property_value_end": 251, "property_numeric_value": 0.61, "property_unit": "V", "property_value_descriptor": ""}, "short circuit current": {"entity_name": "J_{sc}", "entity_start": 253, "entity_end": 254, "property_value_start": 256, "property_value_end": 260, "property_numeric_value": 7.0, "property_unit": "mA/cm^{2}", "property_value_descriptor": ""}, "fill factor": {"entity_name": "FF", "entity_start": 263, "entity_end": 263, "property_value_start": 265, "property_value_end": 265, "property_numeric_value": 54.0,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</si>
  <si>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10.1021/am2009458</t>
  </si>
  <si>
    <t xml:space="preserve">['poly (3-hexyl thiophene)', 'P3HT']</t>
  </si>
  <si>
    <t xml:space="preserve">{"power conversion efficiency": {"entity_name": "PCE", "entity_start": 93, "entity_end": 93, "property_value_start": 104, "property_value_end": 105, "property_numeric_value": 3.59, "property_unit": "%", "property_value_descriptor": ""}, "open circuit voltage": {"entity_name": "open-circuit voltage", "entity_start": 115, "entity_end": 118, "property_value_start": 122, "property_value_end": 123, "property_numeric_value": 0.64,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</si>
  <si>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10.1021/jp506869q</t>
  </si>
  <si>
    <t xml:space="preserve">poly[4,8-bis(2-ethyl-hexyl-thiophene-5-yl)-benzo[1,2-b:4,5-b]dithiophene-2,6-diyl]-alt-[2-(2-ethyl-hexanoyl)-thieno[3,4-b]thiophen-4,6-diyl]</t>
  </si>
  <si>
    <t xml:space="preserve">['poly[4,8-bis(2-ethyl-hexyl-thiophene-5-yl)-benzo[1,2-b:4,5-b]dithiophene-2,6-diyl]-alt-[2-(2-ethyl-hexanoyl)-thieno[3,4-b]thiophen-4,6-diyl]', 'PBDTTT-C-T']</t>
  </si>
  <si>
    <t xml:space="preserve">{"power conversion efficiency": {"entity_name": "power conversion efficiency", "entity_start": 147, "entity_end": 149, "property_value_start": 189, "property_value_end": 190, "property_numeric_value": 6.11,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</si>
  <si>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10.1021/acs.jpcc.5b08692</t>
  </si>
  <si>
    <t xml:space="preserve">poly [N-9''-hepta-decanyl-2,7-carbazolealt-5,5-(4',7'-di-2-thienyl-2',1',3'-ben -)</t>
  </si>
  <si>
    <t xml:space="preserve">["poly [N-9''-hepta-decanyl-2,7-carbazolealt-5,5-(4',7'-di-2-thienyl-2',1',3'-ben -)", 'PCDTBT']</t>
  </si>
  <si>
    <t xml:space="preserve">{"power conversion efficiency": {"entity_name": "power conversion efficiency", "entity_start": 70, "entity_end": 72, "property_value_start": 74, "property_value_end": 75, "property_numeric_value": 7.19,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</si>
  <si>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10.1021/jp409216e</t>
  </si>
  <si>
    <t xml:space="preserve">PBDTBDD</t>
  </si>
  <si>
    <t xml:space="preserve">['PBDTBDD']</t>
  </si>
  <si>
    <t xml:space="preserve">{"power conversion efficiency": {"entity_name": "PCE", "entity_start": 143, "entity_end": 143, "property_value_start": 145, "property_value_end": 146, "property_numeric_value": 6.07, "property_unit": "%", "property_value_descriptor": ""}, "open circuit voltage": {"entity_name": "V_{oc}", "entity_start": 202, "entity_end": 203, "property_value_start": 205, "property_value_end": 206, "property_numeric_value": 1.0, "property_unit": "V", "property_value_descriptor": ""}, "short circuit current": {"entity_name": "J_{sc}", "entity_start": 154, "entity_end": 155, "property_value_start": 157, "property_value_end": 161, "property_numeric_value": 10.02, "property_unit": "mA/cm^{2}", "property_value_descriptor": ""}, "fill factor": {"entity_name": "FF", "entity_start": 164, "entity_end": 164, "property_value_start": 166, "property_value_end": 167, "property_numeric_value": 60.54,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</si>
  <si>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10.1021/acsenergylett.8b00045</t>
  </si>
  <si>
    <t xml:space="preserve">PCE10</t>
  </si>
  <si>
    <t xml:space="preserve">['PCE10']</t>
  </si>
  <si>
    <t xml:space="preserve">IDTTBM</t>
  </si>
  <si>
    <t xml:space="preserve">CCCCCCc%15ccc(C7(c1ccc(CCCCCC)cc1)c2cc%10c(cc2c6sc5cc(c3ccc(/C=C(C#N)/C#N)c4nsnc34)sc5c67)C(c8ccc(CCCCCC)cc8)(c9cccc(CCCCC)c9)c%13c%10sc%14cc(c%11ccc(/C=C(C#N)/C#N)c%12nsnc%11%12)sc%13%14)cc%15</t>
  </si>
  <si>
    <t xml:space="preserve">['IDTTBM']</t>
  </si>
  <si>
    <t xml:space="preserve">{"power conversion efficiency": {"entity_name": "power conversion efficiencies", "entity_start": 103, "entity_end": 105, "property_value_start": 122, "property_value_end": 123, "property_numeric_value": 5.6,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</si>
  <si>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10.1021/acsami.7b10059</t>
  </si>
  <si>
    <t xml:space="preserve">PBODT</t>
  </si>
  <si>
    <t xml:space="preserve">[*]c8ccc(c7ccc(c6sc(c5cc4c1nonc1c3cc(c2cc(CC(CCCCCCCCCC)CCCCCCCCCCCC)c([*])s2)sc3c4s5)cc6CC(CCCCCCCCCC)CCCCCCCCCCCC)s7)s8</t>
  </si>
  <si>
    <t xml:space="preserve">['PBODT']</t>
  </si>
  <si>
    <t xml:space="preserve">{"power conversion efficiency": {"entity_name": "PCE", "entity_start": 172, "entity_end": 172, "property_value_start": 174, "property_value_end": 175, "property_numeric_value": 8.19,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</si>
  <si>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10.1039/c7nr06632e</t>
  </si>
  <si>
    <t xml:space="preserve">{"power conversion efficiency": {"entity_name": "power conversion efficiency", "entity_start": 126, "entity_end": 128, "property_value_start": 130, "property_value_end": 131, "property_numeric_value": 9.44,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</si>
  <si>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10.1002/adfm.201603892</t>
  </si>
  <si>
    <t xml:space="preserve">PTZ1</t>
  </si>
  <si>
    <t xml:space="preserve">[*]c9cc8c(c1ccc(CC(CCCC)CCCCCC)s1)c6sc(c5sc(c4nc3sc(c2cc(CC(CC)CCCC)c([*])s2)nc3s4)cc5CC(CC)CCCC)cc6c(c7ccc(CC(CCCC)CCCCCC)s7)c8s9</t>
  </si>
  <si>
    <t xml:space="preserve">['PTZ1']</t>
  </si>
  <si>
    <t xml:space="preserve">PMI-F-PMI</t>
  </si>
  <si>
    <t xml:space="preserve">CCCCCCCCC%17(CCCCCCCC)c8cc(c2ccc4c5ccc7c(=O)n(c1c(C(C)C)cccc1C(C)C)c(=O)c6ccc(c3cccc2c34)c5c67)ccc8c%16ccc(c%10ccc%12c%13ccc%15c(=O)n(c9c(C(C)C)cccc9C(C)C)c(=O)c%14ccc(c%11cccc%10c%11%12)c%13c%14%15)cc%16%17</t>
  </si>
  <si>
    <t xml:space="preserve">['PMI-F-PMI']</t>
  </si>
  <si>
    <t xml:space="preserve">{"power conversion efficiency": {"entity_name": "PCE", "entity_start": 207, "entity_end": 207, "property_value_start": 209, "property_value_end": 210, "property_numeric_value": 6.0, "property_unit": "%", "property_value_descriptor": ""}, "open circuit voltage": {"entity_name": "V_{oc}", "entity_start": 256, "entity_end": 257, "property_value_start": 259, "property_value_end": 260, "property_numeric_value": 2.0, "property_unit": "V", "property_value_descriptor": ""}, "short circuit current": {}, "fill factor": {}, "highest occupied molecular orbital": {"entity_name": "HOMO energy", "entity_start": 186, "entity_end": 187, "property_value_start": 201, "property_value_end": 202, "property_numeric_value": 0.19, "property_unit": "eV", "property_value_descriptor": ""}, "lowest unoccupied molecular orbital": {"entity_name": "LUMO", "entity_start": 133, "entity_end": 134, "property_value_start": 136, "property_value_end": 137, "property_numeric_value": -3.42, "property_unit": "eV", "property_value_descriptor": ""}, "bandgap": {}, "hole mobility": {}, "electron mobility": {}, "external quantum efficiency": {}}</t>
  </si>
  <si>
    <t xml:space="preserve">10.1021/ja306110b</t>
  </si>
  <si>
    <t xml:space="preserve">{"power conversion efficiency": {"entity_name": "power conversion efficiencies", "entity_start": 95, "entity_end": 97, "property_value_start": 99, "property_value_end": 100, "property_numeric_value": 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</si>
  <si>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10.1021/am501920z</t>
  </si>
  <si>
    <t xml:space="preserve">poly[9,9-bis(6'-(N,N-diethylamino)propyl)-fluorene-alt-9,9-bis(3-ethyl(oxetane-3-ethyloxy)-hexyl) fluorene]</t>
  </si>
  <si>
    <t xml:space="preserve">CCC8(COCCCCCCC7(CCCCCCOCC1(CC)COC1)c2cc([*])ccc2c6ccc(c5ccc4c3ccc([*])cc3C(CCCN(C)C)(CCCN(C)C)c4c5)cc67)COC8</t>
  </si>
  <si>
    <t xml:space="preserve">["poly[9,9-bis(6'-(N,N-diethylamino)propyl)-fluorene-alt-9,9-bis(3-ethyl(oxetane-3-ethyloxy)-hexyl) fluorene]", 'PFN-OX']</t>
  </si>
  <si>
    <t xml:space="preserve">{"power conversion efficiency": {"entity_name": "power conversion efficiency", "entity_start": 214, "entity_end": 216, "property_value_start": 218, "property_value_end": 219, "property_numeric_value": 9.28, "property_unit": "%", "property_value_descriptor": ""}, "open circuit voltage": {}, "short circuit current": {}, "fill factor": {"entity_name": "fill factor", "entity_start": 221, "entity_end": 222, "property_value_start": 226, "property_value_end": 227, "property_numeric_value": 74.4,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</si>
  <si>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10.1021/am5007047</t>
  </si>
  <si>
    <t xml:space="preserve">{"power conversion efficiency": {"entity_name": "PCE", "entity_start": 142, "entity_end": 142, "property_value_start": 145, "property_value_end": 146, "property_numeric_value": 3.1,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</si>
  <si>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10.1039/c6ta10978k</t>
  </si>
  <si>
    <t xml:space="preserve">='PTB7-Th'</t>
  </si>
  <si>
    <t xml:space="preserve">PPNDI-BO</t>
  </si>
  <si>
    <t xml:space="preserve">[*]c7ccc(c3cc5c(=O)n(c1ccc(OB=O)cc1)c(=O)c6c([*])cc4c(=O)n(c2ccc(OB=O)cc2)c(=O)c3c4c56)s7</t>
  </si>
  <si>
    <t xml:space="preserve">['PPNDI-BO']</t>
  </si>
  <si>
    <t xml:space="preserve">{"power conversion efficiency": {"entity_name": "PCE", "entity_start": 184, "entity_end": 184, "property_value_start": 187, "property_value_end": 188, "property_numeric_value": 4.25,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</si>
  <si>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10.1021/acs.macromol.7b00834</t>
  </si>
  <si>
    <t xml:space="preserve">PBDTTTPD</t>
  </si>
  <si>
    <t xml:space="preserve">CCCCCCCCn7c(=O)c6c([*])sc(c5cc4c(c1ccc(CC(CC)CCCC)s1)c2sc([*])cc2c(c3ccc(CC(CC)CCCC)s3)c4s5)c6c7=O</t>
  </si>
  <si>
    <t xml:space="preserve">['PBDTTTPD']</t>
  </si>
  <si>
    <t xml:space="preserve">{"power conversion efficiency": {"entity_name": "PCE", "entity_start": 276, "entity_end": 276, "property_value_start": 303, "property_value_end": 304, "property_numeric_value": 6.12,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</si>
  <si>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10.1021/acsami.7b14582</t>
  </si>
  <si>
    <t xml:space="preserve">PNDITF4T</t>
  </si>
  <si>
    <t xml:space="preserve">[*]c7ccc(c6c(F)c(F)c(c5ccc(c1cc3c(=O)n(CC(CCCCCCCCCC)CCCCCCCCCCCC)c(=O)c4c([*])cc2c(=O)n(CC(CCCCCCCCCC)CCCCCCCCCCCC)c(=O)c1c2c34)s5)c(F)c6F)s7</t>
  </si>
  <si>
    <t xml:space="preserve">['PNDITF4T']</t>
  </si>
  <si>
    <t xml:space="preserve">{"power conversion efficiency": {"entity_name": "power conversion efficiency", "entity_start": 94, "entity_end": 96, "property_value_start": 100, "property_value_end": 101, "property_numeric_value": 4.6, "property_unit": "%", "property_value_descriptor": ""}, "open circuit voltage": {"entity_name": "open-circuit voltage", "entity_start": 106, "entity_end": 109, "property_value_start": 117, "property_value_end": 118, "property_numeric_value": 0.78, "property_unit": "V", "property_value_descriptor": ""}, "short circuit current": {"entity_name": "short-circuit current", "entity_start": 135, "entity_end": 138, "property_value_start": 142, "property_value_end": 146, "property_numeric_value": 11.7, "property_unit": "mA/cm^{2}", "property_value_descriptor": ""}, "fill factor": {"entity_name": "fill factor", "entity_start": 153, "entity_end": 154, "property_value_start": 158, "property_value_end": 158, "property_numeric_value": 53.0,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</si>
  <si>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PNDITPhT</t>
  </si>
  <si>
    <t xml:space="preserve">[*]c7ccc(c6ccc(c5ccc(c1cc3c(=O)n(CC(CCCCCCCCCC)CCCCCCCCCCCC)c(=O)c4c([*])cc2c(=O)n(CC(CCCCCCCCCC)CCCCCCCCCCCC)c(=O)c1c2c34)s5)cc6)s7</t>
  </si>
  <si>
    <t xml:space="preserve">['PNDITPhT']</t>
  </si>
  <si>
    <t xml:space="preserve">10.1016/j.nanoen.2018.04.002</t>
  </si>
  <si>
    <t xml:space="preserve">PM7</t>
  </si>
  <si>
    <t xml:space="preserve">CCCCC(CC)Cc%10sc(c8c6cc(c5ccc(c3sc(c1ccc([*])s1)c4c(=O)c2c(CC(CC)CCCC)sc(CC(CC)CCCC)c2c(=O)c34)s5)sc6c(c7cc(Cl)c(CC(CC)CCCC)s7)c9cc([*])sc89)cc%10Cl</t>
  </si>
  <si>
    <t xml:space="preserve">['PM7']</t>
  </si>
  <si>
    <t xml:space="preserve">IT-4F</t>
  </si>
  <si>
    <t xml:space="preserve">CCCCCCc%15ccc(C%14(c1ccc(CCCCCC)cc1)c9cc8c5sc4cc(C=c3c(=O)c2cc(F)c(F)cc2c3=C(C#N)C#N)sc4c5C(c6ccc(CCCCCC)cc6)(c7ccc(CCCCCC)cc7)c8cc9c%13sc%12cc(C=c%11c(=O)c%10cc(F)c(F)cc%10c%11=C(C#N)C#N)sc%12c%13%14)cc%15</t>
  </si>
  <si>
    <t xml:space="preserve">0.88 V</t>
  </si>
  <si>
    <t xml:space="preserve">{"power conversion efficiency": {"entity_name": "PCE", "entity_start": 237, "entity_end": 237, "property_value_start": 239, "property_value_end": 240, "property_numeric_value": 13.1, "property_unit": "%", "property_value_descriptor": ""}, "open circuit voltage": {"entity_name": "V_{oc}", "entity_start": 217, "entity_end": 218, "property_value_start": 220, "property_value_end": 221, "property_numeric_value": 0.67, "property_unit": "V", "property_value_descriptor": ""}, "short circuit current": {"entity_name": "J_{sc}", "entity_start": 223, "entity_end": 224, "property_value_start": 226, "property_value_end": 229, "property_numeric_value": 15.0, "property_unit": "mA cm^{-2}", "property_value_descriptor": ""}, "fill factor": {"entity_name": "FF", "entity_start": 231, "entity_end": 231, "property_value_start": 233, "property_value_end": 234, "property_numeric_value": 57.6,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</si>
  <si>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0.67 V</t>
  </si>
  <si>
    <t xml:space="preserve">10.1021/acsami.9b12037</t>
  </si>
  <si>
    <t xml:space="preserve">["poly[(2,6-(4,8-bis(5-(2-ethylhexyl)thiophen-2-yl))benzo[1,2-b:4,5-b']dithiophene)-co-(1,3-di(5-thiophene-2-yl)-5,7-bis(2-ethylhexyl)benzo[1,2-c:4,5-c']dithiophene-4,8-dione)]", 'PBDB-T']</t>
  </si>
  <si>
    <t xml:space="preserve">P(NDI2DT-PTT)</t>
  </si>
  <si>
    <t xml:space="preserve">CCCCCCCCCCCCC(CCCCCCCCCC)Cn5c(=O)c6cc(c4ccc(c2ncc(c1ccc([*])s1)c3nsnc23)s4)c8c(=O)n(CC(CCCCCCCCCC)CCCCCCCCCCCC)c(=O)c7cc([*])c(c5=O)c6c78</t>
  </si>
  <si>
    <t xml:space="preserve">['P(NDI2DT-PTT)']</t>
  </si>
  <si>
    <t xml:space="preserve">{"power conversion efficiency": {"entity_name": "PCE", "entity_start": 209, "entity_end": 209, "property_value_start": 212, "property_value_end": 213, "property_numeric_value": 6.95,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</si>
  <si>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P(NDI2DT-BTT)</t>
  </si>
  <si>
    <t xml:space="preserve">CCCCCCCCCCCCC(CCCCCCCCCC)Cn5c(=O)c6cc(c4ccc(c2ccc(c1ccc([*])s1)c3nsnc23)s4)c8c(=O)n(CC(CCCCCCCCCC)CCCCCCCCCCCC)c(=O)c7cc([*])c(c5=O)c6c78</t>
  </si>
  <si>
    <t xml:space="preserve">['P(NDI2DT-BTT)']</t>
  </si>
  <si>
    <t xml:space="preserve">{"power conversion efficiency": {"entity_name": "PCEs", "entity_start": 228, "entity_end": 228, "property_value_start": 230, "property_value_end": 231, "property_numeric_value": 6.02,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</si>
  <si>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P(NDI2DT-BTTz)</t>
  </si>
  <si>
    <t xml:space="preserve">CCCCCCCCCCCCC(CCCCCCCCCC)Cn5c(=O)c6cc(c4cnc(c2ccc(c1ncc([*])s1)c3nsnc23)s4)c8c(=O)n(CC(CCCCCCCCCC)CCCCCCCCCCCC)c(=O)c7cc([*])c(c5=O)c6c78</t>
  </si>
  <si>
    <t xml:space="preserve">['P(NDI2DT-BTTz)']</t>
  </si>
  <si>
    <t xml:space="preserve">{"power conversion efficiency": {"entity_name": "PCEs", "entity_start": 228, "entity_end": 228, "property_value_start": 242, "property_value_end": 243, "property_numeric_value": 1.43,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</si>
  <si>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10.1039/c4cp03484h</t>
  </si>
  <si>
    <t xml:space="preserve">['PC_{71}BM', '[6,6]-phenyl C71-butyric acid methyl ester']</t>
  </si>
  <si>
    <t xml:space="preserve">{"power conversion efficiency": {"entity_name": "power conversion efficiencies", "entity_start": 65, "entity_end": 67, "property_value_start": 72, "property_value_end": 73, "property_numeric_value": 7.4,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</si>
  <si>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['PCBM', 'phenyl C_{61}-butryric acid methyl ester']</t>
  </si>
  <si>
    <t xml:space="preserve">10.1021/acsami.5b00521</t>
  </si>
  <si>
    <t xml:space="preserve">PBDTTBO</t>
  </si>
  <si>
    <t xml:space="preserve">[*]c9ccc(c7c(OCCCCCCCC)c(OCCCCCCCC)c(c6ccc(c5cc4c(c1ccc(CC(CC)CCCC)s1)c2sc([*])cc2c(c3ccc(CC(CC)CCCC)s3)c4s5)s6)c8nonc78)s9</t>
  </si>
  <si>
    <t xml:space="preserve">['PBDTTBO', 'PBDTTBO']</t>
  </si>
  <si>
    <t xml:space="preserve">{"power conversion efficiency": {"entity_name": "PCE", "entity_start": 269, "entity_end": 269, "property_value_start": 272, "property_value_end": 273, "property_numeric_value": 8.7,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</si>
  <si>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['P3HT', 'P3HT']</t>
  </si>
  <si>
    <t xml:space="preserve">{"power conversion efficiency": {"entity_name": "PCE", "entity_start": 269, "entity_end": 269, "property_value_start": 278, "property_value_end": 279, "property_numeric_value": 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</si>
  <si>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10.1039/c2jm30576c</t>
  </si>
  <si>
    <t xml:space="preserve">{"power conversion efficiency": {"entity_name": "PCE", "entity_start": 134, "entity_end": 134, "property_value_start": 136, "property_value_end": 137, "property_numeric_value": 3.7, "property_unit": "%", "property_value_descriptor": ""}, "open circuit voltage": {}, "short circuit current": {}, "fill factor": {"entity_name": "FF", "entity_start": 125, "entity_end": 125, "property_value_start": 127, "property_value_end": 127, "property_numeric_value": 67.0,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</si>
  <si>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10.1021/jacs.5b03449</t>
  </si>
  <si>
    <t xml:space="preserve">{"power conversion efficiency": {"entity_name": "PCE", "entity_start": 96, "entity_end": 96, "property_value_start": 98, "property_value_end": 99, "property_numeric_value": 10.5,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</si>
  <si>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10.1021/acsami.6b16305</t>
  </si>
  <si>
    <t xml:space="preserve">['PTB7', 'PTB7-based']</t>
  </si>
  <si>
    <t xml:space="preserve">["poly[[4,8-bis[(2-ethylhexyl)oxy]benzo[1,2-b:4,5-b']dithiophene-2,6-diyl][3-fluoro-2-[(2-ethylhexyl) carbonyl] thieno[3,4-b] thiophenediyl]]", "PC_{71}BM"]</t>
  </si>
  <si>
    <t xml:space="preserve">{"power conversion efficiency": {"entity_name": "power conversion efficiency", "entity_start": 118, "entity_end": 120, "property_value_start": 140, "property_value_end": 141, "property_numeric_value": 8.51,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</si>
  <si>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10.1016/j.orgel.2017.11.010</t>
  </si>
  <si>
    <t xml:space="preserve">{"power conversion efficiency": {"entity_name": "PCE", "entity_start": 154, "entity_end": 154, "property_value_start": 178, "property_value_end": 179, "property_numeric_value": 8.03,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</si>
  <si>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10.1021/acsami.7b00745</t>
  </si>
  <si>
    <t xml:space="preserve">{"power conversion efficiency": {"entity_name": "PCE", "entity_start": 58, "entity_end": 58, "property_value_start": 64, "property_value_end": 65, "property_numeric_value": 9.46,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</si>
  <si>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10.1039/c4ta03838j</t>
  </si>
  <si>
    <t xml:space="preserve">{"power conversion efficiency": {"entity_name": "power conversion efficiency", "entity_start": 30, "entity_end": 32, "property_value_start": 59, "property_value_end": 60, "property_numeric_value": 7.38,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</si>
  <si>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10.1039/c4cp05826g</t>
  </si>
  <si>
    <t xml:space="preserve">["poly[[4,8-bis[(2-ethylhexyl)oxy]benzo[1,2-b:4,5-b']dithiophene-2,6-diyl][3-fluoro-2-[(2-ethylhexyl)carbonyl]thieno[3,4-b]thiophenediyl]]:[6,6]-phenylC71-butyric acid methyl ester", 'PTB7']</t>
  </si>
  <si>
    <t xml:space="preserve">{"power conversion efficiency": {"entity_name": "PCE", "entity_start": 161, "entity_end": 161, "property_value_start": 163, "property_value_end": 164, "property_numeric_value": 6.76,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</si>
  <si>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10.1021/acs.jpcc.5b07349</t>
  </si>
  <si>
    <t xml:space="preserve">{"power conversion efficiency": {"entity_name": "PCE", "entity_start": 313, "entity_end": 313, "property_value_start": 315, "property_value_end": 316,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</si>
  <si>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10.1016/j.orgel.2019.03.041</t>
  </si>
  <si>
    <t xml:space="preserve">["poly[[4,8-bis[(2-ethyl- hexyl)oxy]benzo[1,2-b:4,5-b']dithiophene-2,6-diyl][3-fluoro-2-[(2-ethylhexyl)carbonyl]thieno[3,4-b]thiophenediyl]]", 'PTB7']</t>
  </si>
  <si>
    <t xml:space="preserve">{"power conversion efficiency": {"entity_name": "PCE", "entity_start": 94, "entity_end": 94, "property_value_start": 97, "property_value_end": 98, "property_numeric_value": 7.47, "property_unit": "%", "property_value_descriptor": ""}, "open circuit voltage": {"entity_name": "V oc", "entity_start": 125, "entity_end": 126, "property_value_start": 132, "property_value_end": 132, "property_numeric_value": 0.75, "property_unit": "V", "property_value_descriptor": ""}, "short circuit current": {"entity_name": "J sc", "entity_start": 139, "entity_end": 140, "property_value_start": 149, "property_value_end": 152, "property_numeric_value": 14.98,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</si>
  <si>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10.1039/c6cp00989a</t>
  </si>
  <si>
    <t xml:space="preserve">["poly[N-9''-hepta-decanyl-2,7-carbazole-alt-5,5-(4',7'-di-2-thienyl-2',1',3'-benzothiadiazole)]", 'PCDTBT']</t>
  </si>
  <si>
    <t xml:space="preserve">{"power conversion efficiency": {"entity_name": "PCE", "entity_start": 90, "entity_end": 90, "property_value_start": 94, "property_value_end": 95, "property_numeric_value": 7.01,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</si>
  <si>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10.1186/1556-276x-8-106</t>
  </si>
  <si>
    <t xml:space="preserve">['P3HT', 'P3HT)-cappe']</t>
  </si>
  <si>
    <t xml:space="preserve">{"power conversion efficiency": {"entity_name": "power conversion efficiency", "entity_start": 173, "entity_end": 175, "property_value_start": 177, "property_value_end": 178, "property_numeric_value": 1.32,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</si>
  <si>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10.1016/j.solmat.2013.01.040</t>
  </si>
  <si>
    <t xml:space="preserve">{"power conversion efficiency": {"entity_name": "power conversion efficiencies", "entity_start": 218, "entity_end": 220, "property_value_start": 225, "property_value_end": 226, "property_numeric_value": 2.93, "property_unit": "%", "property_value_descriptor": ""}, "open circuit voltage": {}, "short circuit current": {}, "fill factor": {}, "highest occupied molecular orbital": {}, "lowest unoccupied molecular orbital": {"entity_name": "LUMO) energy leve", "entity_start": 110, "entity_end": 113, "property_value_start": 125, "property_value_end": 126, "property_numeric_value": -3.42, "property_unit": "eV", "property_value_descriptor": ""}, "bandgap": {}, "hole mobility": {}, "electron mobility": {}, "external quantum efficiency": {}}</t>
  </si>
  <si>
    <t xml:space="preserve">10.1002/macp.201300041</t>
  </si>
  <si>
    <t xml:space="preserve">PBDTT3-TPA</t>
  </si>
  <si>
    <t xml:space="preserve">[*]c9ccc(c5sc(c4ccc(c3cc2c(OCC(CC)CCCC)c1sc([*])cc1c(OCC(CC)CCCC)c2s3)s4)cc5/C=C/c8ccc(N(c6ccc(OCC(CC)CCCC)cc6)c7ccc(OCC(CC)CCCC)cc7)cc8)s9</t>
  </si>
  <si>
    <t xml:space="preserve">['PBDTT3-TPA']</t>
  </si>
  <si>
    <t xml:space="preserve">0.80 V </t>
  </si>
  <si>
    <t xml:space="preserve">{"power conversion efficiency": {"entity_name": "power conversion efficiency", "entity_start": 78, "entity_end": 80, "property_value_start": 82, "property_value_end": 83, "property_numeric_value": 2.48,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</si>
  <si>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10.1016/j.tsf.2013.04.152</t>
  </si>
  <si>
    <t xml:space="preserve">PBDT-TZN</t>
  </si>
  <si>
    <t xml:space="preserve">[*]c5cc4c(OCC(CC)CCCC)c3sc(c2cc(c1nc(N(=O)=O)nn1CCCC)c([*])s2)cc3c(OCC(CC)CCCC)c4s5</t>
  </si>
  <si>
    <t xml:space="preserve">['PBDT-TZN']</t>
  </si>
  <si>
    <r>
      <rPr>
        <sz val="11"/>
        <color rgb="FF000000"/>
        <rFont val="Calibri"/>
        <family val="2"/>
        <charset val="1"/>
      </rPr>
      <t xml:space="preserve">[6, 6]-phenyl-C_{</t>
    </r>
    <r>
      <rPr>
        <sz val="10"/>
        <color rgb="FF2E2E2E"/>
        <rFont val="NexusSerif"/>
        <family val="0"/>
        <charset val="1"/>
      </rPr>
      <t xml:space="preserve">61}</t>
    </r>
    <r>
      <rPr>
        <sz val="14"/>
        <color rgb="FF2E2E2E"/>
        <rFont val="NexusSerif"/>
        <family val="0"/>
        <charset val="1"/>
      </rPr>
      <t xml:space="preserve">-butyric acid methyl ester</t>
    </r>
  </si>
  <si>
    <t xml:space="preserve">{"power conversion efficiency": {"entity_name": "power conversion efficiency", "entity_start": 117, "entity_end": 119, "property_value_start": 121, "property_value_end": 122, "property_numeric_value": 1.13,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</si>
  <si>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10.1016/j.synthmet.2013.06.007</t>
  </si>
  <si>
    <t xml:space="preserve">[*]c7cc6cc5c4cc3cc(c1sc([*])c2c(=O)n(CCCCCCCC)c(=O)c12)sc3cc4n(C(=O)OCC(CCCCCCCC)CCCCCCCCCC)c5cc6s7</t>
  </si>
  <si>
    <t xml:space="preserve">{"power conversion efficiency": {"entity_name": "PCE", "entity_start": 68, "entity_end": 68, "property_value_start": 71, "property_value_end": 72, "property_numeric_value": 2.51,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</si>
  <si>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10.1016/j.synthmet.2013.06.012</t>
  </si>
  <si>
    <t xml:space="preserve">[*]c6cc5c(OCC(CCCCCCCC)CCCCCCCCCC)c4sc(c3cc2c(=O)n(CCCCCCCCCCCC)c(=O)c1cc([*])sc1c2s3)cc4c(OCC(CCCCCCCC)CCCCCCCCCC)c5s6</t>
  </si>
  <si>
    <t xml:space="preserve">PC71BM</t>
  </si>
  <si>
    <t xml:space="preserve">['PC71BM']</t>
  </si>
  <si>
    <t xml:space="preserve">0.97 V</t>
  </si>
  <si>
    <t xml:space="preserve">{"power conversion efficiency": {"entity_name": "PCE", "entity_start": 204, "entity_end": 204, "property_value_start": 215, "property_value_end": 216, "property_numeric_value": 0.76, "property_unit": "%", "property_value_descriptor": ""}, "open circuit voltage": {"entity_name": "VOC", "entity_start": 219, "entity_end": 219, "property_value_start": 221, "property_value_end": 222, "property_numeric_value": 0.84, "property_unit": "V", "property_value_descriptor": ""}, "short circuit current": {"entity_name": "JSC", "entity_start": 181, "entity_end": 181, "property_value_start": 183, "property_value_end": 187, "property_numeric_value": 3.06,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</si>
  <si>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[*]c8ccc7c6ccc(c5csc(c4cc3c(=O)n(CCCCCCCC)c(=O)c2cc(c1ccc([*])s1)sc2c3s4)c5)cc6n(C(CCCCCCCC)CCCCCCCC)c7c8</t>
  </si>
  <si>
    <t xml:space="preserve">0.84 V</t>
  </si>
  <si>
    <t xml:space="preserve">{"power conversion efficiency": {}, "open circuit voltage": {}, "short circuit current": {"entity_name": "JSC", "entity_start": 225, "entity_end": 225, "property_value_start": 227, "property_value_end": 231, "property_numeric_value": 2.48, "property_unit": "mA/cm^{2}", "property_value_descriptor": ""}, "fill factor": {"entity_name": "FF", "entity_start": 235, "entity_end": 235, "property_value_start": 237, "property_value_end": 237, "property_numeric_value": 36.0,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</si>
  <si>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10.1002/pat.3169</t>
  </si>
  <si>
    <t xml:space="preserve">[*]c9ccc8c(=c6c(=O)n(CC(CCCCCC)CCCCCCCC)c7cc(c5ccc(c1cc4c(s1)c3sc(c2ccc([*])s2)cc3n4CC(CCCCCC)CCCCCCCC)s5)ccc67)c(=O)n(CC(CCCCCC)CCCCCCCC)c8c9</t>
  </si>
  <si>
    <t xml:space="preserve">{"power conversion efficiency": {"entity_name": "power conversion efficiency", "entity_start": 87, "entity_end": 89, "property_value_start": 106, "property_value_end": 107, "property_numeric_value": 1.86, "property_unit": "%", "property_value_descriptor": ""}, "open circuit voltage": {"entity_name": "open-circuit voltage", "entity_start": 109, "entity_end": 112, "property_value_start": 114, "property_value_end": 115, "property_numeric_value": 0.54, "property_unit": "V", "property_value_descriptor": ""}, "short circuit current": {"entity_name": "short-circuit current", "entity_start": 118, "entity_end": 121, "property_value_start": 123, "property_value_end": 127, "property_numeric_value": 6.36, "property_unit": "mA/cm^{2}", "property_value_descriptor": ""}, "fill factor": {}, "highest occupied molecular orbital": {}, "lowest unoccupied molecular orbital": {}, "bandgap": {"entity_name": "optical bandgaps", "entity_start": 59, "entity_end": 60, "property_value_start": 62, "property_value_end": 65, "property_numeric_value": 1.52, "property_unit": "eV", "property_value_descriptor": "and"}, "hole mobility": {}, "electron mobility": {}, "external quantum efficiency": {}}</t>
  </si>
  <si>
    <t xml:space="preserve">10.1039/c4ra00335g</t>
  </si>
  <si>
    <t xml:space="preserve">='PBTFF-C8'</t>
  </si>
  <si>
    <t xml:space="preserve">['70]PCBM']</t>
  </si>
  <si>
    <t xml:space="preserve">{"power conversion efficiency": {"entity_name": "PCE", "entity_start": 126, "entity_end": 126, "property_value_start": 130, "property_value_end": 131, "property_numeric_value": 1.82, "property_unit": "%", "property_value_descriptor": ""}, "open circuit voltage": {"entity_name": "V_{oc}", "entity_start": 115, "entity_end": 116, "property_value_start": 119, "property_value_end": 120, "property_numeric_value": 0.95,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</si>
  <si>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10.1080/15421406.2014.933306</t>
  </si>
  <si>
    <t xml:space="preserve">[*]c9cc8c(c1ccc(CC(CC)CCCC)s1)c6sc(c4sc([*])c5nc(c2ccc(OCCCCCCCC)cc2)c(c3ccc(OCCCCCCCC)cc3)nc45)cc6c(c7ccc(CC(CC)CCCC)s7)c8s9</t>
  </si>
  <si>
    <t xml:space="preserve">{"power conversion efficiency": {"entity_name": "PCE", "entity_start": 154, "entity_end": 154, "property_value_start": 156, "property_value_end": 157, "property_numeric_value": 1.46, "property_unit": "%", "property_value_descriptor": ""}, "open circuit voltage": {"entity_name": "open circuit voltage", "entity_start": 171, "entity_end": 173, "property_value_start": 175, "property_value_end": 176, "property_numeric_value": 0.43, "property_unit": "V", "property_value_descriptor": ""}, "short circuit current": {"entity_name": "short circuit current", "entity_start": 160, "entity_end": 162, "property_value_start": 164, "property_value_end": 168, "property_numeric_value": 7.61, "property_unit": "mA/cm^{2}", "property_value_descriptor": ""}, "fill factor": {"entity_name": "fill factor", "entity_start": 180, "entity_end": 181, "property_value_start": 183, "property_value_end": 183, "property_numeric_value": 45.0,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</si>
  <si>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10.1016/j.tsf.2009.02.014</t>
  </si>
  <si>
    <t xml:space="preserve">{"power conversion efficiency": {"entity_name": "PCE", "entity_start": 208, "entity_end": 208, "property_value_start": 210, "property_value_end": 211, "property_numeric_value": 2.26,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</si>
  <si>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10.1002/pssa.201431565</t>
  </si>
  <si>
    <t xml:space="preserve">{"power conversion efficiency": {"entity_name": "PCE", "entity_start": 93, "entity_end": 93, "property_value_start": 109, "property_value_end": 110, "property_numeric_value": 3.32,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</si>
  <si>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10.1039/c5ra00511f</t>
  </si>
  <si>
    <t xml:space="preserve">{"power conversion efficiency": {"entity_name": "PCE", "entity_start": 84, "entity_end": 84, "property_value_start": 99, "property_value_end": 100, "property_numeric_value": 7.18,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</si>
  <si>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10.1039/c6tc01238h</t>
  </si>
  <si>
    <t xml:space="preserve">PIDT-t-TPD</t>
  </si>
  <si>
    <t xml:space="preserve">[*]c%13ccc(c%11sc(c%10ccc(c1cc3c(s1)c2cc7c(cc2C3(c4ccc(CCCCCC)cc4)c5ccc(CCCCCC)cc5)c6sc([*])cc6C7(c8ccc(CCCCCC)cc8)c9ccc(CCCCCC)cc9)s%10)c%12c(=O)n(CC(CCCCCCCC)CCCCCCCCCC)c(=O)c%11%12)s%13</t>
  </si>
  <si>
    <t xml:space="preserve">['PIDT-t-TPD', 'PIDT-tt-TPD']</t>
  </si>
  <si>
    <t xml:space="preserve">{"power conversion efficiency": {"entity_name": "PCE", "entity_start": 221, "entity_end": 221, "property_value_start": 223, "property_value_end": 224, "property_numeric_value": 2.47, "property_unit": "%", "property_value_descriptor": ""}, "open circuit voltage": {}, "short circuit current": {"entity_name": "J_{sc}", "entity_start": 228, "entity_end": 229, "property_value_start": 231, "property_value_end": 233, "property_numeric_value": 5.52,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</si>
  <si>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10.1002/asia.201600450</t>
  </si>
  <si>
    <t xml:space="preserve">P(NDI-TDT)</t>
  </si>
  <si>
    <t xml:space="preserve">[*]c7cc6sc5cc(c1cc3c(=O)n(CC(CCCCCCCCCC)CCCCCCCCCCCCC)c(=O)c4c([*])cc2c(=O)n(CC(CCCCCCCCCC)CCCCCCCCCCCC)c(=O)c1c2c34)sc5c6s7</t>
  </si>
  <si>
    <t xml:space="preserve">{"power conversion efficiency": {"entity_name": "power conversion efficiency", "entity_start": 202, "entity_end": 204, "property_value_start": 212, "property_value_end": 213, "property_numeric_value": 5.1, "property_unit": "%", "property_value_descriptor": ""}, "open circuit voltage": {}, "short circuit current": {}, "fill factor": {}, "highest occupied molecular orbital": {}, "lowest unoccupied molecular orbital": {}, "bandgap": {"entity_name": "E_{g}", "entity_start": 179, "entity_end": 180, "property_value_start": 183, "property_value_end": 184, "property_numeric_value": 1.9, "property_unit": "eV", "property_value_descriptor": ""}, "hole mobility": {}, "electron mobility": {}, "external quantum efficiency": {}}</t>
  </si>
  <si>
    <t xml:space="preserve">P(NDI-TT)</t>
  </si>
  <si>
    <t xml:space="preserve">[*]c6cc5sc(c1cc3c(=O)n(CC(CCCCCCCCCC)CCCCCCCCCCCCC)c(=O)c4c([*])cc2c(=O)n(CC(CCCCCCCCCC)CCCCCCCCCCCC)c(=O)c1c2c34)cc5s6</t>
  </si>
  <si>
    <t xml:space="preserve">P(NDI-T)</t>
  </si>
  <si>
    <t xml:space="preserve">[*]c5ccc(c1cc3c(=O)n(CC(CCCCCCCC)CCCCCCCCCC)c(=O)c4c([*])cc2c(=O)n(CC(CCCCCCCC)CCCCCCCCCC)c(=O)c1c2c34)s5</t>
  </si>
  <si>
    <t xml:space="preserve">10.1016/j.synthmet.2016.05.019</t>
  </si>
  <si>
    <t xml:space="preserve">P(BDT-C_{7}-DPPD)</t>
  </si>
  <si>
    <t xml:space="preserve">[*]c7ccc(c6c1c(=O)n(CCCCCCC)c(=O)c1c(c5ccc(c4cc3c(OC(CC)CCCC)c2sc([*])cc2c(OC(CC)CCCC)c3s4)s5)n6CCCCCCCC)s7</t>
  </si>
  <si>
    <t xml:space="preserve">{"power conversion efficiency": {"entity_name": "PCE", "entity_start": 161, "entity_end": 161, "property_value_start": 174, "property_value_end": 175, "property_numeric_value": 0.87, "property_unit": "%", "property_value_descriptor": ""}, "open circuit voltage": {}, "short circuit current": {}, "fill factor": {}, "highest occupied molecular orbital": {}, "lowest unoccupied molecular orbital": {}, "bandgap": {"entity_name": "E_{g}", "entity_start": 96, "entity_end": 97, "property_value_start": 98, "property_value_end": 100, "property_numeric_value": 2.11, "property_unit": "eV", "property_value_descriptor": "~"}, "hole mobility": {}, "electron mobility": {}, "external quantum efficiency": {}}</t>
  </si>
  <si>
    <t xml:space="preserve">P(BDT-C_{8}-DPPD)</t>
  </si>
  <si>
    <t xml:space="preserve">[*]c7ccc(c6c1c(=O)n(CCCCCCCC)c(=O)c1c(c5ccc(c4cc3c(OC(CC)CCCC)c2sc([*])cc2c(OC(CC)CCCC)c3s4)s5)n6CCCCCCCC)s7</t>
  </si>
  <si>
    <t xml:space="preserve">P(BDT-C_{10}-DPPD)</t>
  </si>
  <si>
    <t xml:space="preserve">[*]c7ccc(c6c1c(=O)n(CCCCCCCCCC)c(=O)c1c(c5ccc(c4cc3c(OC(CC)CCCC)c2sc([*])cc2c(OC(CC)CCCC)c3s4)s5)n6CCCCCCCC)s7</t>
  </si>
  <si>
    <t xml:space="preserve">P(BDT-C_{12}-DPPD)</t>
  </si>
  <si>
    <t xml:space="preserve">[*]c7ccc(c6c1c(=O)n(CCCCCCCCCCCC)c(=O)c1c(c5ccc(c4cc3c(OC(CC)CCCC)c2sc([*])cc2c(OC(CC)CCCC)c3s4)s5)n6CCCCCCCC)s7</t>
  </si>
  <si>
    <t xml:space="preserve">10.1039/c6ra12355d</t>
  </si>
  <si>
    <t xml:space="preserve">{"power conversion efficiency": {"entity_name": "PCE", "entity_start": 49, "entity_end": 49, "property_value_start": 52, "property_value_end": 53, "property_numeric_value": 6.16,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</si>
  <si>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10.1016/j.solmat.2011.04.021</t>
  </si>
  <si>
    <t xml:space="preserve">{"power conversion efficiency": {"entity_name": "power conversion efficiency", "entity_start": 165, "entity_end": 167, "property_value_start": 174, "property_value_end": 175, "property_numeric_value": 2.22, "property_unit": "%", "property_value_descriptor": ""}, "open circuit voltage": {"entity_name": "open-circuit voltage", "entity_start": 146, "entity_end": 149, "property_value_start": 159, "property_value_end": 160, "property_numeric_value": 0.78,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</si>
  <si>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10.1039/c7ta02427d</t>
  </si>
  <si>
    <t xml:space="preserve">{"power conversion efficiency": {"entity_name": "PCE", "entity_start": 99, "entity_end": 99, "property_value_start": 101, "property_value_end": 102, "property_numeric_value": 9.34,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</si>
  <si>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10.1002/macp.201200333</t>
  </si>
  <si>
    <t xml:space="preserve">PDTSDOBT</t>
  </si>
  <si>
    <t xml:space="preserve">CCCCCCCCOc6c(OCCCCCCCC)c(c4ccc(c1cc3c(s1)c2sc([*])cc2[Si]3(CC(CC)CCCC)CC(CC)CCCC)s4)c5nsnc5c6c7ccc([*])s7</t>
  </si>
  <si>
    <t xml:space="preserve">['PDTSDOBT']</t>
  </si>
  <si>
    <t xml:space="preserve">{"power conversion efficiency": {"entity_name": "power conversion efficiency", "entity_start": 85, "entity_end": 87, "property_value_start": 103, "property_value_end": 104, "property_numeric_value": 3.51, "property_unit": "%", "property_value_descriptor": ""}, "open circuit voltage": {"entity_name": "open-circuit voltage", "entity_start": 119, "entity_end": 122, "property_value_start": 124, "property_value_end": 125, "property_numeric_value": 0.69, "property_unit": "V", "property_value_descriptor": ""}, "short circuit current": {"entity_name": "short-circuit current density", "entity_start": 107, "entity_end": 111, "property_value_start": 113, "property_value_end": 116, "property_numeric_value": 8.96, "property_unit": "mA cm^{-2}", "property_value_descriptor": ""}, "fill factor": {"entity_name": "fill factor", "entity_start": 129, "entity_end": 130, "property_value_start": 132, "property_value_end": 132, "property_numeric_value": 56.8, "property_unit": "%", "property_value_descriptor": ""}, "highest occupied molecular orbital": {}, "lowest unoccupied molecular orbital": {}, "bandgap": {"entity_name": "bandgap", "entity_start": 59, "entity_end": 59, "property_value_start": 61, "property_value_end": 62, "property_numeric_value": 1.63, "property_unit": "eV", "property_value_descriptor": ""}, "hole mobility": {"entity_name": "hole mobility", "entity_start": 65, "entity_end": 66, "property_value_start": 74, "property_value_end": 82, "property_numeric_value": 0.000558, "property_unit": "cm^{2} V^{-1} s^{-1}", "property_value_descriptor": ""}, "electron mobility": {}, "external quantum efficiency": {}}</t>
  </si>
  <si>
    <t xml:space="preserve">10.1016/j.dyepig.2018.03.013</t>
  </si>
  <si>
    <t xml:space="preserve">PTT-FBTz</t>
  </si>
  <si>
    <t xml:space="preserve">{"power conversion efficiency": {"entity_name": "PCE", "entity_start": 176, "entity_end": 176, "property_value_start": 178, "property_value_end": 179, "property_numeric_value": 2.63,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</si>
  <si>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PTTz-FBTz</t>
  </si>
  <si>
    <t xml:space="preserve">10.1039/c5ra18902k</t>
  </si>
  <si>
    <t xml:space="preserve">RP3</t>
  </si>
  <si>
    <t xml:space="preserve">['RP1', 'RP3']</t>
  </si>
  <si>
    <t xml:space="preserve">{"power conversion efficiency": {"entity_name": "PCE", "entity_start": 283, "entity_end": 283, "property_value_start": 292, "property_value_end": 293, "property_numeric_value": 2.41, "property_unit": "%", "property_value_descriptor": ""}, "open circuit voltage": {}, "short circuit current": {}, "fill factor": {}, "highest occupied molecular orbital": {}, "lowest unoccupied molecular orbital": {}, "bandgap": {"entity_name": "band gaps", "entity_start": 114, "entity_end": 115, "property_value_start": 138, "property_value_end": 139, "property_numeric_value": 1.45, "property_unit": "eV", "property_value_descriptor": ""}, "hole mobility": {}, "electron mobility": {}, "external quantum efficiency": {}}</t>
  </si>
  <si>
    <t xml:space="preserve">10.1007/s11426-016-0173-y</t>
  </si>
  <si>
    <t xml:space="preserve">J40</t>
  </si>
  <si>
    <t xml:space="preserve">['- A', 'J40', 'J40-based']</t>
  </si>
  <si>
    <t xml:space="preserve">{"power conversion efficiency": {"entity_name": "PCE", "entity_start": 240, "entity_end": 240, "property_value_start": 242, "property_value_end": 243, "property_numeric_value": 6.48,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</si>
  <si>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10.1016/j.orgel.2017.08.005</t>
  </si>
  <si>
    <t xml:space="preserve">PDBT-T1</t>
  </si>
  <si>
    <t xml:space="preserve">[*]c%12ccc(c%10sc(c8ccc(c7cc6sc5c(c1ccc(CCCCCCCC)s1)c3c(sc2cc([*])sc23)c(c4ccc(CCCCCCCC)s4)c5c6s7)s8)c%11c(=O)c9c(CC(CC)CCCC)sc(CC(CC)CCCC)c9c(=O)c%10%11)s%12</t>
  </si>
  <si>
    <t xml:space="preserve">['PDBT-T1']</t>
  </si>
  <si>
    <t xml:space="preserve">PBDT-PDI</t>
  </si>
  <si>
    <t xml:space="preserve">['PBDT-PDI']</t>
  </si>
  <si>
    <t xml:space="preserve">{"power conversion efficiency": {"entity_name": "PCE", "entity_start": 209, "entity_end": 209, "property_value_start": 212, "property_value_end": 213, "property_numeric_value": 4.47,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</si>
  <si>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PF-PDI</t>
  </si>
  <si>
    <t xml:space="preserve">['PF-PDI']</t>
  </si>
  <si>
    <t xml:space="preserve">{"power conversion efficiency": {"entity_name": "PCE", "entity_start": 233, "entity_end": 233, "property_value_start": 235, "property_value_end": 236, "property_numeric_value": 2.7,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</si>
  <si>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10.1016/j.orgel.2018.10.034</t>
  </si>
  <si>
    <t xml:space="preserve">P-diF2 T</t>
  </si>
  <si>
    <t xml:space="preserve">['P-diF2 T', 'P-TT', 'P-TT']</t>
  </si>
  <si>
    <t xml:space="preserve">- indaceno[1,2-b:5,6-b']dithiophene</t>
  </si>
  <si>
    <t xml:space="preserve">{"power conversion efficiency": {"entity_name": "PCE", "entity_start": 223, "entity_end": 223, "property_value_start": 226, "property_value_end": 227, "property_numeric_value": 10.08, "property_unit": "%", "property_value_descriptor": ""}, "open circuit voltage": {}, "short circuit current": {}, "fill factor": {"entity_name": "FF", "entity_start": 234, "entity_end": 234, "property_value_start": 237, "property_value_end": 237, "property_numeric_value": 74.1, "property_unit": "%", "property_value_descriptor": ""}, "highest occupied molecular orbital": {}, "lowest unoccupied molecular orbital": {}, "bandgap": {"entity_name": "optical bandgap", "entity_start": 108, "entity_end": 109, "property_value_start": 133, "property_value_end": 134, "property_numeric_value": 2.04, "property_unit": "eV", "property_value_descriptor": ""}, "hole mobility": {}, "electron mobility": {}, "external quantum efficiency": {}}</t>
  </si>
  <si>
    <t xml:space="preserve">10.1039/c6ta03288e</t>
  </si>
  <si>
    <t xml:space="preserve">PBT-S-TTz</t>
  </si>
  <si>
    <t xml:space="preserve">CCCCC(CC)CSc9ccc(c7c5cc(c4sc(C3=NC2SC(c1cc(CC(CC)CCCC)c([*])s1)=NC2S3)cc4CC(CC)CCCC)sc5c(c6ccc(SCC(CC)CCCC)s6)c8cc([*])sc78)s9</t>
  </si>
  <si>
    <t xml:space="preserve">['PBT-S-TTz']</t>
  </si>
  <si>
    <t xml:space="preserve">{"power conversion efficiency": {"entity_name": "PCE", "entity_start": 154, "entity_end": 154, "property_value_start": 156, "property_value_end": 157, "property_numeric_value": 8.22, "property_unit": "%", "property_value_descriptor": ""}, "open circuit voltage": {}, "short circuit current": {}, "fill factor": {}, "highest occupied molecular orbital": {"entity_name": "HOMO", "entity_start": 95, "entity_end": 95, "property_value_start": 106, "property_value_end": 107, "property_numeric_value": -5.45, "property_unit": "eV", "property_value_descriptor": ""}, "lowest unoccupied molecular orbital": {}, "bandgap": {}, "hole mobility": {}, "electron mobility": {}, "external quantum efficiency": {}}</t>
  </si>
  <si>
    <t xml:space="preserve">10.1016/j.orgel.2018.09.047</t>
  </si>
  <si>
    <t xml:space="preserve">PBZ-TS</t>
  </si>
  <si>
    <t xml:space="preserve">['PBZ-TS']</t>
  </si>
  <si>
    <t xml:space="preserve">{"power conversion efficiency": {"entity_name": "PCE", "entity_start": 115, "entity_end": 115, "property_value_start": 118, "property_value_end": 119, "property_numeric_value": 8.66, "property_unit": "%", "property_value_descriptor": ""}, "open circuit voltage": {"entity_name": "V_{oc}", "entity_start": 79, "entity_end": 81, "property_value_start": 83, "property_value_end": 84, "property_numeric_value": 0.93,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</si>
  <si>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10.1002/pola.29264</t>
  </si>
  <si>
    <t xml:space="preserve">PBDTsThPh-T1</t>
  </si>
  <si>
    <t xml:space="preserve">CCCCCCCCC(CCCCCC)COc8c5cc(c4ccc(c2ccc(c1ccc([*])s1)c3nn(CC(CCCCCC)CCCCCCCC)nc23)s4)sc5c(c7ccc(c6ccc(SCC(CC)CCCC)cc6)s7)c9cc([*])sc89</t>
  </si>
  <si>
    <t xml:space="preserve">['PBDTsThPh-T1', 'PBDTsThPh-T1-based']</t>
  </si>
  <si>
    <t xml:space="preserve">benzotriazole</t>
  </si>
  <si>
    <t xml:space="preserve">{"power conversion efficiency": {"entity_name": "power conversion efficiencies", "entity_start": 166, "entity_end": 168, "property_value_start": 172, "property_value_end": 173, "property_numeric_value": 9.34,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</si>
  <si>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10.1016/j.orgel.2016.12.012</t>
  </si>
  <si>
    <t xml:space="preserve">P(BDTT-TTBDPPD)</t>
  </si>
  <si>
    <t xml:space="preserve">CCCCCCCCn3c(c1ccc([*])s1)c2c(=O)n(CCCCCCCC)c(=O)c2c3c%12ccc(c%11c4c(=O)n(CCCCCCCC)c(=O)c4c(c%10ccc(c9cc8c(c5ccc(CC(CC)CCCC)s5)c6sc([*])cc6c(c7ccc(CC(CC)CCCC)s7)c8s9)s%10)n%11CCCCCCCC)s%12</t>
  </si>
  <si>
    <t xml:space="preserve">['P(BDTT-TTBDPPD)', 'P(BDTT-TBDPPD)']</t>
  </si>
  <si>
    <t xml:space="preserve">{"power conversion efficiency": {"entity_name": "PCE", "entity_start": 135, "entity_end": 135, "property_value_start": 138, "property_value_end": 139, "property_numeric_value": 5.37, "property_unit": "%", "property_value_descriptor": ""}, "open circuit voltage": {"entity_name": "V_{oc}", "entity_start": 147, "entity_end": 148, "property_value_start": 151, "property_value_end": 152, "property_numeric_value": 0.9, "property_unit": "V", "property_value_descriptor": ""}, "short circuit current": {"entity_name": "J_{sc}", "entity_start": 160, "entity_end": 161, "property_value_start": 164, "property_value_end": 168, "property_numeric_value": 8.94, "property_unit": "mA/cm^{2}", "property_value_descriptor": ""}, "fill factor": {"entity_name": "FF", "entity_start": 174, "entity_end": 174, "property_value_start": 177, "property_value_end": 178, "property_numeric_value": 67.0, "property_unit": "%", "property_value_descriptor": ""}, "highest occupied molecular orbital": {}, "lowest unoccupied molecular orbital": {}, "bandgap": {}, "hole mobility": {"entity_name": "hole mobility", "entity_start": 95, "entity_end": 96, "property_value_start": 98, "property_value_end": 102, "property_numeric_value": 0.000621, "property_unit": "cm^{2}V^{-1}s^{-1}", "property_value_descriptor": ""}, "electron mobility": {}, "external quantum efficiency": {}}</t>
  </si>
  <si>
    <t xml:space="preserve">10.1039/c5cp00963d</t>
  </si>
  <si>
    <t xml:space="preserve">PDPP3T</t>
  </si>
  <si>
    <t xml:space="preserve">['poly(diketopyrrolopyrrole-terthiophene)', 'PDPP3T']</t>
  </si>
  <si>
    <t xml:space="preserve">{"power conversion efficiency": {"entity_name": "PCE", "entity_start": 43, "entity_end": 43, "property_value_start": 75, "property_value_end": 76, "property_numeric_value": 5.85,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</si>
  <si>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10.1039/c6tc00271d</t>
  </si>
  <si>
    <t xml:space="preserve">dithienobenzodithiophene</t>
  </si>
  <si>
    <t xml:space="preserve">{"power conversion efficiency": {"entity_name": "power conversion efficiency", "entity_start": 137, "entity_end": 139, "property_value_start": 141, "property_value_end": 142, "property_numeric_value": 7.45, "property_unit": "%", "property_value_descriptor": ""}, "open circuit voltage": {"entity_name": "open circuit voltages", "entity_start": 68, "entity_end": 70, "property_value_start": 73, "property_value_end": 74, "property_numeric_value": 0.95, "property_unit": "V", "property_value_descriptor": ""}, "short circuit current": {}, "fill factor": {}, "highest occupied molecular orbital": {}, "lowest unoccupied molecular orbital": {}, "bandgap": {}, "hole mobility": {"entity_name": "hole mobility", "entity_start": 87, "entity_end": 88, "property_value_start": 91, "property_value_end": 97, "property_numeric_value": 0.1, "property_unit": "cm^{2} V^{-1} s^{-1}", "property_value_descriptor": ""}, "electron mobility": {}, "external quantum efficiency": {}}</t>
  </si>
  <si>
    <t xml:space="preserve">10.1039/c9ra01545k</t>
  </si>
  <si>
    <t xml:space="preserve">P(N,O-DBND-2 T)</t>
  </si>
  <si>
    <t xml:space="preserve">['P(N,O-DBND-2 T)']</t>
  </si>
  <si>
    <t xml:space="preserve">{"power conversion efficiency": {"entity_name": "PCE", "entity_start": 233, "entity_end": 233, "property_value_start": 236, "property_value_end": 237,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</si>
  <si>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10.1016/j.tsf.2003.11.064</t>
  </si>
  <si>
    <t xml:space="preserve">poly(2-methoxy-5-(3',7'-dimethyloctyloxy)-1-4-phenylene vinylene)</t>
  </si>
  <si>
    <t xml:space="preserve">["poly(2-methoxy-5-(3',7'-dimethyloctyloxy)-1-4-phenylene vinylene)"]</t>
  </si>
  <si>
    <t xml:space="preserve">{"power conversion efficiency": {"entity_name": "power conversion efficiencies", "entity_start": 17, "entity_end": 19, "property_value_start": 22, "property_value_end": 23,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</si>
  <si>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10.1016/j.synthmet.2010.03.024</t>
  </si>
  <si>
    <t xml:space="preserve">poly(p-phenylenevinylene)</t>
  </si>
  <si>
    <t xml:space="preserve">C(=C\c1ccc([*])cc1)/[*]</t>
  </si>
  <si>
    <t xml:space="preserve">['poly(p-phenylenevinylene)', 'PPV', 'PPVs']</t>
  </si>
  <si>
    <t xml:space="preserve">{"power conversion efficiency": {"entity_name": "PCE", "entity_start": 226, "entity_end": 226, "property_value_start": 228, "property_value_end": 229, "property_numeric_value": 0.53,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</si>
  <si>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10.1021/jp1063885</t>
  </si>
  <si>
    <t xml:space="preserve">bithiazole</t>
  </si>
  <si>
    <t xml:space="preserve">{"power conversion efficiency": {}, "open circuit voltage": {}, "short circuit current": {"entity_name": "short-circuit current", "entity_start": 159, "entity_end": 162, "property_value_start": 164, "property_value_end": 168, "property_numeric_value": 6.68, "property_unit": "mA/cm^{2}", "property_value_descriptor": ""}, "fill factor": {}, "highest occupied molecular orbital": {}, "lowest unoccupied molecular orbital": {}, "bandgap": {}, "hole mobility": {}, "electron mobility": {}, "external quantum efficiency": {"entity_name": "external quantum efficiency", "entity_start": 108, "entity_end": 110, "property_value_start": 112, "property_value_end": 113, "property_numeric_value": 45.0, "property_unit": "%", "property_value_descriptor": ""}}</t>
  </si>
  <si>
    <t xml:space="preserve">{"power conversion efficiency": {"entity_name": "PCE", "entity_start": 143, "entity_end": 143, "property_value_start": 146, "property_value_end": 147, "property_numeric_value": 2.6, "property_unit": "%", "property_value_descriptor": ""}, "open circuit voltage": {"entity_name": "open-circuit voltage", "entity_start": 150, "entity_end": 153, "property_value_start": 155, "property_value_end": 156, "property_numeric_value": 0.77, "property_unit": "V", "property_value_descriptor": ""}, "short circuit current": {}, "fill factor": {"entity_name": "fill factor", "entity_start": 172, "entity_end": 173, "property_value_start": 175, "property_value_end": 175, "property_numeric_value": 51.0,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</si>
  <si>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10.1007/s13391-014-4326-9</t>
  </si>
  <si>
    <t xml:space="preserve">PBDT-BTzQx-C12</t>
  </si>
  <si>
    <t xml:space="preserve">['PBDT-BTzQx-C12']</t>
  </si>
  <si>
    <t xml:space="preserve">{"power conversion efficiency": {"entity_name": "PCEs", "entity_start": 80, "entity_end": 80, "property_value_start": 87, "property_value_end": 88, "property_numeric_value": 3.18,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</si>
  <si>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[6,6]-phenyl-C71-butyric acid methyl</t>
  </si>
  <si>
    <t xml:space="preserve">{"power conversion efficiency": {"entity_name": "PCEs", "entity_start": 80, "entity_end": 80, "property_value_start": 90, "property_value_end": 91, "property_numeric_value": 3.54,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</si>
  <si>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10.1039/c5ta03967c</t>
  </si>
  <si>
    <t xml:space="preserve">{"power conversion efficiency": {"entity_name": "power conversion efficiency", "entity_start": 183, "entity_end": 185, "property_value_start": 208, "property_value_end": 209, "property_numeric_value": 4.63,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</si>
  <si>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10.1002/pola.26477</t>
  </si>
  <si>
    <t xml:space="preserve">benzo[1,2-b:4,5-b']dithiophene-alt-2,3-biphenyl</t>
  </si>
  <si>
    <t xml:space="preserve">["benzo[1,2-b:4,5-b']dithiophene-alt-2,3-biphenyl"]</t>
  </si>
  <si>
    <t xml:space="preserve">{"power conversion efficiency": {"entity_name": "power conversion efficiency", "entity_start": 122, "entity_end": 124, "property_value_start": 126, "property_value_end": 127, "property_numeric_value": 3.43, "property_unit": "%", "property_value_descriptor": ""}, "open circuit voltage": {"entity_name": "open-circuit voltage", "entity_start": 130, "entity_end": 133, "property_value_start": 135, "property_value_end": 136, "property_numeric_value": 0.8, "property_unit": "V", "property_value_descriptor": ""}, "short circuit current": {"entity_name": "short-circuit current", "entity_start": 140, "entity_end": 143, "property_value_start": 145, "property_value_end": 148, "property_numeric_value": 9.2,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</si>
  <si>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10.1021/jp811522p</t>
  </si>
  <si>
    <t xml:space="preserve">{"power conversion efficiency": {}, "open circuit voltage": {"entity_name": "V_{oc}s", "entity_start": 140, "entity_end": 140, "property_value_start": 143, "property_value_end": 144, "property_numeric_value": 1.14,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</si>
  <si>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["poly[2-methoxy-5-(2'-ethyl-hexyloxy)-1,4-phenylene vinylene]", 'MEH-PPV']</t>
  </si>
  <si>
    <t xml:space="preserve">{"power conversion efficiency": {}, "open circuit voltage": {"entity_name": "V_{oc}s", "entity_start": 140, "entity_end": 140, "property_value_start": 157, "property_value_end": 158, "property_numeric_value": 0.76,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</si>
  <si>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10.1016/j.solmat.2012.12.006</t>
  </si>
  <si>
    <t xml:space="preserve">{"power conversion efficiency": {"entity_name": "PCE", "entity_start": 190, "entity_end": 190, "property_value_start": 193, "property_value_end": 194, "property_numeric_value": 6.43,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</si>
  <si>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10.1016/j.solmat.2014.10.013</t>
  </si>
  <si>
    <t xml:space="preserve">{"power conversion efficiency": {"entity_name": "power conversion efficiencies", "entity_start": 196, "entity_end": 198, "property_value_start": 226, "property_value_end": 227, "property_numeric_value": 8.01,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</si>
  <si>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10.1039/c3ta11968h</t>
  </si>
  <si>
    <t xml:space="preserve">PBDTPO-DTBO</t>
  </si>
  <si>
    <t xml:space="preserve">['PBDTPO-DTBO']</t>
  </si>
  <si>
    <t xml:space="preserve">{"power conversion efficiency": {"entity_name": "power conversion efficiency", "entity_start": 196, "entity_end": 198, "property_value_start": 200, "property_value_end": 201, "property_numeric_value": 6.2,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</si>
  <si>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10.1016/j.dyepig.2016.12.014</t>
  </si>
  <si>
    <t xml:space="preserve">PBTBDTP</t>
  </si>
  <si>
    <t xml:space="preserve">['PBTBDTP']</t>
  </si>
  <si>
    <t xml:space="preserve">{"power conversion efficiency": {"entity_name": "PCE", "entity_start": 88, "entity_end": 88, "property_value_start": 90, "property_value_end": 91, "property_numeric_value": 6.86, "property_unit": "%", "property_value_descriptor": ""}, "open circuit voltage": {"entity_name": "V_{oc}", "entity_start": 100, "entity_end": 101, "property_value_start": 104, "property_value_end": 105, "property_numeric_value": 0.87, "property_unit": "V", "property_value_descriptor": ""}, "short circuit current": {}, "fill factor": {"entity_name": "FF", "entity_start": 127, "entity_end": 127, "property_value_start": 130, "property_value_end": 131, "property_numeric_value": 71.85,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</si>
  <si>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PTTBDTP</t>
  </si>
  <si>
    <t xml:space="preserve">['PTTBDTP']</t>
  </si>
  <si>
    <t xml:space="preserve">{"power conversion efficiency": {"entity_name": "PCE", "entity_start": 142, "entity_end": 142, "property_value_start": 144, "property_value_end": 145, "property_numeric_value": 5.84, "property_unit": "%", "property_value_descriptor": ""}, "open circuit voltage": {}, "short circuit current": {"entity_name": "J_{sc}", "entity_start": 113, "entity_end": 114, "property_value_start": 117, "property_value_end": 121, "property_numeric_value": 10.97,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</si>
  <si>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10.1007/s11426-013-4901-1</t>
  </si>
  <si>
    <t xml:space="preserve">{"power conversion efficiency": {"entity_name": "PCE", "entity_start": 79, "entity_end": 79, "property_value_start": 82, "property_value_end": 83, "property_numeric_value": 3.75,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</si>
  <si>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10.1039/c3ta11272a</t>
  </si>
  <si>
    <t xml:space="preserve">PTtCz</t>
  </si>
  <si>
    <t xml:space="preserve">['PTtCz']</t>
  </si>
  <si>
    <t xml:space="preserve">{"power conversion efficiency": {"entity_name": "PCE", "entity_start": 200, "entity_end": 200, "property_value_start": 218, "property_value_end": 219, "property_numeric_value": 2.48, "property_unit": "%", "property_value_descriptor": ""}, "open circuit voltage": {"entity_name": "V_{oc}", "entity_start": 222, "entity_end": 223, "property_value_start": 225, "property_value_end": 226, "property_numeric_value": 0.91, "property_unit": "V", "property_value_descriptor": ""}, "short circuit current": {}, "fill factor": {"entity_name": "FF", "entity_start": 246, "entity_end": 246, "property_value_start": 249, "property_value_end": 250, "property_numeric_value": 41.0,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</si>
  <si>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10.1002/adfm.201000589</t>
  </si>
  <si>
    <t xml:space="preserve">PANI</t>
  </si>
  <si>
    <t xml:space="preserve">[*]Nc1ccc([*])cc1</t>
  </si>
  <si>
    <t xml:space="preserve">['PANI']</t>
  </si>
  <si>
    <t xml:space="preserve">camphorsulfonic</t>
  </si>
  <si>
    <t xml:space="preserve">['camphorsulfonic']</t>
  </si>
  <si>
    <t xml:space="preserve">{"power conversion efficiency": {"entity_name": "power conversion efficiency", "entity_start": 189, "entity_end": 191, "property_value_start": 193, "property_value_end": 194,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</si>
  <si>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10.1039/c6cc04229e</t>
  </si>
  <si>
    <t xml:space="preserve">poly[(2,5-bis(2-hexyldecyloxy)phenylene)-alt-(5,6-difluoro-4,7-di(thiophen-2-yl)benzo[c][1,2,5]thiadiazole)]</t>
  </si>
  <si>
    <t xml:space="preserve">['poly[(2,5-bis(2-hexyldecyloxy)phenylene)-alt-(5,6-difluoro-4,7-di(thiophen-2-yl)benzo[c][1,2,5]thiadiazole)]', 'PPDT2FBT']</t>
  </si>
  <si>
    <t xml:space="preserve">PDI)-base</t>
  </si>
  <si>
    <t xml:space="preserve">['PDI)-base']</t>
  </si>
  <si>
    <t xml:space="preserve">{"power conversion efficiency": {"entity_name": "power conversion efficiency", "entity_start": 65, "entity_end": 67, "property_value_start": 69, "property_value_end": 70, "property_numeric_value": 5.28,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</si>
  <si>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10.1002/cjoc.201300505</t>
  </si>
  <si>
    <t xml:space="preserve">PHTDFT</t>
  </si>
  <si>
    <t xml:space="preserve">CCCCCCc1cc([*])sc1c2sc([*])c(F)c2F</t>
  </si>
  <si>
    <t xml:space="preserve">['poly[3-hexylthiophene-2,5-diyl-alt-3,4-difluorothiophene]', 'PHTDFT']</t>
  </si>
  <si>
    <t xml:space="preserve">{"power conversion efficiency": {"entity_name": "power conversion efficiency", "entity_start": 116, "entity_end": 118, "property_value_start": 120, "property_value_end": 121, "property_numeric_value": 1.11, "property_unit": "%", "property_value_descriptor": ""}, "open circuit voltage": {"entity_name": "open-circuit voltage", "entity_start": 125, "entity_end": 128, "property_value_start": 130, "property_value_end": 131, "property_numeric_value": 0.79,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</si>
  <si>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10.1016/j.apsusc.2018.11.166</t>
  </si>
  <si>
    <t xml:space="preserve">{"power conversion efficiency": {"entity_name": "PCE", "entity_start": 138, "entity_end": 138, "property_value_start": 166, "property_value_end": 167, "property_numeric_value": 3.01,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</si>
  <si>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194, "entity_end": 194, "property_value_start": 201, "property_value_end": 202, "property_numeric_value": 8.03,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</si>
  <si>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10.1002/aenm.201301349</t>
  </si>
  <si>
    <t xml:space="preserve">[6,6]-phenyl-C61-butyric-acid-methyl -</t>
  </si>
  <si>
    <t xml:space="preserve">{"power conversion efficiency": {"entity_name": "PCE", "entity_start": 139, "entity_end": 139, "property_value_start": 145, "property_value_end": 146, "property_numeric_value": 7.13,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</si>
  <si>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10.1016/j.solener.2018.09.077</t>
  </si>
  <si>
    <t xml:space="preserve">SSBRC</t>
  </si>
  <si>
    <t xml:space="preserve">['SSBRC']</t>
  </si>
  <si>
    <t xml:space="preserve">{"power conversion efficiency": {"entity_name": "PCE", "entity_start": 128, "entity_end": 128, "property_value_start": 130, "property_value_end": 131, "property_numeric_value": 3.35,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</si>
  <si>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SSBR</t>
  </si>
  <si>
    <t xml:space="preserve">['SSBR']</t>
  </si>
  <si>
    <t xml:space="preserve">{"power conversion efficiency": {"entity_name": "PCE", "entity_start": 153, "entity_end": 153, "property_value_start": 155, "property_value_end": 156, "property_numeric_value": 8.16,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</si>
  <si>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10.1002/pola.26580</t>
  </si>
  <si>
    <t xml:space="preserve">NDI</t>
  </si>
  <si>
    <t xml:space="preserve">{"power conversion efficiency": {"entity_name": "power conversion efficiency", "entity_start": 83, "entity_end": 85, "property_value_start": 88, "property_value_end": 89, "property_numeric_value": 0.32, "property_unit": "%", "property_value_descriptor": ""}, "open circuit voltage": {"entity_name": "V_{oc}", "entity_start": 121, "entity_end": 122, "property_value_start": 144, "property_value_end": 145, "property_numeric_value": 0.6,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</si>
  <si>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10.1007/s11426-014-5221-9</t>
  </si>
  <si>
    <t xml:space="preserve">P(BT-C2)</t>
  </si>
  <si>
    <t xml:space="preserve">['P(BT-C1)', 'P(BT-C2)']</t>
  </si>
  <si>
    <t xml:space="preserve">{"power conversion efficiency": {"entity_name": "PCEs", "entity_start": 204, "entity_end": 204, "property_value_start": 210, "property_value_end": 211, "property_numeric_value": 5.0, "property_unit": "%", "property_value_descriptor": ""}, "open circuit voltage": {}, "short circuit current": {}, "fill factor": {}, "highest occupied molecular orbital": {"entity_name": "HOMO energy level", "entity_start": 119, "entity_end": 121, "property_value_start": 123, "property_value_end": 124, "property_numeric_value": -5.37, "property_unit": "eV", "property_value_descriptor": ""}, "lowest unoccupied molecular orbital": {}, "bandgap": {"entity_name": "optical bandgaps", "entity_start": 48, "entity_end": 49, "property_value_start": 58, "property_value_end": 59, "property_numeric_value": 1.88, "property_unit": "eV", "property_value_descriptor": ""}, "hole mobility": {"entity_name": "hole mobilities", "entity_start": 127, "entity_end": 128, "property_value_start": 139, "property_value_end": 142, "property_numeric_value": 0.0027, "property_unit": "cm^{2}V^{-1}s^{-1}", "property_value_descriptor": ""}, "electron mobility": {}, "external quantum efficiency": {}}</t>
  </si>
  <si>
    <t xml:space="preserve">10.1002/adfm.201902079</t>
  </si>
  <si>
    <t xml:space="preserve">PTTEA</t>
  </si>
  <si>
    <t xml:space="preserve">[*]c%10ccc(c8c(F)c(F)c(c7ccc(c6sc(c5sc(c3c(F)c(F)c(c2cc(C(=O)OCC(CCCCCCCC)CCCCCCCCCC)c(c1cc(CC(CCCCCC)CCCCCCCC)c([*])s1)s2)c4nsnc34)cc5C(=O)OCC(CCCCCCCC)CCCCCCCCCCC)cc6CC(CCCCCC)CCCCCCCC)s7)c9nsnc89)s%10</t>
  </si>
  <si>
    <t xml:space="preserve">['PTTEA']</t>
  </si>
  <si>
    <t xml:space="preserve">PDI2</t>
  </si>
  <si>
    <t xml:space="preserve">['PDI', 'PDI2', 'Alq3-PDI2']</t>
  </si>
  <si>
    <t xml:space="preserve">{"power conversion efficiency": {"entity_name": "power conversion efficiency", "entity_start": 200, "entity_end": 202, "property_value_start": 204, "property_value_end": 205, "property_numeric_value": 9.54, "property_unit": "%", "property_value_descriptor": ""}, "open circuit voltage": {}, "short circuit current": {"entity_name": "J_{sc}", "entity_start": 176, "entity_end": 177, "property_value_start": 179, "property_value_end": 182, "property_numeric_value": 15.74, "property_unit": "mA cm^{-2}", "property_value_descriptor": ""}, "fill factor": {"entity_name": "FF", "entity_start": 186, "entity_end": 186, "property_value_start": 188, "property_value_end": 189, "property_numeric_value": 71.27,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</si>
  <si>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10.1039/c6ra05413g</t>
  </si>
  <si>
    <t xml:space="preserve">polymer</t>
  </si>
  <si>
    <t xml:space="preserve">['polymer']</t>
  </si>
  <si>
    <t xml:space="preserve">{"power conversion efficiency": {"entity_name": "PCEs", "entity_start": 115, "entity_end": 115, "property_value_start": 153, "property_value_end": 154, "property_numeric_value": 2.73,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</si>
  <si>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10.1002/aenm.201700908</t>
  </si>
  <si>
    <t xml:space="preserve">PBDTS-TPD</t>
  </si>
  <si>
    <t xml:space="preserve">["poly[4,8-bis(5-(2-octylthio)thiophen-2-yl)benzo[1,2-b:4,5-b']dithiophene-2,6-diyl-alt-(5-(2-ethylhexyl)-4H-thieno[3,4-c]pyrrole-4,6(5H)-dione)-1,3-diyl]", 'PBDTS-TPD']</t>
  </si>
  <si>
    <t xml:space="preserve">{"power conversion efficiency": {"entity_name": "PCE", "entity_start": 179, "entity_end": 179, "property_value_start": 181, "property_value_end": 182, "property_numeric_value": 8.0, "property_unit": "%", "property_value_descriptor": ""}, "open circuit voltage": {"entity_name": "V_{oc}", "entity_start": 172, "entity_end": 173, "property_value_start": 175, "property_value_end": 176, "property_numeric_value": 1.1,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</si>
  <si>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10.1002/aenm.201502563</t>
  </si>
  <si>
    <t xml:space="preserve">poly[9,9-bis(6-(N,N-diethylamino)propyl)fluorene-alt-9,9-bis(hex-5-en-1-yl)-fluorene]</t>
  </si>
  <si>
    <t xml:space="preserve">[*]c6ccc5c4ccc(c3ccc2c1ccc([*])cc1C(CCCN(C)C)(CCCN(C)C)c2c3)cc4C(CCCCC=C)(CCCCC=C)c5c6</t>
  </si>
  <si>
    <t xml:space="preserve">['poly[9,9-bis(6-(N,N-diethylamino)propyl)fluorene-alt-9,9-bis(hex-5-en-1-yl)-fluorene]', 'PFN-V']</t>
  </si>
  <si>
    <t xml:space="preserve">{"power conversion efficiency": {"entity_name": "power conversion efficiency", "entity_start": 184, "entity_end": 186, "property_value_start": 195, "property_value_end": 196, "property_numeric_value": 9.18,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</si>
  <si>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10.1002/adfm.201903970</t>
  </si>
  <si>
    <t xml:space="preserve">BTI2-30TPD</t>
  </si>
  <si>
    <t xml:space="preserve">['BTI2-30TPD']</t>
  </si>
  <si>
    <t xml:space="preserve">BTI2-based</t>
  </si>
  <si>
    <t xml:space="preserve">['BTI2-based']</t>
  </si>
  <si>
    <t xml:space="preserve">{"power conversion efficiency": {"entity_name": "PCE", "entity_start": 161, "entity_end": 161, "property_value_start": 164, "property_value_end": 165, "property_numeric_value": 8.28,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</si>
  <si>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10.1039/c6cc08939a</t>
  </si>
  <si>
    <t xml:space="preserve">tPDI</t>
  </si>
  <si>
    <t xml:space="preserve">['tPDI']</t>
  </si>
  <si>
    <t xml:space="preserve">{"power conversion efficiency": {"entity_name": "PCE", "entity_start": 22, "entity_end": 22, "property_value_start": 24, "property_value_end": 25, "property_numeric_value": 4.8,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</si>
  <si>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10.1039/c6ra28246f</t>
  </si>
  <si>
    <t xml:space="preserve">{"power conversion efficiency": {"entity_name": "PCE", "entity_start": 92, "entity_end": 92, "property_value_start": 100, "property_value_end": 101, "property_numeric_value": 9.2,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</si>
  <si>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10.1016/j.synthmet.2015.02.021</t>
  </si>
  <si>
    <t xml:space="preserve">{"power conversion efficiency": {"entity_name": "power conversion efficiency", "entity_start": 39, "entity_end": 41, "property_value_start": 43, "property_value_end": 44, "property_numeric_value": 3.8,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</si>
  <si>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10.1016/j.orgel.2018.03.006</t>
  </si>
  <si>
    <t xml:space="preserve">CPCP</t>
  </si>
  <si>
    <t xml:space="preserve">['CPCP']</t>
  </si>
  <si>
    <t xml:space="preserve">{"power conversion efficiency": {"entity_name": "power conversion efficiency", "entity_start": 129, "entity_end": 131, "property_value_start": 136, "property_value_end": 138, "property_numeric_value": 9.0, "property_unit": "%", "property_value_descriptor": "&gt;"},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</si>
  <si>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10.1016/j.nanoen.2016.10.008</t>
  </si>
  <si>
    <t xml:space="preserve">PffQx-T</t>
  </si>
  <si>
    <t xml:space="preserve">['PffQx-T']</t>
  </si>
  <si>
    <t xml:space="preserve">PffQx-PS</t>
  </si>
  <si>
    <t xml:space="preserve">['PffQx-PS']</t>
  </si>
  <si>
    <t xml:space="preserve">{"power conversion efficiency": {"entity_name": "PCE", "entity_start": 173, "entity_end": 173, "property_value_start": 175, "property_value_end": 176, "property_numeric_value": 9.12,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</si>
  <si>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"PCEs", "entity_start": 145, "entity_end": 145, "property_value_start": 157, "property_value_end": 158, "property_numeric_value": 9.12,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</si>
  <si>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10.1039/c7ta06631g</t>
  </si>
  <si>
    <t xml:space="preserve">IDT-N</t>
  </si>
  <si>
    <t xml:space="preserve">['IDT-N']</t>
  </si>
  <si>
    <t xml:space="preserve">{"power conversion efficiency": {"entity_name": "power conversion efficiency", "entity_start": 223, "entity_end": 225, "property_value_start": 229, "property_value_end": 230, "property_numeric_value": 9.0, "property_unit": "%", "property_value_descriptor": ""}, "open circuit voltage": {}, "short circuit current": {"entity_name": "short-circuit current density", "entity_start": 234, "entity_end": 238, "property_value_start": 240, "property_value_end": 243, "property_numeric_value": 15.88, "property_unit": "mA cm^{-2}", "property_value_descriptor": ""}, "fill factor": {"entity_name": "fill factor", "entity_start": 246, "entity_end": 247, "property_value_start": 249, "property_value_end": 250, "property_numeric_value": 71.91,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</si>
  <si>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10.1016/j.synthmet.2011.06.015</t>
  </si>
  <si>
    <t xml:space="preserve">poly(3,6-dihexyl-thieno[3,2-b]thiophenyl-2,5-diyl-alt-2,5-di(2-ethylhexyl)-3,6-bis(thien-2,5-diyl)-pyrrolo[3,4-c]-pyrrole-1,4-dione)</t>
  </si>
  <si>
    <t xml:space="preserve">CCCCCCc5c([*])sc6c(CCCCCC)c(c4ccc(c3c2c(=O)n(CC(CC)CCCC)c(c1ccc([*])s1)c2c(=O)n3CC(CC)CCC)s4)sc56</t>
  </si>
  <si>
    <t xml:space="preserve">['poly(3,6-dihexyl-thieno[3,2-b]thiophenyl-2,5-diyl-alt-2,5-di(2-ethylhexyl)-3,6-bis(thien-2,5-diyl)-pyrrolo[3,4-c]-pyrrole-1,4-dione)', 'DH-PTTDPP']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</si>
  <si>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bandgap", "entity_start": 72, "entity_end": 73, "property_value_start": 75, "property_value_end": 76, "property_numeric_value": 1.33, "property_unit": "eV", "property_value_descriptor": ""}, "hole mobility": {"entity_name": "hole mobility", "entity_start": 94, "entity_end": 95, "property_value_start": 97, "property_value_end": 106, "property_numeric_value": 0.0025, "property_unit": "cm^{2} V^{-1} s^{-1}", "property_value_descriptor": ""}, "electron mobility": {}, "external quantum efficiency": {}}</t>
  </si>
  <si>
    <t xml:space="preserve">{"power conversion efficiency": {"entity_name": "power conversion efficiency", "entity_start": 150, "entity_end": 152, "property_value_start": 154, "property_value_end": 155, "property_numeric_value": 1.9,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</si>
  <si>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10.1039/c4tc01777c</t>
  </si>
  <si>
    <t xml:space="preserve">[6,6]-phenyl C_{61} butyric acid methyl ester</t>
  </si>
  <si>
    <t xml:space="preserve">{"power conversion efficiency": {"entity_name": "power conversion efficiency", "entity_start": 47, "entity_end": 49, "property_value_start": 57, "property_value_end": 58, "property_numeric_value": 3.57, "property_unit": "%", "property_value_descriptor": ""}, "open circuit voltage": {"entity_name": "open-circuit voltage", "entity_start": 67, "entity_end": 70, "property_value_start": 72, "property_value_end": 73, "property_numeric_value": 0.6, "property_unit": "V", "property_value_descriptor": ""}, "short circuit current": {"entity_name": "short-circuit current", "entity_start": 76, "entity_end": 79, "property_value_start": 81, "property_value_end": 83, "property_numeric_value": 9.03, "property_unit": "mA cm^{-2}", "property_value_descriptor": ""}, "fill factor": {"entity_name": "fill factor", "entity_start": 61, "entity_end": 62, "property_value_start": 64, "property_value_end": 65, "property_numeric_value": 66.0,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</si>
  <si>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10.1016/j.orgel.2015.03.051</t>
  </si>
  <si>
    <t xml:space="preserve">poly(4,8-bis(5-(2-ethyl-hexyl)-thiophene-2-yl)-benzo[l,2-b:4,5-b'] dithiophene-alt-alkylcarbonyl-thieno[3,4-b]thiophene)</t>
  </si>
  <si>
    <t xml:space="preserve">["poly(4,8-bis(5-(2-ethyl-hexyl)-thiophene-2-yl)-benzo[l,2-b:4,5-b'] dithiophene-alt-alkylcarbonyl-thieno[3,4-b]thiophene)", 'PBDTTT-C-T']</t>
  </si>
  <si>
    <t xml:space="preserve">['[6,6]-phenyl-C61-butyric acid methyl ester', 'PC_{61}BM', 'PC_{71}BM']</t>
  </si>
  <si>
    <t xml:space="preserve">{"power conversion efficiency": {"entity_name": "PCE", "entity_start": 149, "entity_end": 149, "property_value_start": 151, "property_value_end": 152,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</si>
  <si>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189, "entity_end": 189, "property_value_start": 191, "property_value_end": 192, "property_numeric_value": 7.4,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</si>
  <si>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10.1021/am404381e</t>
  </si>
  <si>
    <t xml:space="preserve">['P3HT', 'photocrosslinked P3HT', 'c-P3HT']</t>
  </si>
  <si>
    <t xml:space="preserve">{"power conversion efficiency": {"entity_name": "PCE", "entity_start": 171, "entity_end": 171, "property_value_start": 176, "property_value_end": 177,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</si>
  <si>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10.1021/am500074s</t>
  </si>
  <si>
    <t xml:space="preserve">{"power conversion efficiency": {"entity_name": "PCE", "entity_start": 58, "entity_end": 58, "property_value_start": 73, "property_value_end": 74, "property_numeric_value": 3.72,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</si>
  <si>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10.1021/am505130a</t>
  </si>
  <si>
    <t xml:space="preserve">PCPDTBT</t>
  </si>
  <si>
    <t xml:space="preserve">CCCCC(CC)CC5(CC(CC)CCCC)c1cc([*])sc1c4sc(c2ccc([*])c3nsnc23)cc45</t>
  </si>
  <si>
    <t xml:space="preserve">["poly[2,6-(4,4-bis(2-ethylhexyl)-4H-cyclopenta[2,1-b;3,4-b']-dithiophene)-alt-4,7-(2,1,3-benzothiadiazole)]", 'PCPDTBT']</t>
  </si>
  <si>
    <t xml:space="preserve">CdS</t>
  </si>
  <si>
    <t xml:space="preserve">['CdS']</t>
  </si>
  <si>
    <t xml:space="preserve">{"power conversion efficiency": {"entity_name": "power conversion efficiency", "entity_start": 148, "entity_end": 150, "property_value_start": 152, "property_value_end": 153, "property_numeric_value": 4.18,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</si>
  <si>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10.1021/acs.jpclett.8b02701</t>
  </si>
  <si>
    <t xml:space="preserve">['PTB7', 'PTB7']</t>
  </si>
  <si>
    <t xml:space="preserve">{"power conversion efficiency": {"entity_name": "PCE", "entity_start": 178, "entity_end": 178, "property_value_start": 181, "property_value_end": 182, "property_numeric_value": 7.31, "property_unit": "%", "property_value_descriptor": ""}, "open circuit voltage": {}, "short circuit current": {}, "fill factor": {"entity_name": "fill factor", "entity_start": 167, "entity_end": 168, "property_value_start": 170, "property_value_end": 171, "property_numeric_value": 57.8,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</si>
  <si>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10.1021/acs.jpcc.8b07694</t>
  </si>
  <si>
    <t xml:space="preserve">{"power conversion efficiency": {"entity_name": "PCE", "entity_start": 83, "entity_end": 83, "property_value_start": 87, "property_value_end": 88, "property_numeric_value": 7.56,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</si>
  <si>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10.1021/acsami.6b10404</t>
  </si>
  <si>
    <t xml:space="preserve">{"power conversion efficiency": {"entity_name": "power conversion efficiencies", "entity_start": 52, "entity_end": 54, "property_value_start": 56, "property_value_end": 57, "property_numeric_value": 9.0,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</si>
  <si>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10.1021/acsami.6b10900</t>
  </si>
  <si>
    <t xml:space="preserve">{"power conversion efficiency": {"entity_name": "PCE", "entity_start": 149, "entity_end": 149, "property_value_start": 152, "property_value_end": 153, "property_numeric_value": 9.12,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</si>
  <si>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10.1021/acsami.6b13671</t>
  </si>
  <si>
    <t xml:space="preserve">T</t>
  </si>
  <si>
    <t xml:space="preserve">{"power conversion efficiency": {"entity_name": "PCE", "entity_start": 153, "entity_end": 153, "property_value_start": 165, "property_value_end": 166, "property_numeric_value": 8.46, "property_unit": "%", "property_value_descriptor": ""}, "open circuit voltage": {}, "short circuit current": {"entity_name": "short-circuit current density", "entity_start": 171, "entity_end": 175, "property_value_start": 177, "property_value_end": 178, "property_numeric_value": 17.23, "property_unit": "mA*cm^{-2}",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</si>
  <si>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10.1039/c6tc04446h</t>
  </si>
  <si>
    <t xml:space="preserve">S-PEDOT</t>
  </si>
  <si>
    <t xml:space="preserve">['S-PEDOT']</t>
  </si>
  <si>
    <t xml:space="preserve">PEG4000</t>
  </si>
  <si>
    <t xml:space="preserve">['polyethylene glycol 4000', 'PEG4000']</t>
  </si>
  <si>
    <t xml:space="preserve">{"power conversion efficiency": {"entity_name": "power conversion efficiency", "entity_start": 225, "entity_end": 227, "property_value_start": 229, "property_value_end": 230, "property_numeric_value": 8.1,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</si>
  <si>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10.1021/nn9014906</t>
  </si>
  <si>
    <t xml:space="preserve">P3BT</t>
  </si>
  <si>
    <t xml:space="preserve">['P3BT']</t>
  </si>
  <si>
    <t xml:space="preserve">{"power conversion efficiency": {"entity_name": "power conversion efficiency", "entity_start": 180, "entity_end": 182, "property_value_start": 184, "property_value_end": 185, "property_numeric_value": 3.35, "property_unit": "%", "property_value_descriptor": ""}, "open circuit voltage": {"entity_name": "open circuit voltage", "entity_start": 159, "entity_end": 161, "property_value_start": 163, "property_value_end": 164, "property_numeric_value": 0.65, "property_unit": "V", "property_value_descriptor": ""}, "short circuit current": {"entity_name": "short-circuit current density", "entity_start": 108, "entity_end": 112, "property_value_start": 114, "property_value_end": 118, "property_numeric_value": 10.58,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</si>
  <si>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10.1021/am302317v</t>
  </si>
  <si>
    <t xml:space="preserve">{"power conversion efficiency": {"entity_name": "PCE", "entity_start": 67, "entity_end": 67, "property_value_start": 93, "property_value_end": 94, "property_numeric_value": 3.9,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</si>
  <si>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10.1021/jp311148d</t>
  </si>
  <si>
    <t xml:space="preserve">{"power conversion efficiency": {}, "open circuit voltage": {"entity_name": "V_{oc}", "entity_start": 201, "entity_end": 202, "property_value_start": 211, "property_value_end": 212, "property_numeric_value": 0.53,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</si>
  <si>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10.1021/acsami.5b08769</t>
  </si>
  <si>
    <t xml:space="preserve">PTFBDT-BZS</t>
  </si>
  <si>
    <t xml:space="preserve">['PTFBDT-BZS']</t>
  </si>
  <si>
    <t xml:space="preserve">{"power conversion efficiency": {}, "open circuit voltage": {"entity_name": "V_{oc}", "entity_start": 107, "entity_end": 109, "property_value_start": 111, "property_value_end": 112, "property_numeric_value": 0.89, "property_unit": "V", "property_value_descriptor": ""}, "short circuit current": {"entity_name": "J_{sc}", "entity_start": 182, "entity_end": 183, "property_value_start": 185, "property_value_end": 189, "property_numeric_value": 9.24, "property_unit": "mA/cm^{2}", "property_value_descriptor": ""}, "fill factor": {"entity_name": "FF", "entity_start": 134, "entity_end": 134, "property_value_start": 137, "property_value_end": 137, "property_numeric_value": 73.0, "property_unit": "%", "property_value_descriptor": ""}, "highest occupied molecular orbital": {}, "lowest unoccupied molecular orbital": {}, "bandgap": {"entity_name": "optical band gaps", "entity_start": 53, "entity_end": 55, "property_value_start": 58, "property_value_end": 59, "property_numeric_value": 1.8, "property_unit": "eV", "property_value_descriptor": ""}, "hole mobility": {}, "electron mobility": {}, "external quantum efficiency": {}}</t>
  </si>
  <si>
    <t xml:space="preserve">PTFBDT-BZO</t>
  </si>
  <si>
    <t xml:space="preserve">['PTFBDT-BZO']</t>
  </si>
  <si>
    <t xml:space="preserve">{"power conversion efficiency": {"entity_name": "PCE", "entity_start": 169, "entity_end": 169, "property_value_start": 171, "property_value_end": 172, "property_numeric_value": 5.67, "property_unit": "%", "property_value_descriptor": ""}, "open circuit voltage": {"entity_name": "V_{oc}", "entity_start": 175, "entity_end": 176, "property_value_start": 178, "property_value_end": 179, "property_numeric_value": 0.96, "property_unit": "V", "property_value_descriptor": ""}, "short circuit current": {}, "fill factor": {"entity_name": "FF", "entity_start": 193, "entity_end": 193, "property_value_start": 195, "property_value_end": 195, "property_numeric_value": 64.0,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</si>
  <si>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10.1021/am900144b</t>
  </si>
  <si>
    <t xml:space="preserve">poly[2,7-(9,9-dihexylfluorene)-alt-bithiophene]</t>
  </si>
  <si>
    <t xml:space="preserve">CCCCCCC5(CCCCCC)c1cc([*])ccc1c4ccc(c3ccc(c2ccc([*])s2)s3)cc45</t>
  </si>
  <si>
    <t xml:space="preserve">['poly[2,7-(9,9-dihexylfluorene)-alt-bithiophene]', 'F6T2']</t>
  </si>
  <si>
    <t xml:space="preserve">{"power conversion efficiency": {}, "open circuit voltage": {}, "short circuit current": {}, "fill factor": {}, "highest occupied molecular orbital": {}, "lowest unoccupied molecular orbital": {}, "bandgap": {"entity_name": "band gap", "entity_start": 64, "entity_end": 65, "property_value_start": 67, "property_value_end": 68, "property_numeric_value": 2.36, "property_unit": "eV", "property_value_descriptor": ""}, "hole mobility": {}, "electron mobility": {}, "external quantum efficiency": {}}</t>
  </si>
  <si>
    <t xml:space="preserve">{"power conversion efficiency": {"entity_name": "power conversion efficiency", "entity_start": 124, "entity_end": 126, "property_value_start": 128, "property_value_end": 129, "property_numeric_value": 2.4, "property_unit": "%", "property_value_descriptor": ""}, "open circuit voltage": {"entity_name": "V_{oc}", "entity_start": 115, "entity_end": 116, "property_value_start": 117, "property_value_end": 119, "property_numeric_value": 0.9, "property_unit": "V", "property_value_descriptor": "~"},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</si>
  <si>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10.1016/j.solmat.2012.04.022</t>
  </si>
  <si>
    <t xml:space="preserve">{"power conversion efficiency": {"entity_name": "PCE", "entity_start": 195, "entity_end": 195, "property_value_start": 197, "property_value_end": 198, "property_numeric_value": 6.45,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</si>
  <si>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poly[2,6-(4,4-bis-(2-ethylhexyl)-4H-cyclopenta[2,1-b;3,4-b']-dithiophene)-alt-4,7-(2,1,3-benzothiadiazole)]</t>
  </si>
  <si>
    <t xml:space="preserve">["poly[2,6-(4,4-bis-(2-ethylhexyl)-4H-cyclopenta[2,1-b;3,4-b']-dithiophene)-alt-4,7-(2,1,3-benzothiadiazole)]"]</t>
  </si>
  <si>
    <t xml:space="preserve">{"power conversion efficiency": {"entity_name": "PCE", "entity_start": 138, "entity_end": 138, "property_value_start": 143, "property_value_end": 144, "property_numeric_value": 92.0,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</si>
  <si>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10.1021/acsami.7b10399</t>
  </si>
  <si>
    <t xml:space="preserve">{"power conversion efficiency": {"entity_name": "PCE", "entity_start": 156, "entity_end": 156, "property_value_start": 166, "property_value_end": 167, "property_numeric_value": 7.79,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</si>
  <si>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10.1021/acsami.7b12436</t>
  </si>
  <si>
    <t xml:space="preserve">{"power conversion efficiency": {"entity_name": "PCE", "entity_start": 113, "entity_end": 113, "property_value_start": 115, "property_value_end": 116, "property_numeric_value": 8.5,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</si>
  <si>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10.1002/aenm.201602574</t>
  </si>
  <si>
    <t xml:space="preserve">2F]T</t>
  </si>
  <si>
    <t xml:space="preserve">thieno[3,4-c]pyrrole-4,6-dione; P2TPDBT[2F]T</t>
  </si>
  <si>
    <t xml:space="preserve">{"power conversion efficiency": {"entity_name": "PCEs", "entity_start": 231, "entity_end": 231, "property_value_start": 234, "property_value_end": 235, "property_numeric_value": 5.0, "property_unit": "%", "property_value_descriptor": ""}, "open circuit voltage": {"entity_name": "V_{OC}", "entity_start": 203, "entity_end": 204, "property_value_start": 207, "property_value_end": 208, "property_numeric_value": 1.0, "property_unit": "V", "property_value_descriptor": "\u2248"}, "short circuit current": {"entity_name": "J_{SC}", "entity_start": 217, "entity_end": 218, "property_value_start": 221, "property_value_end": 224, "property_numeric_value": 11.0, "property_unit": "mA cm^{-2}", "property_value_descriptor": "\u2248"}, "fill factor": {}, "highest occupied molecular orbital": {}, "lowest unoccupied molecular orbital": {}, "bandgap": {}, "hole mobility": {}, "electron mobility": {}, "external quantum efficiency": {}}</t>
  </si>
  <si>
    <t xml:space="preserve">10.1039/c8ta11484f</t>
  </si>
  <si>
    <t xml:space="preserve">ACS8</t>
  </si>
  <si>
    <t xml:space="preserve">['ACS8']</t>
  </si>
  <si>
    <t xml:space="preserve">{"power conversion efficiency": {"entity_name": "PCE", "entity_start": 200, "entity_end": 200, "property_value_start": 203, "property_value_end": 204, "property_numeric_value": 11.1,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mobility", "entity_start": 52, "entity_end": 53, "property_value_start": 55, "property_value_end": 63, "property_numeric_value": 0.000265, "property_unit": "cm^{2} V^{-1} s^{-1}", "property_value_descriptor": ""}, "external quantum efficiency": {}}</t>
  </si>
  <si>
    <t xml:space="preserve">10.1002/adma.201703344</t>
  </si>
  <si>
    <t xml:space="preserve">bi(alkyl-difluorothienyl)-benzodithiophene</t>
  </si>
  <si>
    <t xml:space="preserve">bi(alkyl-difluorothienyl)-benzodithiophene; 3,9-bis(2-methylene-(3-(1,1-dicyanomethylene)-indanone)-5,5,11,11-tetrakis(3-hexylphenyl)-dithieno[2,3-d:2,3'-d']-s-indaceno[1,2-b:5,6-b']-dithiophene)</t>
  </si>
  <si>
    <t xml:space="preserve">{"power conversion efficiency": {"entity_name": "power conversion efficiency", "entity_start": 160, "entity_end": 162, "property_value_start": 164, "property_value_end": 165, "property_numeric_value": 11.63, "property_unit": "%", "property_value_descriptor": ""}, "open circuit voltage": {"entity_name": "V_{OC}", "entity_start": 168, "entity_end": 169, "property_value_start": 171, "property_value_end": 172, "property_numeric_value": 0.984, "property_unit": "V", "property_value_descriptor": ""}, "short circuit current": {"entity_name": "J_{SC}", "entity_start": 175, "entity_end": 176, "property_value_start": 178, "property_value_end": 181, "property_numeric_value": 18.03,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</si>
  <si>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10.1039/c7ta02075a</t>
  </si>
  <si>
    <t xml:space="preserve">PSBZ</t>
  </si>
  <si>
    <t xml:space="preserve">CCCCCCC(CCCC)CSc9ccc(c7c5cc(c4ccc(c2c(F)c(F)c(c1ccc([*])s1)c3nn(CC(CCCC)CCCCCC)nc23)s4)sc5c(c6ccc(SCC(CCCC)CCCCCC)s6)c8cc([*])sc78)s9</t>
  </si>
  <si>
    <t xml:space="preserve">['PSBZ']</t>
  </si>
  <si>
    <t xml:space="preserve">BTz-2F</t>
  </si>
  <si>
    <t xml:space="preserve">{"power conversion efficiency": {"entity_name": "PCE", "entity_start": 193, "entity_end": 193, "property_value_start": 195, "property_value_end": 196, "property_numeric_value": 10.5, "property_unit": "%", "property_value_descriptor": ""}, "open circuit voltage": {}, "short circuit current": {"entity_name": "J_{sc}", "entity_start": 200, "entity_end": 201, "property_value_start": 203, "property_value_end": 205, "property_numeric_value": 19.0, "property_unit": "mA cm^{-2}", "property_value_descriptor": ""}, "fill factor": {}, "highest occupied molecular orbital": {}, "lowest unoccupied molecular orbital": {}, "bandgap": {}, "hole mobility": {"entity_name": "hole mobility", "entity_start": 134, "entity_end": 135, "property_value_start": 137, "property_value_end": 145, "property_numeric_value": 0.00856, "property_unit": "cm^{2} V^{-1} s^{-1}", "property_value_descriptor": ""}, "electron mobility": {}, "external quantum efficiency": {}}</t>
  </si>
  <si>
    <t xml:space="preserve">10.1039/c6tc00353b</t>
  </si>
  <si>
    <t xml:space="preserve">PBDT-TFQ</t>
  </si>
  <si>
    <t xml:space="preserve">[*]c%11ccc(c9c(OCCCCCCCC)c(OCCCCCCCC)c(c6ccc(c5cc4c(c1ccc(CC(CC)CCCC)s1)c2sc([*])cc2c(c3ccc(CC(CC)CCCC)s3)c4s5)s6)c%10nc(c7ccc(F)cc7)c(c8ccc(F)cc8)nc9%10)s%11</t>
  </si>
  <si>
    <t xml:space="preserve">['PBDT-TFQ']</t>
  </si>
  <si>
    <t xml:space="preserve">{"power conversion efficiency": {"entity_name": "PCE", "entity_start": 162, "entity_end": 162, "property_value_start": 165, "property_value_end": 166, "property_numeric_value": 7.2, "property_unit": "%", "property_value_descriptor": ""}, "open circuit voltage": {"entity_name": "V_{oc}", "entity_start": 177, "entity_end": 179, "property_value_start": 181, "property_value_end": 182, "property_numeric_value": 0.87, "property_unit": "V", "property_value_descriptor": ""}, "short circuit current": {"entity_name": "J_{sc}", "entity_start": 190, "entity_end": 192, "property_value_start": 194, "property_value_end": 197, "property_numeric_value": 11.4, "property_unit": "mA cm^{-2}", "property_value_descriptor": ""}, "fill factor": {"entity_name": "FF", "entity_start": 201, "entity_end": 201, "property_value_start": 205, "property_value_end": 206, "property_numeric_value": 73.0, "property_unit": "%", "property_value_descriptor": ""}, "highest occupied molecular orbital": {"entity_name": "HOMO energy level", "entity_start": 91, "entity_end": 93, "property_value_start": 95, "property_value_end": 96, "property_numeric_value": -5.52, "property_unit": "eV", "property_value_descriptor": ""}, "lowest unoccupied molecular orbital": {}, "bandgap": {"entity_name": "optical bandgap", "entity_start": 74, "entity_end": 75, "property_value_start": 77, "property_value_end": 78, "property_numeric_value": 1.66, "property_unit": "eV", "property_value_descriptor": ""}, "hole mobility": {"entity_name": "hole mobility", "entity_start": 100, "entity_end": 101, "property_value_start": 103, "property_value_end": 111, "property_numeric_value": 0.000505, "property_unit": "cm^{2} V^{-1} s^{-1}", "property_value_descriptor": ""}, "electron mobility": {}, "external quantum efficiency": {}}</t>
  </si>
  <si>
    <t xml:space="preserve">10.1039/c8ta11006a</t>
  </si>
  <si>
    <t xml:space="preserve">POPB</t>
  </si>
  <si>
    <t xml:space="preserve">['PFOPB', 'POPB']</t>
  </si>
  <si>
    <t xml:space="preserve">benzodithiophene-4,8-dione</t>
  </si>
  <si>
    <t xml:space="preserve">{"power conversion efficiency": {"entity_name": "PCE", "entity_start": 195, "entity_end": 195, "property_value_start": 208, "property_value_end": 209, "property_numeric_value": 6.2, "property_unit": "%", "property_value_descriptor": ""}, "open circuit voltage": {}, "short circuit current": {}, "fill factor": {}, "highest occupied molecular orbital": {"entity_name": "HOMO level", "entity_start": 144, "entity_end": 145, "property_value_start": 147, "property_value_end": 148, "property_numeric_value": -5.5, "property_unit": "eV", "property_value_descriptor": ""}, "lowest unoccupied molecular orbital": {}, "bandgap": {"entity_name": "bandgap", "entity_start": 137, "entity_end": 137, "property_value_start": 139, "property_value_end": 140, "property_numeric_value": 1.86, "property_unit": "eV", "property_value_descriptor": ""}, "hole mobility": {"entity_name": "hole mobility", "entity_start": 116, "entity_end": 117, "property_value_start": 119, "property_value_end": 128, "property_numeric_value": 0.00039600000000000003, "property_unit": "cm^{2} V^{-1} s^{-1}", "property_value_descriptor": ""}, "electron mobility": {}, "external quantum efficiency": {}}</t>
  </si>
  <si>
    <t xml:space="preserve">PFOPB</t>
  </si>
  <si>
    <t xml:space="preserve">{"power conversion efficiency": {"entity_name": "PCE", "entity_start": 195, "entity_end": 195, "property_value_start": 198, "property_value_end": 199, "property_numeric_value": 11.7,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167, "entity_end": 168, "property_value_start": 170, "property_value_end": 178, "property_numeric_value": 0.00151, "property_unit": "cm^{2} V^{-1} s^{-1}", "property_value_descriptor": ""}, "electron mobility": {}, "external quantum efficiency": {}}</t>
  </si>
  <si>
    <t xml:space="preserve">10.1039/c7ta07785h</t>
  </si>
  <si>
    <t xml:space="preserve">PM6</t>
  </si>
  <si>
    <t xml:space="preserve">[*]c%10ccc(c8sc(c6ccc(c5cc4c(c1cc(F)c(CC(CC)CCCC)s1)c2sc([*])cc2c(c3cc(F)c(CC(CC)CCCC)s3)c4s5)s6)c9c(=O)c7c(CC(CC)CCCC)sc(C(CC)CCCCC)c7c(=O)c89)s%10</t>
  </si>
  <si>
    <t xml:space="preserve">['PM6']</t>
  </si>
  <si>
    <t xml:space="preserve">{"power conversion efficiency": {"entity_name": "PCE", "entity_start": 221, "entity_end": 221, "property_value_start": 223, "property_value_end": 224, "property_numeric_value": 9.7, "property_unit": "%", "property_value_descriptor": ""}, "open circuit voltage": {"entity_name": "V_{oc}", "entity_start": 239, "entity_end": 240, "property_value_start": 242, "property_value_end": 243, "property_numeric_value": 1.0, "property_unit": "V", "property_value_descriptor": ""}, "short circuit current": {"entity_name": "J_{sc}", "entity_start": 164, "entity_end": 165, "property_value_start": 167, "property_value_end": 170, "property_numeric_value": 16.0, "property_unit": "mA cm^{-2}", "property_value_descriptor": ""}, "fill factor": {"entity_name": "FF", "entity_start": 173, "entity_end": 173, "property_value_start": 175, "property_value_end": 176, "property_numeric_value": 58.0, "property_unit": "%", "property_value_descriptor": ""}, "highest occupied molecular orbital": {"entity_name": "HOMO", "entity_start": 92, "entity_end": 92, "property_value_start": 95, "property_value_end": 96, "property_numeric_value": -5.5, "property_unit": "eV", "property_value_descriptor": ""}, "lowest unoccupied molecular orbital": {}, "bandgap": {"entity_name": "bandgap", "entity_start": 55, "entity_end": 55, "property_value_start": 68, "property_value_end": 69, "property_numeric_value": 1.55, "property_unit": "eV", "property_value_descriptor": ""}, "hole mobility": {}, "electron mobility": {}, "external quantum efficiency": {}}</t>
  </si>
  <si>
    <t xml:space="preserve">10.1039/c6ta05932e</t>
  </si>
  <si>
    <t xml:space="preserve">N2200</t>
  </si>
  <si>
    <t xml:space="preserve">['N2200']</t>
  </si>
  <si>
    <t xml:space="preserve">{"power conversion efficiency": {"entity_name": "PCEs", "entity_start": 225, "entity_end": 225, "property_value_start": 227, "property_value_end": 228, "property_numeric_value": 5.9, "property_unit": "%", "property_value_descriptor": ""}, "open circuit voltage": {"entity_name": "V_{oc}", "entity_start": 190, "entity_end": 191, "property_value_start": 194, "property_value_end": 195, "property_numeric_value": 0.82, "property_unit": "V", "property_value_descriptor": ""}, "short circuit current": {"entity_name": "J_{sc}", "entity_start": 203, "entity_end": 204, "property_value_start": 207, "property_value_end": 210, "property_numeric_value": 15.7,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</si>
  <si>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PBDD-ff4T</t>
  </si>
  <si>
    <t xml:space="preserve">['PBDD-ff4 T', 'PBDD-ff4T']</t>
  </si>
  <si>
    <t xml:space="preserve">{"power conversion efficiency": {"entity_name": "PCE", "entity_start": 255, "entity_end": 255, "property_value_start": 257, "property_value_end": 258, "property_numeric_value": 7.2, "property_unit": "%", "property_value_descriptor": ""}, "open circuit voltage": {}, "short circuit current": {}, "fill factor": {"entity_name": "FF", "entity_start": 217, "entity_end": 217, "property_value_start": 220, "property_value_end": 221, "property_numeric_value": 56.0,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</si>
  <si>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10.1016/j.matchemphys.2015.06.020</t>
  </si>
  <si>
    <t xml:space="preserve">{"power conversion efficiency": {"entity_name": "power conversion efficiency", "entity_start": 299, "entity_end": 301, "property_value_start": 303, "property_value_end": 304, "property_numeric_value": 0.25,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</si>
  <si>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10.1039/c5cc03620h</t>
  </si>
  <si>
    <t xml:space="preserve">PThBDTP</t>
  </si>
  <si>
    <t xml:space="preserve">CCCCCCCCCCC(CCCCCCCC)Cn7c(=O)c5cc(c4cc3c(=O)n(CC(CCCCCCCC)CCCCCCCCCC)c2cc(c1ccc([*])s1)sc2c3s4)sc5c6sc([*])cc67</t>
  </si>
  <si>
    <t xml:space="preserve">['PThBDTP']</t>
  </si>
  <si>
    <t xml:space="preserve">{"power conversion efficiency": {"entity_name": "PCEs", "entity_start": 67, "entity_end": 67, "property_value_start": 70, "property_value_end": 71, "property_numeric_value": 9.0, "property_unit": "%", "property_value_descriptor": ""}, "open circuit voltage": {"entity_name": "V_{oc}", "entity_start": 50, "entity_end": 51, "property_value_start": 53, "property_value_end": 54, "property_numeric_value": 0.96,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</si>
  <si>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10.1039/c5ra23321f</t>
  </si>
  <si>
    <t xml:space="preserve">IDT; indacenodithiophene; P3HT</t>
  </si>
  <si>
    <t xml:space="preserve">{"power conversion efficiency": {"entity_name": "PCE", "entity_start": 149, "entity_end": 149, "property_value_start": 152, "property_value_end": 153, "property_numeric_value": 1.39,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</si>
  <si>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10.1021/ja100236b</t>
  </si>
  <si>
    <t xml:space="preserve">['PCPDTBT']</t>
  </si>
  <si>
    <t xml:space="preserve">{"power conversion efficiency": {"entity_name": "PCE", "entity_start": 337, "entity_end": 337, "property_value_start": 339, "property_value_end": 340, "property_numeric_value": 3.4,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</si>
  <si>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10.1002/adfm.201803128</t>
  </si>
  <si>
    <t xml:space="preserve">BTTIC</t>
  </si>
  <si>
    <t xml:space="preserve">['BTTIC', 'BTTIC-']</t>
  </si>
  <si>
    <t xml:space="preserve">{"power conversion efficiency": {}, "open circuit voltage": {}, "short circuit current": {}, "fill factor": {}, "highest occupied molecular orbital": {}, "lowest unoccupied molecular orbital": {}, "bandgap": {"entity_name": "E_{g}^{opt}", "entity_start": 64, "entity_end": 66, "property_value_start": 68, "property_value_end": 71, "property_numeric_value": 1.43, "property_unit": "eV", "property_value_descriptor": "and"}, "hole mobility": {}, "electron mobility": {}, "external quantum efficiency": {}}</t>
  </si>
  <si>
    <t xml:space="preserve">BTOIC</t>
  </si>
  <si>
    <t xml:space="preserve">['BTOIC']</t>
  </si>
  <si>
    <t xml:space="preserve">{"power conversion efficiency": {"entity_name": "PCE", "entity_start": 155, "entity_end": 155, "property_value_start": 159, "property_value_end": 160, "property_numeric_value": 13.18, "property_unit": "%", "property_value_descriptor": ""}, "open circuit voltage": {"entity_name": "V_{OC}s", "entity_start": 99, "entity_end": 99, "property_value_start": 102, "property_value_end": 105, "property_numeric_value": 0.88, "property_unit": "V", "property_value_descriptor": "and"},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</si>
  <si>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10.1016/j.tsf.2019.137559</t>
  </si>
  <si>
    <t xml:space="preserve">C71-butyric acid methyl ester</t>
  </si>
  <si>
    <t xml:space="preserve">['C71-butyric acid methyl ester']</t>
  </si>
  <si>
    <t xml:space="preserve">{"power conversion efficiency": {"entity_name": "power conversion efficiency", "entity_start": 90, "entity_end": 92, "property_value_start": 95, "property_value_end": 96, "property_numeric_value": 9.17,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</si>
  <si>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10.1039/c7ta09464g</t>
  </si>
  <si>
    <t xml:space="preserve">{"power conversion efficiency": {"entity_name": "PCE", "entity_start": 272, "entity_end": 272, "property_value_start": 274, "property_value_end": 275, "property_numeric_value": 4.07,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</si>
  <si>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10.1039/c3cp51070k</t>
  </si>
  <si>
    <t xml:space="preserve">BDT</t>
  </si>
  <si>
    <t xml:space="preserve">{"power conversion efficiency": {"entity_name": "PCE", "entity_start": 34, "entity_end": 34, "property_value_start": 37, "property_value_end": 38, "property_numeric_value": 3.0, "property_unit": "%", "property_value_descriptor": "~"}, "open circuit voltage": {"entity_name": "V_{oc}", "entity_start": 61, "entity_end": 62, "property_value_start": 65, "property_value_end": 66, "property_numeric_value": 0.71, "property_unit": "V", "property_value_descriptor": ""}, "short circuit current": {"entity_name": "J_{sc}", "entity_start": 46, "entity_end": 48, "property_value_start": 50, "property_value_end": 53, "property_numeric_value": 7.63, "property_unit": "mA cm^{-2}", "property_value_descriptor": ""}, "fill factor": {"entity_name": "FF", "entity_start": 73, "entity_end": 73, "property_value_start": 76, "property_value_end": 77, "property_numeric_value": 53.74,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</si>
  <si>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10.1016/j.synthmet.2014.07.002</t>
  </si>
  <si>
    <t xml:space="preserve">{"power conversion efficiency": {"entity_name": "power conversion efficiency", "entity_start": 130, "entity_end": 132, "property_value_start": 163, "property_value_end": 164, "property_numeric_value": 0.33, "property_unit": "%", "property_value_descriptor": ""}, "open circuit voltage": {}, "short circuit current": {}, "fill factor": {}, "highest occupied molecular orbital": {}, "lowest unoccupied molecular orbital": {"entity_name": "LUMO energy levels", "entity_start": 105, "entity_end": 107, "property_value_start": 119, "property_value_end": 120, "property_numeric_value": -3.5, "property_unit": "eV", "property_value_descriptor": ""}, "bandgap": {}, "hole mobility": {}, "electron mobility": {}, "external quantum efficiency": {}}</t>
  </si>
  <si>
    <t xml:space="preserve">{"power conversion efficiency": {"entity_name": "power conversion efficiency", "entity_start": 130, "entity_end": 132, "property_value_start": 147, "property_value_end": 148, "property_numeric_value": 1.24,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</si>
  <si>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10.1016/j.synthmet.2008.08.010</t>
  </si>
  <si>
    <t xml:space="preserve">OTPAV-PT</t>
  </si>
  <si>
    <t xml:space="preserve">CCCCCCCCOc5ccc(N(c1ccccc1)c4ccc(/C=C/c2cc([*])sc2c3ccc([*])s3)cc4)cc5</t>
  </si>
  <si>
    <t xml:space="preserve">['OTPAV-PT']</t>
  </si>
  <si>
    <t xml:space="preserve">{"power conversion efficiency": {"entity_name": "power conversion efficiency", "entity_start": 128, "entity_end": 130, "property_value_start": 135, "property_value_end": 136, "property_numeric_value": 0.21,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</si>
  <si>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10.1080/10601325.2015.980766</t>
  </si>
  <si>
    <t xml:space="preserve">PCzTz</t>
  </si>
  <si>
    <t xml:space="preserve">['PCzTz', 'PCzTz1BT3']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</si>
  <si>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 gap", "entity_start": 94, "entity_end": 96, "property_value_start": 98, "property_value_end": 99, "property_numeric_value": 1.78, "property_unit": "eV", "property_value_descriptor": ""}, "hole mobility": {}, "electron mobility": {}, "external quantum efficiency": {}}</t>
  </si>
  <si>
    <t xml:space="preserve">PEDOT</t>
  </si>
  <si>
    <t xml:space="preserve">C1COc2c(O1)c([*])sc2c4sc([*])c3OCCOc34</t>
  </si>
  <si>
    <t xml:space="preserve">['PEDOT']</t>
  </si>
  <si>
    <t xml:space="preserve">{"power conversion efficiency": {"entity_name": "PCE", "entity_start": 177, "entity_end": 177, "property_value_start": 191, "property_value_end": 192, "property_numeric_value": 3.45, "property_unit": "%", "property_value_descriptor": ""}, "open circuit voltage": {}, "short circuit current": {}, "fill factor": {"entity_name": "FF", "entity_start": 170, "entity_end": 170, "property_value_start": 188, "property_value_end": 189, "property_numeric_value": 61.0,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</si>
  <si>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10.1016/j.apsusc.2016.03.080</t>
  </si>
  <si>
    <t xml:space="preserve">PBDTT-F-TT</t>
  </si>
  <si>
    <t xml:space="preserve">['PBDTT-F-TT']</t>
  </si>
  <si>
    <t xml:space="preserve">{"power conversion efficiency": {"entity_name": "PCE", "entity_start": 71, "entity_end": 71, "property_value_start": 83, "property_value_end": 84, "property_numeric_value": 9.34,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</si>
  <si>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10.1016/j.orgel.2016.03.006</t>
  </si>
  <si>
    <t xml:space="preserve">PX</t>
  </si>
  <si>
    <t xml:space="preserve">{"power conversion efficiency": {"entity_name": "PCE", "entity_start": 69, "entity_end": 69, "property_value_start": 72, "property_value_end": 73, "property_numeric_value": 5.37,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</si>
  <si>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10.1016/j.polymer.2011.03.057</t>
  </si>
  <si>
    <t xml:space="preserve">PDTPTPD</t>
  </si>
  <si>
    <t xml:space="preserve">['PDTPTPD']</t>
  </si>
  <si>
    <t xml:space="preserve">{"power conversion efficiency": {}, "open circuit voltage": {"entity_name": "V_{OC}", "entity_start": 157, "entity_end": 158, "property_value_start": 160, "property_value_end": 161, "property_numeric_value": 0.7, "property_unit": "V", "property_value_descriptor": ""}, "short circuit current": {"entity_name": "I_{SC}", "entity_start": 169, "entity_end": 170, "property_value_start": 173, "property_value_end": 177, "property_numeric_value": 6.97, "property_unit": "mA/cm^{2}", "property_value_descriptor": ""}, "fill factor": {}, "highest occupied molecular orbital": {"entity_name": "HOMO energy level", "entity_start": 105, "entity_end": 107, "property_value_start": 109, "property_value_end": 110, "property_numeric_value": -5.09, "property_unit": "eV", "property_value_descriptor": ""}, "lowest unoccupied molecular orbital": {}, "bandgap": {"entity_name": "optical band gap", "entity_start": 96, "entity_end": 98, "property_value_start": 100, "property_value_end": 101, "property_numeric_value": 1.62, "property_unit": "eV", "property_value_descriptor": ""}, "hole mobility": {}, "electron mobility": {}, "external quantum efficiency": {}}</t>
  </si>
  <si>
    <t xml:space="preserve">10.1039/c6ra18223b</t>
  </si>
  <si>
    <t xml:space="preserve">poly(2,7-carbazole-alt-dithienylbenzothiadiazole)</t>
  </si>
  <si>
    <t xml:space="preserve">['poly(2,7-carbazole-alt-dithienylbenzothiadiazole)', 'PCDTBT']</t>
  </si>
  <si>
    <t xml:space="preserve">{"power conversion efficiency": {"entity_name": "PCE", "entity_start": 177, "entity_end": 177, "property_value_start": 189, "property_value_end": 190, "property_numeric_value": 3.51,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</si>
  <si>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10.1016/j.polymer.2016.09.003</t>
  </si>
  <si>
    <t xml:space="preserve">PCDTBTF-1</t>
  </si>
  <si>
    <t xml:space="preserve">['PCDTBTF-1', 'PCDTBTF-10']</t>
  </si>
  <si>
    <t xml:space="preserve">{"power conversion efficiency": {"entity_name": "PCE", "entity_start": 208, "entity_end": 208, "property_value_start": 210, "property_value_end": 211, "property_numeric_value": 3.44, "property_unit": "%", "property_value_descriptor": ""}, "open circuit voltage": {"entity_name": "V_{OC}", "entity_start": 174, "entity_end": 175, "property_value_start": 178, "property_value_end": 179, "property_numeric_value": 0.82, "property_unit": "V", "property_value_descriptor": ""}, "short circuit current": {"entity_name": "J_{SC}", "entity_start": 186, "entity_end": 188, "property_value_start": 190, "property_value_end": 194, "property_numeric_value": 9.66, "property_unit": "mA/cm^{2}", "property_value_descriptor": ""}, "fill factor": {"entity_name": "FF", "entity_start": 201, "entity_end": 201, "property_value_start": 204, "property_value_end": 204, "property_numeric_value": 44.0,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</si>
  <si>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10.1016/j.synthmet.2017.02.002</t>
  </si>
  <si>
    <t xml:space="preserve">['PCPDTTBT']</t>
  </si>
  <si>
    <t xml:space="preserve">{"power conversion efficiency": {"entity_name": "power conversion efficiency", "entity_start": 197, "entity_end": 199, "property_value_start": 201, "property_value_end": 202, "property_numeric_value": 1.86, "property_unit": "%", "property_value_descriptor": ""}, "open circuit voltage": {"entity_name": "open-circuit voltage", "entity_start": 188, "entity_end": 191, "property_value_start": 193, "property_value_end": 194, "property_numeric_value": 0.567, "property_unit": "V", "property_value_descriptor": ""}, "short circuit current": {"entity_name": "short-circuit current", "entity_start": 178, "entity_end": 181, "property_value_start": 183, "property_value_end": 186, "property_numeric_value": 10.03, "property_unit": "mA cm^{-2}", "property_value_descriptor": ""}, "fill factor": {}, "highest occupied molecular orbital": {}, "lowest unoccupied molecular orbital": {}, "bandgap": {"entity_name": "band gap", "entity_start": 116, "entity_end": 117, "property_value_start": 132, "property_value_end": 135, "property_numeric_value": -0.97, "property_unit": "eV", "property_value_descriptor": "and"}, "hole mobility": {}, "electron mobility": {}, "external quantum efficiency": {}}</t>
  </si>
  <si>
    <t xml:space="preserve">10.1016/j.orgel.2011.09.007</t>
  </si>
  <si>
    <t xml:space="preserve">['PCBM', '[6,6]-phenyl C61 butyric acid methyl ester']</t>
  </si>
  <si>
    <t xml:space="preserve">{"power conversion efficiency": {"entity_name": "power conversion efficiency", "entity_start": 133, "entity_end": 135, "property_value_start": 138, "property_value_end": 139, "property_numeric_value": 3.33, "property_unit": "%", "property_value_descriptor": ""}, "open circuit voltage": {"entity_name": "open-circuit voltage", "entity_start": 153, "entity_end": 156, "property_value_start": 158, "property_value_end": 159, "property_numeric_value": 0.61, "property_unit": "V", "property_value_descriptor": ""}, "short circuit current": {"entity_name": "short-circuit current", "entity_start": 142, "entity_end": 145, "property_value_start": 147, "property_value_end": 151, "property_numeric_value": 8.94, "property_unit": "mA/cm^{2}", "property_value_descriptor": ""}, "fill factor": {"entity_name": "fill factor", "entity_start": 162, "entity_end": 163, "property_value_start": 165, "property_value_end": 166, "property_numeric_value": 61.1,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</si>
  <si>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10.1002/pola.26284</t>
  </si>
  <si>
    <t xml:space="preserve">PFO-3ThPz-Tpa</t>
  </si>
  <si>
    <t xml:space="preserve">[*]c%15ccc%14c%13ccc(c%12ccc(c%10sc(c1ccc([*])s1)c%11nc(c5ccc(c4ccc(N(c2ccc(OCCCCCCCC)cc2)c3ccc(OCCCCCCCC)cc3)cc4)cc5)c(c9ccc(c8ccc(N(c6ccc(OCCCCCCCC)cc6)c7ccc(OCCCCCCCC)cc7)cc8)cc9)nc%10%11)s%12)cc%13C(CCCCCCCC)(CCCCCCCC)c%14c%15</t>
  </si>
  <si>
    <t xml:space="preserve">['PFO-3ThPz-Tpa']</t>
  </si>
  <si>
    <t xml:space="preserve">{"power conversion efficiency": {"entity_name": "PCE", "entity_start": 203, "entity_end": 203, "property_value_start": 205, "property_value_end": 206, "property_numeric_value": 3.08,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</si>
  <si>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7.91 mA/cm^{2}</t>
  </si>
  <si>
    <t xml:space="preserve">{"power conversion efficiency": {}, "open circuit voltage": {}, "short circuit current": {"entity_name": "J_{sc}", "entity_start": 208, "entity_end": 209, "property_value_start": 211, "property_value_end": 214, "property_numeric_value": 10.3,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</si>
  <si>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10.1016/j.orgel.2012.08.003</t>
  </si>
  <si>
    <t xml:space="preserve">["poly[N-9'-hepta-decanyl-2,7-carbazole-alt-5,5-(4',7'-di-2-thienyl-2',1',3'-benzothiadiazole)]", 'PCDTBT', 'PCDTBT']</t>
  </si>
  <si>
    <t xml:space="preserve">{"power conversion efficiency": {"entity_name": "power conversion efficiency", "entity_start": 227, "entity_end": 229, "property_value_start": 234, "property_value_end": 235, "property_numeric_value": 6.45, "property_unit": "%", "property_value_descriptor": ""}, "open circuit voltage": {}, "short circuit current": {"entity_name": "short-circuit current", "entity_start": 239, "entity_end": 242, "property_value_start": 244, "property_value_end": 248, "property_numeric_value": 13.6,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</si>
  <si>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10.1080/15421406.2012.691001</t>
  </si>
  <si>
    <t xml:space="preserve">Poly(3-hexylthiophene)</t>
  </si>
  <si>
    <t xml:space="preserve">['Poly(3-hexylthiophene)','P3HT']</t>
  </si>
  <si>
    <t xml:space="preserve">{"power conversion efficiency": {"entity_name": "PCE", "entity_start": 146, "entity_end": 146, "property_value_start": 148, "property_value_end": 149, "property_numeric_value": 2.2,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</si>
  <si>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10.1016/j.polymer.2012.09.013</t>
  </si>
  <si>
    <t xml:space="preserve">PDTPDBF</t>
  </si>
  <si>
    <t xml:space="preserve">[*]c1cc%10c(s1)c9sc(c7ccc(c6ccc5c4ccc(c2ccc([*])c3nsnc23)cc4C(CCCCCCCC)(CCCCCCCC)c5c6)c8nsnc78)cc9n%10C(CCCCC)CCCCC</t>
  </si>
  <si>
    <t xml:space="preserve">['PDTPDBF']</t>
  </si>
  <si>
    <t xml:space="preserve">{"power conversion efficiency": {"entity_name": "PCE", "entity_start": 144, "entity_end": 144, "property_value_start": 147, "property_value_end": 148, "property_numeric_value": 4.2, "property_unit": "%", "property_value_descriptor": ""}, "open circuit voltage": {"entity_name": "open circuit voltage", "entity_start": 132, "entity_end": 134, "property_value_start": 136, "property_value_end": 137, "property_numeric_value": 0.84, "property_unit": "V", "property_value_descriptor": ""}, "short circuit current": {}, "fill factor": {}, "highest occupied molecular orbital": {"entity_name": "HOMO", "entity_start": 70, "entity_end": 70, "property_value_start": 73, "property_value_end": 74, "property_numeric_value": -5.47, "property_unit": "eV", "property_value_descriptor": ""}, "lowest unoccupied molecular orbital": {}, "bandgap": {}, "hole mobility": {}, "electron mobility": {}, "external quantum efficiency": {}}</t>
  </si>
  <si>
    <t xml:space="preserve">10.1039/c2jm34918c</t>
  </si>
  <si>
    <t xml:space="preserve">{"power conversion efficiency": {"entity_name": "PCE", "entity_start": 162, "entity_end": 162, "property_value_start": 183, "property_value_end": 184, "property_numeric_value": 2.75,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</si>
  <si>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10.1016/j.solmat.2012.09.006</t>
  </si>
  <si>
    <t xml:space="preserve">{"power conversion efficiency": {"entity_name": "PCE", "entity_start": 192, "entity_end": 192, "property_value_start": 194, "property_value_end": 195, "property_numeric_value": 2.8,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</si>
  <si>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10.1039/c7cc01973d</t>
  </si>
  <si>
    <t xml:space="preserve">PzIIG-BDT2TC8</t>
  </si>
  <si>
    <t xml:space="preserve">[*]c%10ccc9c(=Cc8cnc(C=c6c(=O)n(CCCCCCCC)c7cc(c5cc4c(c1cc(CCCCCCCC)c(CCCCCCCC)s1)c2sc([*])cc2c(c3cc(CCCCCCCC)c(CCCCCCCC)s3)c4s5)ccc67)cn8)c(=O)n(CCCCCCCC)c9c%10</t>
  </si>
  <si>
    <t xml:space="preserve">['PzIIG-BDT2TC8']</t>
  </si>
  <si>
    <t xml:space="preserve">1.0 V</t>
  </si>
  <si>
    <t xml:space="preserve">{"power conversion efficiency": {"entity_name": "PCE", "entity_start": 55, "entity_end": 55, "property_value_start": 57, "property_value_end": 58, "property_numeric_value": 5.26,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</si>
  <si>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10.1016/j.dyepig.2017.04.056</t>
  </si>
  <si>
    <t xml:space="preserve">[*]c%11ccc%10c(=Cc9ccc(/C=C/c8ccc(C=c6c(=O)n(CC(CCCCCCCCCCCC)CCCCCCCCCCCC)c7cc(c5cc4c(c1ccc(CC(CC)CCCC)s1)c2sc([*])cc2c(c3ccc(CC(CC)CCCC)s3)c4s5)ccc67)s8)s9)c(=O)n(CC(CCCCCCCCCCCC)CCCCCCCCCCCC)c%10c%11</t>
  </si>
  <si>
    <t xml:space="preserve">['[6,6]-phenyl-C71-butyric acid methyl ester', 'PC_{71}BM']</t>
  </si>
  <si>
    <t xml:space="preserve">{"power conversion efficiency": {"entity_name": "PCE", "entity_start": 138, "entity_end": 138, "property_value_start": 142, "property_value_end": 143, "property_numeric_value": 4.75,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</si>
  <si>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10.1039/c8ta04935a</t>
  </si>
  <si>
    <t xml:space="preserve">P3TAE</t>
  </si>
  <si>
    <t xml:space="preserve">[*]c%10ccc(c8c(F)c(F)c(c7ccc(c6sc(c5sc(c3c(F)c(F)c(c2cc(CC(CCCCCC)CCCCCCCC)c(c1cc(C(=O)OCC(CCCCCC)CCCCCCCC)c([*])s1)s2)c4nsnc34)cc5CC(CCCCCC)CCCCCCCC)cc6C(=O)OCC(CCCCCC)CCCCCCCC)s7)c9nsnc89)s%10</t>
  </si>
  <si>
    <t xml:space="preserve">['P3TAE']</t>
  </si>
  <si>
    <t xml:space="preserve">FTTB-PDI4</t>
  </si>
  <si>
    <t xml:space="preserve">CCCCCCC(CCCCCC)n%30c(=O)c%31ccc%32c%35ccc%36c(=O)n(C(CCCCCC)CCCCCC)c(=O)c%37cc%34c%29sc(c%19c(c2cc1c6cc9c(=O)n(C(CCCCCC)CCCCCC)c(=O)c8ccc7c3ccc4c(=O)n(C(CCCCCC)CCCCCC)c(=O)c5cc(c1s2)c(c3c45)c6c7c89)cc(c%18cc%17c%10cc%13c(=O)n(C(CCCCCC)CCCCCC)c(=O)c%12ccc%11c%14ccc%15c(=O)n(C(CCCCCC)CCCCCC)c(=O)c%16cc(c(c%10c%11c%12%13)C%14C%15%16)c%17s%18)cc%19c%21cc%20c%25cc%28c(=O)n(C(CCCCCC)CCCCCC)c(=O)c%27ccc%26c%22ccc%23c(=O)n(C(CCCCCC)CCCCCC)c(=O)c%24cc(c%20s%21)c(c%22c%23%24)c%25c%26c%27%28)cc%29c%33cc(c%30=O)C%31C%32c%33c%34c%35c%36%37</t>
  </si>
  <si>
    <t xml:space="preserve">['FTTB-PDI4', 'FTTB-PDI4-based']</t>
  </si>
  <si>
    <t xml:space="preserve">{"power conversion efficiency": {}, "open circuit voltage": {"entity_name": "V_{OC}", "entity_start": 241, "entity_end": 242, "property_value_start": 245, "property_value_end": 246, "property_numeric_value": 1.2,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{"entity_name": "EQE", "entity_start": 160, "entity_end": 160, "property_value_start": 163, "property_value_end": 164, "property_numeric_value": 60.0, "property_unit": "%", "property_value_descriptor": "~"}}</t>
  </si>
  <si>
    <t xml:space="preserve">10.1002/polb.24518</t>
  </si>
  <si>
    <t xml:space="preserve">PDDT</t>
  </si>
  <si>
    <t xml:space="preserve">['PDDT']</t>
  </si>
  <si>
    <t xml:space="preserve">{"power conversion efficiency": {"entity_name": "PCE", "entity_start": 311, "entity_end": 311, "property_value_start": 313, "property_value_end": 314, "property_numeric_value": 3.16, "property_unit": "%", "property_value_descriptor": ""}, "open circuit voltage": {}, "short circuit current": {"entity_name": "J_{sc}", "entity_start": 145, "entity_end": 146, "property_value_start": 148, "property_value_end": 151, "property_numeric_value": 7.11, "property_unit": "mA cm^{-2}", "property_value_descriptor": ""}, "fill factor": {"entity_name": "FF", "entity_start": 153, "entity_end": 153, "property_value_start": 155, "property_value_end": 156, "property_numeric_value": 47.0,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</si>
  <si>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['poly(3-hexylthiophene)', 'P3HT', 'P3HTs', 'P3HT ']</t>
  </si>
  <si>
    <t xml:space="preserve">{"power conversion efficiency": {"entity_name": "PCE", "entity_start": 346, "entity_end": 346, "property_value_start": 348, "property_value_end": 349, "property_numeric_value": 3.11, "property_unit": "%", "property_value_descriptor": ""}, "open circuit voltage": {}, "short circuit current": {"entity_name": "J_{sc}", "entity_start": 297, "entity_end": 298, "property_value_start": 300, "property_value_end": 303, "property_numeric_value": 9.45, "property_unit": "mA cm^{-2}", "property_value_descriptor": ""}, "fill factor": {"entity_name": "FF", "entity_start": 340, "entity_end": 340, "property_value_start": 342, "property_value_end": 343, "property_numeric_value": 53.0,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</si>
  <si>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PTEt</t>
  </si>
  <si>
    <t xml:space="preserve">['g', 'PTEt']</t>
  </si>
  <si>
    <t xml:space="preserve">{"power conversion efficiency": {}, "open circuit voltage": {}, "short circuit current": {"entity_name": "J_{sc}", "entity_start": 332, "entity_end": 333, "property_value_start": 335, "property_value_end": 338, "property_numeric_value": 9.32, "property_unit": "mA cm^{-2}", "property_value_descriptor": ""}, "fill factor": {"entity_name": "FF", "entity_start": 305, "entity_end": 305, "property_value_start": 307, "property_value_end": 308, "property_numeric_value": 54.0,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</si>
  <si>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10.1002/marc.201800446</t>
  </si>
  <si>
    <t xml:space="preserve">PBDTsTh-BDD</t>
  </si>
  <si>
    <t xml:space="preserve">[*]c9ccc(c7sc(c5ccc(c4cc3c(OCC(CCCCCC)CCCCCCCC)c1sc([*])cc1c(c2ccc(SCC(CC)CCCC)s2)c3s4)s5)c8c(=O)c6c(CC(CC)CCCC)sc(CC(CC)CCCC)c6c(=O)c78)s9</t>
  </si>
  <si>
    <t xml:space="preserve">['PBDTsTh-BDD']</t>
  </si>
  <si>
    <t xml:space="preserve">{"power conversion efficiency": {"entity_name": "PCEs", "entity_start": 103, "entity_end": 103, "property_value_start": 122, "property_value_end": 123, "property_numeric_value": 7.09,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</si>
  <si>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PBDTBDD-Th</t>
  </si>
  <si>
    <t xml:space="preserve">[*]c9ccc(c7sc(c5ccc(c4cc3c(OCC(CCCCCC)CCCCCCCC)c1sc([*])cc1c(c2ccc(CC(CC)CCCC)s2)c3s4)s5)c8c(=O)c6c(CC(CC)CCCC)sc(CC(CC)CCCC)c6c(=O)c78)s9</t>
  </si>
  <si>
    <t xml:space="preserve">['PBDTBDD-Th']</t>
  </si>
  <si>
    <t xml:space="preserve">10.1039/b919033c</t>
  </si>
  <si>
    <t xml:space="preserve">poly(6,6',12,12'-tetraoctylindeno[1,2-b]fluorene-co-4,7-bis(2-thienyl)-2,1,3-benzothiadiazole)</t>
  </si>
  <si>
    <t xml:space="preserve">[*]c3ccc2c1cc9c(cc1C(CCCCCCCC)(CCCCCCCC)c2c3)c8ccc(c7ccc(c5ccc(c4ccc([*])s4)c6nsnc56)s7)cc8C9(CCCCCCCC)CCCCCCCC</t>
  </si>
  <si>
    <t xml:space="preserve">["poly(6,6',12,12'-tetraoctylindeno[1,2-b]fluorene-co-4,7-bis(2-thienyl)-2,1,3-benzothiadiazole)", 'PIF-DBT']</t>
  </si>
  <si>
    <t xml:space="preserve">{"power conversion efficiency": {}, "open circuit voltage": {}, "short circuit current": {}, "fill factor": {}, "highest occupied molecular orbital": {}, "lowest unoccupied molecular orbital": {}, "bandgap": {"entity_name": "bandgap", "entity_start": 106, "entity_end": 106, "property_value_start": 115, "property_value_end": 116, "property_numeric_value": 1.6, "property_unit": "eV", "property_value_descriptor": "~"}, "hole mobility": {"entity_name": "hole mobility", "entity_start": 198, "entity_end": 199, "property_value_start": 201, "property_value_end": 208, "property_numeric_value": 0.000505, "property_unit": "cm^{2} V^{-1} s^{-1}", "property_value_descriptor": "~"}, "electron mobility": {}, "external quantum efficiency": {}}</t>
  </si>
  <si>
    <t xml:space="preserve">PIF-DTP</t>
  </si>
  <si>
    <t xml:space="preserve">[*]c3ccc2c1cc9c(cc1C(CCCCCCCC)(CCCCCCCC)c2c3)c8ccc(c7ccc(c5sc(c4ccc([*])s4)c6nccnc56)s7)cc8C9(CCCCCCCC)CCCCCCCC</t>
  </si>
  <si>
    <t xml:space="preserve">['PIF-DTP']</t>
  </si>
  <si>
    <t xml:space="preserve">{"power conversion efficiency": {}, "open circuit voltage": {"entity_name": "open circuit voltage", "entity_start": 247, "entity_end": 249, "property_value_start": 251, "property_value_end": 252, "property_numeric_value": 0.77,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</si>
  <si>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10.1002/adfm.200901807</t>
  </si>
  <si>
    <t xml:space="preserve">['[6,6]-phenyl-C61-butyric acid methyl ester','PCBM']</t>
  </si>
  <si>
    <t xml:space="preserve">{"power conversion efficiency": {"entity_name": "PCE", "entity_start": 72, "entity_end": 72, "property_value_start": 92, "property_value_end": 93, "property_numeric_value": 3.39,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</si>
  <si>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10.1002/pola.28427</t>
  </si>
  <si>
    <t xml:space="preserve">{"power conversion efficiency": {"entity_name": "power conversion efficiencies", "entity_start": 110, "entity_end": 112, "property_value_start": 123, "property_value_end": 124, "property_numeric_value": 8.43,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</si>
  <si>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efficiencies", "entity_start": 110, "entity_end": 112, "property_value_start": 132, "property_value_end": 133, "property_numeric_value": 3.04,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</si>
  <si>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10.1007/s11664-018-6287-5</t>
  </si>
  <si>
    <t xml:space="preserve">PC_{20}BDTDPP</t>
  </si>
  <si>
    <t xml:space="preserve">[*]c7ccc(c6c5c(=O)n(CC(CC)CCCC)c(c4ccc(c3cc2c(OCC(CCCCCCCC)CCCCCCCCCC)c1sc([*])cc1c(OCC(CCCCCCCC)CCCCCCCCCC)c2s3)s4)c5c(=O)n6CC(CC)CCCC)s7</t>
  </si>
  <si>
    <t xml:space="preserve">['PC_{20}BDTDPP']</t>
  </si>
  <si>
    <t xml:space="preserve">['[6,6]-phenyl-C_{71}-butyric acid methyl ester', 'PC_{71}BM']</t>
  </si>
  <si>
    <t xml:space="preserve">{"power conversion efficiency": {"entity_name": "PCE", "entity_start": 35, "entity_end": 35, "property_value_start": 69, "property_value_end": 70, "property_numeric_value": 9.1,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</si>
  <si>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10.1002/aenm.201200426</t>
  </si>
  <si>
    <t xml:space="preserve">PF10TBT</t>
  </si>
  <si>
    <t xml:space="preserve">[*]c7ccc6c5ccc(c4ccc(c2ccc(c1ccc([*])s1)c3nsnc23)s4)cc5C(CCCCCCCCCC)(CCCCCCCCCC)c6c7</t>
  </si>
  <si>
    <t xml:space="preserve">['poly[2,7-(9,9-didecylfluorene)-alt-5,5-(4,7-di-2-thienyl-2,1,3-benzothiadiazole)]', 'PF10TBT']</t>
  </si>
  <si>
    <t xml:space="preserve">{"power conversion efficiency": {"entity_name": "power conversion efficiency", "entity_start": 60, "entity_end": 62, "property_value_start": 64, "property_value_end": 65, "property_numeric_value": 4.2, "property_unit": "%", "property_value_descriptor": ""}, "open circuit voltage": {"entity_name": "V_{oc}", "entity_start": 53, "entity_end": 54, "property_value_start": 56, "property_value_end": 57, "property_numeric_value": 1.0,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</si>
  <si>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10.1016/j.synthmet.2016.06.004</t>
  </si>
  <si>
    <t xml:space="preserve">PBDTT-TIID</t>
  </si>
  <si>
    <t xml:space="preserve">[*]c9cc8c(c1ccc(CC(CC)CCCC)s1)c6sc(C2=CC5C(S2)C(=c3c(=O)n(CC(CC)CCCC)c4cc([*])sc34)C(=O)N5CC(CC)CCCC)cc6c(c7ccc(CC(CC)CCCC)s7)c8s9</t>
  </si>
  <si>
    <t xml:space="preserve">['PBDTT-TIID']</t>
  </si>
  <si>
    <t xml:space="preserve">{"power conversion efficiency": {"entity_name": "PCE", "entity_start": 155, "entity_end": 155, "property_value_start": 157, "property_value_end": 158, "property_numeric_value": 2.4, "property_unit": "%", "property_value_descriptor": ""}, "open circuit voltage": {"entity_name": "V_{oc}", "entity_start": 115, "entity_end": 116, "property_value_start": 118, "property_value_end": 119, "property_numeric_value": 0.59, "property_unit": "V", "property_value_descriptor": ""}, "short circuit current": {}, "fill factor": {}, "highest occupied molecular orbital": {}, "lowest unoccupied molecular orbital": {}, "bandgap": {"entity_name": "E_{g}", "entity_start": 128, "entity_end": 129, "property_value_start": 131, "property_value_end": 132, "property_numeric_value": 1.17, "property_unit": "eV", "property_value_descriptor": ""}, "hole mobility": {}, "electron mobility": {}, "external quantum efficiency": {}}</t>
  </si>
  <si>
    <t xml:space="preserve">10.1002/pola.26275</t>
  </si>
  <si>
    <t xml:space="preserve">PBDTT-ID</t>
  </si>
  <si>
    <t xml:space="preserve">[*]c9ccc8c(=c6c(=O)n(CC(CC)CCCC)c7cc(c5cc4c(c1cc(CCCCCC)c(CCCCCC)s1)c2sc([*])cc2c(c3cc(CCCCCC)c(CCCCCC)s3)c4s5)ccc67)c(=O)n(CC(CC)CCCC)c8c9</t>
  </si>
  <si>
    <t xml:space="preserve">['PBDTT-ID']</t>
  </si>
  <si>
    <t xml:space="preserve">{"power conversion efficiency": {"entity_name": "power conversion efficiency", "entity_start": 130, "entity_end": 132, "property_value_start": 134, "property_value_end": 135, "property_numeric_value": 4.02, "property_unit": "%", "property_value_descriptor": ""}, "open circuit voltage": {"entity_name": "V_{oc}", "entity_start": 142, "entity_end": 143, "property_value_start": 146, "property_value_end": 147, "property_numeric_value": 0.94, "property_unit": "V", "property_value_descriptor": ""}, "short circuit current": {}, "fill factor": {}, "highest occupied molecular orbital": {"entity_name": "HOMO) energy leve", "entity_start": 43, "entity_end": 46, "property_value_start": 48, "property_value_end": 49, "property_numeric_value": -5.71, "property_unit": "eV", "property_value_descriptor": ""}, "lowest unoccupied molecular orbital": {}, "bandgap": {"entity_name": "optical bandgap", "entity_start": 31, "entity_end": 32, "property_value_start": 34, "property_value_end": 35, "property_numeric_value": 1.56, "property_unit": "eV", "property_value_descriptor": ""}, "hole mobility": {}, "electron mobility": {}, "external quantum efficiency": {}}</t>
  </si>
  <si>
    <t xml:space="preserve">10.1002/pi.4979</t>
  </si>
  <si>
    <t xml:space="preserve">PFTpBT</t>
  </si>
  <si>
    <t xml:space="preserve">{[*]c4ccc3c2ccc(c1ccc([*])s1)cc2C(CCCCCCCC)(CCCCCCCC)c3c4,[*]c7ccc6c5ccc(c4ccc(c2ccc(c1ccc([*])s1)c3nsnc23)s4)cc5C(CCCCCCCC)(CCCCCCCC)c6c7}</t>
  </si>
  <si>
    <t xml:space="preserve">['PFTpBT']</t>
  </si>
  <si>
    <t xml:space="preserve">{"power conversion efficiency": {"entity_name": "PCEs", "entity_start": 136, "entity_end": 136, "property_value_start": 142, "property_value_end": 143, "property_numeric_value": 4.2,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</si>
  <si>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PFTDPP</t>
  </si>
  <si>
    <t xml:space="preserve">{[*]c4ccc3c2ccc(c1ccc([*])s1)cc2C(CCCCCCCC)(CCCCCCCC)c3c4,[*]c5ccc(c4ccc(c3c2c(=O)n(CC(CC)CCCC)c(c1ccc([*])s1)c2c(=O)n3CC(CC)CCCC)s4)s5}</t>
  </si>
  <si>
    <t xml:space="preserve">['PFTDPP']</t>
  </si>
  <si>
    <t xml:space="preserve">10.1039/c6ta08130d</t>
  </si>
  <si>
    <t xml:space="preserve">='PDPP-CH'</t>
  </si>
  <si>
    <t xml:space="preserve">[*]c%11cc%10c(c1ccc(CC(CC)CCCC)s1)c8sc(c6sc(c5c4c(=O)n(CC(CCCC)CCCCCC)c(c3cc(C2CCCCC2)c([*])s3)c4c(=O)n5CC(CCCC)CCCCCC)cc6C7CCCCC7)cc8c(c9ccc(CC(CC)CCCC)s9)c%10s%11</t>
  </si>
  <si>
    <t xml:space="preserve">['PDPP-CH']</t>
  </si>
  <si>
    <t xml:space="preserve">{"power conversion efficiency": {"entity_name": "PCE", "entity_start": 151, "entity_end": 151, "property_value_start": 154, "property_value_end": 155, "property_numeric_value": 8.11,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</si>
  <si>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10.1016/j.polymer.2017.03.056</t>
  </si>
  <si>
    <t xml:space="preserve">PBDTT-DFTQ</t>
  </si>
  <si>
    <t xml:space="preserve">[*]c%11ccc(c9c(F)c(F)c(c6ccc(c5cc4c(c1cc(CCCCCCCC)c(CCCCCCCC)s1)c2sc([*])cc2c(c3cc(CCCCCCCC)c(CCCCCCCC)s3)c4s5)s6)c%10nc(c7cccc(OCCCCCCCC)c7)c(c8cccc(OCCCCCCCC)c8)nc9%10)s%11</t>
  </si>
  <si>
    <t xml:space="preserve">['PBDTT-DFTQ']</t>
  </si>
  <si>
    <t xml:space="preserve">['[6,6]-phenyl-C71 butyric acid methyl ester', 'PC_{71}BM']</t>
  </si>
  <si>
    <t xml:space="preserve">{"power conversion efficiency": {}, "open circuit voltage": {"entity_name": "V_{oc}", "entity_start": 116, "entity_end": 117, "property_value_start": 119, "property_value_end": 120, "property_numeric_value": 0.95, "property_unit": "V", "property_value_descriptor": ""}, "short circuit current": {}, "fill factor": {"entity_name": "FF", "entity_start": 218, "entity_end": 218, "property_value_start": 220, "property_value_end": 221, "property_numeric_value": 72.1, "property_unit": "%", "property_value_descriptor": ""}, "highest occupied molecular orbital": {}, "lowest unoccupied molecular orbital": {}, "bandgap": {"entity_name": "optical bandgap", "entity_start": 61, "entity_end": 62, "property_value_start": 64, "property_value_end": 65, "property_numeric_value": 1.76, "property_unit": "eV", "property_value_descriptor": ""}, "hole mobility": {}, "electron mobility": {}, "external quantum efficiency": {}}</t>
  </si>
  <si>
    <t xml:space="preserve">10.1002/pola.25021</t>
  </si>
  <si>
    <t xml:space="preserve">poly[5,5′-(2,7-bisthiophen-2-yl-9,9-bisoctyl-9H-fluoren-7-yl)-alt-2,9-(benzo[c]thiophene-N-dodecyl-4,5-dicarboxylic imide)]</t>
  </si>
  <si>
    <t xml:space="preserve">[*]c8ccc(c7ccc6c5ccc(c4ccc(c2sc([*])c3cc1c(=O)n(CCCCCCCCCCCC)c(=O)c1cc23)s4)cc5C(CCCCCCCC)(CCCCCCCC)c6c7)s8</t>
  </si>
  <si>
    <t xml:space="preserve">['poly[5,5′-(2,7-bisthiophen-2-yl-9,9-bisoctyl-9H-fluoren-7-yl)-alt-2,9-(benzo[c]thiophene-N-dodecyl-4,5-dicarboxylic imide)]']</t>
  </si>
  <si>
    <t xml:space="preserve">['PC71BM', '[6,6]-phenyl-C71-butyric acid methyl ester']</t>
  </si>
  <si>
    <t xml:space="preserve">{"power conversion efficiency": {}, "open circuit voltage": {"entity_name": "V_{oc}", "entity_start": 233, "entity_end": 234, "property_value_start": 237, "property_value_end": 238, "property_numeric_value": 0.84,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</si>
  <si>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10.1016/j.orgel.2008.09.007</t>
  </si>
  <si>
    <t xml:space="preserve">poly[9,9'- dioctyl-fluorene-co-bithiophene]</t>
  </si>
  <si>
    <t xml:space="preserve">[*]c5ccc4c3ccc(c2ccc(c1ccc([*])s1)s2)cc3C(CCCCCCCC)(CCCCCCCC)c4c5</t>
  </si>
  <si>
    <t xml:space="preserve">["poly[9,9'- dioctyl-fluorene-co-bithiophene]", 'F8T2']</t>
  </si>
  <si>
    <t xml:space="preserve">['[6,6]-phenyl-C_{61}-butyric acid methyl ester','PCBM']</t>
  </si>
  <si>
    <t xml:space="preserve">{"power conversion efficiency": {"entity_name": "PCE", "entity_start": 134, "entity_end": 134, "property_value_start": 136, "property_value_end": 137, "property_numeric_value": 2.14, "property_unit": "%", "property_value_descriptor": ""}, "open circuit voltage": {"entity_name": "V_{OC}", "entity_start": 145, "entity_end": 147, "property_value_start": 149, "property_value_end": 150, "property_numeric_value": 0.99, "property_unit": "V", "property_value_descriptor": ""}, "short circuit current": {"entity_name": "J_{SC}", "entity_start": 158, "entity_end": 160, "property_value_start": 162, "property_value_end": 166, "property_numeric_value": 4.24,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</si>
  <si>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10.1016/j.solmat.2011.07.007</t>
  </si>
  <si>
    <t xml:space="preserve">['poly(3-hexylthiophene)','P3HT']</t>
  </si>
  <si>
    <t xml:space="preserve">['[6,6]-phenyl-C61 butyric acid methyl ester','PC_{61}BM']</t>
  </si>
  <si>
    <t xml:space="preserve">{"power conversion efficiency": {"entity_name": "PCE", "entity_start": 156, "entity_end": 156, "property_value_start": 169, "property_value_end": 170, "property_numeric_value": 3.46, "property_unit": "%", "property_value_descriptor": ""}, "open circuit voltage": {"entity_name": "V_{OC}", "entity_start": 91, "entity_end": 93, "property_value_start": 95, "property_value_end": 96, "property_numeric_value": 0.61, "property_unit": "V", "property_value_descriptor": ""}, "short circuit current": {"entity_name": "J_{SC}", "entity_start": 104, "entity_end": 105, "property_value_start": 108, "property_value_end": 112, "property_numeric_value": 9.24, "property_unit": "mA/cm^{2}", "property_value_descriptor": ""}, "fill factor": {"entity_name": "FF", "entity_start": 118, "entity_end": 118, "property_value_start": 121, "property_value_end": 121, "property_numeric_value": 60.0,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</si>
  <si>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10.1002/pola.26817</t>
  </si>
  <si>
    <t xml:space="preserve">[*]c%10ccc(N(c5ccc(c4ccc(c2ccc(c1ccc(CCCCCCCC)s1)c3nsnc23)s4)cc5)c9ccc(c8cc7c(OCC(CC)CCCC)c6sc([*])cc6c(OCC(CC)CCCC)c7s8)cc9)cc%10</t>
  </si>
  <si>
    <t xml:space="preserve">{"power conversion efficiency": {"entity_name": "PCE", "entity_start": 97, "entity_end": 97, "property_value_start": 100, "property_value_end": 101, "property_numeric_value": 3.17, "property_unit": "%", "property_value_descriptor": ""}, "open circuit voltage": {"entity_name": "V_{oc}", "entity_start": 110, "entity_end": 111, "property_value_start": 114, "property_value_end": 114, "property_numeric_value": 0.86, "property_unit": "V", "property_value_descriptor": ""}, "short circuit current": {"entity_name": "J_{sc}", "entity_start": 130, "entity_end": 131, "property_value_start": 134, "property_value_end": 137, "property_numeric_value": 10.77,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</si>
  <si>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10.1039/c2jm31605f</t>
  </si>
  <si>
    <t xml:space="preserve">poly(3-hexythiophene)</t>
  </si>
  <si>
    <t xml:space="preserve">['poly(3-hexythiophene)','P3HT']</t>
  </si>
  <si>
    <t xml:space="preserve">['(6,6)-phenyl C61 butyric acid methyl ester','PCBM']</t>
  </si>
  <si>
    <t xml:space="preserve">{"power conversion efficiency": {"entity_name": "power conversion efficiency", "entity_start": 132, "entity_end": 134, "property_value_start": 143, "property_value_end": 144, "property_numeric_value": 3.71,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</si>
  <si>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10.1016/j.orgel.2014.04.026</t>
  </si>
  <si>
    <t xml:space="preserve">{"power conversion efficiency": {"entity_name": "PCE", "entity_start": 100, "entity_end": 100, "property_value_start": 111, "property_value_end": 112, "property_numeric_value": 4.55,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</si>
  <si>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10.1039/c8tc05670f</t>
  </si>
  <si>
    <t xml:space="preserve">['poly[N-9-hepta-decanyl-2,7-carbazolealt-5,5-(4,7-di-thienyl-2,1,3-benzothiadiazole)]','PCDTBT']</t>
  </si>
  <si>
    <t xml:space="preserve">['[6,6]-phenyl C71-butyric acid methyl ester','PC_{71}BM']</t>
  </si>
  <si>
    <t xml:space="preserve">{"power conversion efficiency": {"entity_name": "PCE", "entity_start": 295, "entity_end": 295, "property_value_start": 297, "property_value_end": 298, "property_numeric_value": 3.65,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</si>
  <si>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10.1039/c6cp06692e</t>
  </si>
  <si>
    <t xml:space="preserve">PffBT4T-2OD</t>
  </si>
  <si>
    <t xml:space="preserve">[*]c6ccc(c5ccc(c4sc(c2c(F)c(F)c(c1cc(CC(CCCCCCCC)CCCCCCCCCC)c([*])s1)c3nsnc23)cc4CC(CCCCCCCC)CCCCCCCCCC)s5)s6</t>
  </si>
  <si>
    <t xml:space="preserve">['PffBT4T-2OD']</t>
  </si>
  <si>
    <t xml:space="preserve">{"power conversion efficiency": {"entity_name": "PCE", "entity_start": 139, "entity_end": 139, "property_value_start": 145, "property_value_end": 146, "property_numeric_value": 9.72,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</si>
  <si>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10.1039/c3cp50297j</t>
  </si>
  <si>
    <t xml:space="preserve">poly[[9-(1-octylnonyl)-9H-carbazole-2,7-diyl]-2,5-thiophenediyl-2,1,3-benzothiadiazole-4,7-diyl-2,5-thiophenediyl]</t>
  </si>
  <si>
    <t xml:space="preserve">['poly[[9-(1-octylnonyl)-9H-carbazole-2,7-diyl]-2,5-thiophenediyl-2,1,3-benzothiadiazole-4,7-diyl-2,5-thiophenediyl]','PCDTBT']</t>
  </si>
  <si>
    <t xml:space="preserve">['PC_{70}BM','(6,6)-phenyl C71 butyric acid methyl ester']</t>
  </si>
  <si>
    <t xml:space="preserve">='5.6%'</t>
  </si>
  <si>
    <t xml:space="preserve">{"power conversion efficiency": {"entity_name": "PCE", "entity_start": 23, "entity_end": 23, "property_value_start": 29, "property_value_end": 30,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</si>
  <si>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['poly(3-hexylthiophene-2,5-diyl)', 'P3HT']</t>
  </si>
  <si>
    <t xml:space="preserve">['(6,6)-phenyl C61 butyric acid methyl ester', 'PCBM']</t>
  </si>
  <si>
    <t xml:space="preserve">='4.69%'</t>
  </si>
  <si>
    <t xml:space="preserve">10.1016/j.synthmet.2013.09.036</t>
  </si>
  <si>
    <t xml:space="preserve">['poly(3-hexylthiophene-2,5-diyl)','P3HT']</t>
  </si>
  <si>
    <t xml:space="preserve">{"power conversion efficiency": {"entity_name": "PCE", "entity_start": 125, "entity_end": 125, "property_value_start": 128, "property_value_end": 129, "property_numeric_value": 1.11,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</si>
  <si>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10.1039/c1jm12145f</t>
  </si>
  <si>
    <t xml:space="preserve">PFSeQ</t>
  </si>
  <si>
    <t xml:space="preserve">[*]c9ccc8c7ccc(c6ccc(c4ccc(c1ccc([*])[se]1)c5nc(c2ccc(OCCCCCC)cc2)c(c3ccc(OCCCCCC)cc3)nc45)[se]6)cc7C(CCCCCCCC)(CCCCCCCC)c8c9</t>
  </si>
  <si>
    <t xml:space="preserve">['poly[9,9′-dioctylfluorene-alt-2,5-bis(seleno-2-yl)-2,3-bis(4-hexyloxyphenyl)quinoxaline]','PFSeQ']</t>
  </si>
  <si>
    <t xml:space="preserve">['[6,6]-phenyl C71 butyric acid methyl ester','PC_{71}BM']</t>
  </si>
  <si>
    <t xml:space="preserve">{"power conversion efficiency": {"entity_name": "PCE", "entity_start": 178, "entity_end": 178, "property_value_start": 181, "property_value_end": 182, "property_numeric_value": 3.3, "property_unit": "%", "property_value_descriptor": ""}, "open circuit voltage": {}, "short circuit current": {}, "fill factor": {}, "highest occupied molecular orbital": {}, "lowest unoccupied molecular orbital": {}, "bandgap": {"entity_name": "band gaps", "entity_start": 78, "entity_end": 79, "property_value_start": 81, "property_value_end": 83, "property_numeric_value": 1.9, "property_unit": "eV", "property_value_descriptor": "&lt;"}, "hole mobility": {}, "electron mobility": {}, "external quantum efficiency": {}}</t>
  </si>
  <si>
    <t xml:space="preserve">10.1039/c5tc01148e</t>
  </si>
  <si>
    <t xml:space="preserve">PCDTBT-C12</t>
  </si>
  <si>
    <t xml:space="preserve">[*]c7ccc6c5ccc(c4ccc(c2c(OCCCCCCCCCCCC)c(OCCCCCCCCCCCC)c(c1ccc([*])s1)c3nsnc23)s4)cc5n(CCCCCCCC)c6c7</t>
  </si>
  <si>
    <t xml:space="preserve">['PCDTBT-C12']</t>
  </si>
  <si>
    <t xml:space="preserve">NI-T-NI</t>
  </si>
  <si>
    <t xml:space="preserve">CCCCCCCCCCCCn5c(=O)c7cccc6c(c4ccc(c1ccc3c(=O)n(CCCCCCCCCCCC)c(=O)c2cccc1c23)s4)ccc(c5=O)c67</t>
  </si>
  <si>
    <t xml:space="preserve">['NI-T-NI']</t>
  </si>
  <si>
    <t xml:space="preserve">{"power conversion efficiency": {"entity_name": "PCE", "entity_start": 93, "entity_end": 93, "property_value_start": 95, "property_value_end": 96, "property_numeric_value": 2.01, "property_unit": "%", "property_value_descriptor": ""}, "open circuit voltage": {"entity_name": "V_{oc}", "entity_start": 116, "entity_end": 117, "property_value_start": 119, "property_value_end": 120, "property_numeric_value": 1.3,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</si>
  <si>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10.1039/c9tc02363a</t>
  </si>
  <si>
    <t xml:space="preserve">['poly[4,8-bis(5-(2-ethylhexyl)thiophen-2-yl)-benzo[1,2-b:4,5-b′]dithiophene-alt-3-fluorothieno[3,4-b]thiophene-2-carboxylate]','PTB7-Th']</t>
  </si>
  <si>
    <t xml:space="preserve">{"power conversion efficiency": {"entity_name": "PCE", "entity_start": 207, "entity_end": 207, "property_value_start": 209, "property_value_end": 210, "property_numeric_value": 8.85,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</si>
  <si>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['[6,6]-phenyl-C61-butyric acid methyl ester','PC_{61}BM']</t>
  </si>
  <si>
    <t xml:space="preserve">10.1039/c7ta11059f</t>
  </si>
  <si>
    <t xml:space="preserve">PBZ1</t>
  </si>
  <si>
    <t xml:space="preserve">[*]c9ccc(c7c(F)c(F)c(c6ccc(c5cc4c(c1ccc(OCC(CCCC)CCCCCC)cc1)c2sc([*])cc2c(c3ccc(OCC(CCCC)CCCCCC)cc3)c4s5)s6)c8nn(CC(CCCCCC)CCCCCCCC)nc78)s9</t>
  </si>
  <si>
    <t xml:space="preserve">['PBZ1']</t>
  </si>
  <si>
    <t xml:space="preserve">{"power conversion efficiency": {"entity_name": "PCE", "entity_start": 281, "entity_end": 281, "property_value_start": 283, "property_value_end": 284, "property_numeric_value": 5.8, "property_unit": "%", "property_value_descriptor": ""}, "open circuit voltage": {"entity_name": "V_{oc}", "entity_start": 287, "entity_end": 288, "property_value_start": 290, "property_value_end": 291, "property_numeric_value": 0.74, "property_unit": "V", "property_value_descriptor": ""}, "short circuit current": {"entity_name": "J_{sc}", "entity_start": 294, "entity_end": 295, "property_value_start": 297, "property_value_end": 300, "property_numeric_value": 15.7, "property_unit": "mA cm^{-2}", "property_value_descriptor": ""}, "fill factor": {"entity_name": "FF", "entity_start": 304, "entity_end": 304, "property_value_start": 306, "property_value_end": 307, "property_numeric_value": 49.8, "property_unit": "%", "property_value_descriptor": ""}, "highest occupied molecular orbital": {"entity_name": "HOMO level", "entity_start": 166, "entity_end": 167, "property_value_start": 169, "property_value_end": 170, "property_numeric_value": -5.27, "property_unit": "eV", "property_value_descriptor": ""}, "lowest unoccupied molecular orbital": {}, "bandgap": {"entity_name": "E^{opt}_{g}", "entity_start": 173, "entity_end": 174, "property_value_start": 176, "property_value_end": 177, "property_numeric_value": 1.96, "property_unit": "eV", "property_value_descriptor": ""}, "hole mobility": {"entity_name": "hole mobility", "entity_start": 194, "entity_end": 195, "property_value_start": 197, "property_value_end": 206, "property_numeric_value": 0.0007230000000000001, "property_unit": "cm^{2} V^{-1} s^{-1}", "property_value_descriptor": ""}, "electron mobility": {}, "external quantum efficiency": {}}</t>
  </si>
  <si>
    <t xml:space="preserve">PBZ-m-CF_{3}</t>
  </si>
  <si>
    <t xml:space="preserve">[*]c9ccc(c7c(F)c(F)c(c6ccc(c5cc4c(c1ccc(OCC(CCCC)CCCCCC)c(C(F)(F)F)c1)c2sc([*])cc2c(c3ccc(OCC(CCCC)CCCCCC)c(C(F)(F)F)c3)c4s5)s6)c8nn(CC(CCCCCC)CCCCCCCC)nc78)s9</t>
  </si>
  <si>
    <t xml:space="preserve">['PBZ-m-CF_{3}']</t>
  </si>
  <si>
    <t xml:space="preserve">0.94 V</t>
  </si>
  <si>
    <t xml:space="preserve">18.4 mA cm^{-2}</t>
  </si>
  <si>
    <t xml:space="preserve">10.1002/aenm.201800815</t>
  </si>
  <si>
    <t xml:space="preserve">PTQ10</t>
  </si>
  <si>
    <t xml:space="preserve">[*]c3ccc(c1c(F)c(F)c([*])c2nc(OCC(CCCCCC)CCCCCCCC)cnc12)s3</t>
  </si>
  <si>
    <t xml:space="preserve">['PTQ10']</t>
  </si>
  <si>
    <t xml:space="preserve">m-ITIC-4F</t>
  </si>
  <si>
    <t xml:space="preserve">CCCCCCc%15cccc([C@]%14(c1cccc(CCCCCC)c1)c9cc8c5sc4cc(C=c3c(=O)c2cc(F)c(F)cc2c3=C(C#N)C#N)sc4c5[C@@](c6cccc(CCCCCC)c6)(c7cccc(CCCCCC)c7)c8cc9c%13sc%12cc(C=c%11c(=O)c%10cc(F)c(F)cc%10c%11=C(C#N)C#N)sc%12c%13%14)c%15</t>
  </si>
  <si>
    <t xml:space="preserve">['m-ITIC-4F']</t>
  </si>
  <si>
    <t xml:space="preserve">{"power conversion efficiency": {"entity_name": "PCE", "entity_start": 180, "entity_end": 180, "property_value_start": 182, "property_value_end": 183, "property_numeric_value": 12.53,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</si>
  <si>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m-ITIC-2F</t>
  </si>
  <si>
    <t xml:space="preserve">CCCCCCc%15cccc([C@]%14(c1cccc(CCCCCC)c1)c9cc8c5sc4cc(C=c3c(=O)c2cc(F)ccc2c3=C(C#N)C#N)sc4c5[C@@](c6cccc(CCCCCC)c6)(c7cccc(CCCCCC)c7)c8cc9c%13sc%12cc(C=c%11c(=O)c%10ccc(F)cc%10c%11=C(C#N)C#N)sc%12c%13%14)c%15</t>
  </si>
  <si>
    <t xml:space="preserve">['m-ITIC-2F']</t>
  </si>
  <si>
    <t xml:space="preserve">10.1002/aenm.201700746</t>
  </si>
  <si>
    <t xml:space="preserve">J81</t>
  </si>
  <si>
    <t xml:space="preserve">[*]c9cc8c(c1ccc([Si](CCC)(CCC)CCC)s1)c6oc(c5ccc(c3c(F)c(F)c(c2ccc([*])s2)c4nn(CC(CCCCCC)CCCCCCCCC)nc34)s5)cc6c(c7ccc([Si](CCC)(CCC)CCC)s7)c8o9</t>
  </si>
  <si>
    <t xml:space="preserve">['J81']</t>
  </si>
  <si>
    <t xml:space="preserve">m-ITIC</t>
  </si>
  <si>
    <t xml:space="preserve">CCCCCCc%15cccc(C7(c1cccc(CCCCCC)c1)c2cc%10c(cc2c6sc5cc(C=c4c(=O)c3ccccc3c4=C(C#N)C#N)sc5c67)C(c8cccc(CCCCCC)c8)(c9cccc(CCCCCC)c9)c%13c%10sc%14cc(C=c%12c(=O)c%11ccccc%11c%12=C(C#N)C#N)sc%13%14)c%15</t>
  </si>
  <si>
    <t xml:space="preserve">['m-ITIC']</t>
  </si>
  <si>
    <t xml:space="preserve">{"power conversion efficiency": {"entity_name": "power conversion efficiency", "entity_start": 129, "entity_end": 131, "property_value_start": 136, "property_value_end": 137, "property_numeric_value": 11.05, "property_unit": "%", "property_value_descriptor": ""}, "open circuit voltage": {}, "short circuit current": {}, "fill factor": {}, "highest occupied molecular orbital": {}, "lowest unoccupied molecular orbital": {}, "bandgap": {"entity_name": "bandgap", "entity_start": 93, "entity_end": 93, "property_value_start": 95, "property_value_end": 96, "property_numeric_value": 1.93, "property_unit": "eV", "property_value_descriptor": ""}, "hole mobility": {}, "electron mobility": {}, "external quantum efficiency": {}}</t>
  </si>
  <si>
    <t xml:space="preserve">10.1039/c3ta12478a</t>
  </si>
  <si>
    <t xml:space="preserve">{"power conversion efficiency": {"entity_name": "power conversion efficiencies", "entity_start": 65, "entity_end": 67, "property_value_start": 87, "property_value_end": 88, "property_numeric_value": 7.42,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</si>
  <si>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efficiencies", "entity_start": 65, "entity_end": 67, "property_value_start": 84, "property_value_end": 85, "property_numeric_value": 6.29,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</si>
  <si>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10.1002/pola.26989</t>
  </si>
  <si>
    <t xml:space="preserve">PEBTTZ</t>
  </si>
  <si>
    <t xml:space="preserve">CCCCCCCCc7cc6c(C#C[*])c1sc(CCCCCCCC)cc1c(C#Cc5cc(CC(CC)CCCC)c(c4nc3sc(c2sc([*])cc2CC(CC)CCCC)nc3s4)s5)c6s7</t>
  </si>
  <si>
    <t xml:space="preserve">['PEBTTZ']</t>
  </si>
  <si>
    <t xml:space="preserve">{"power conversion efficiency": {"entity_name": "power conversion efficiency", "entity_start": 100, "entity_end": 102, "property_value_start": 106, "property_value_end": 107, "property_numeric_value": 2.4, "property_unit": "%", "property_value_descriptor": ""}, "open circuit voltage": {}, "short circuit current": {}, "fill factor": {}, "highest occupied molecular orbital": {"entity_name": "HOMO", "entity_start": 74, "entity_end": 74, "property_value_start": 79, "property_value_end": 80, "property_numeric_value": -5.5, "property_unit": "eV", "property_value_descriptor": ""}, "lowest unoccupied molecular orbital": {}, "bandgap": {}, "hole mobility": {}, "electron mobility": {}, "external quantum efficiency": {}}</t>
  </si>
  <si>
    <t xml:space="preserve">PEBBDT</t>
  </si>
  <si>
    <t xml:space="preserve">[*]C#Cc5c1cc(CCCCCCCC)sc1c(C#Cc4cc3c(OCC(CC)CCCC)c2sc([*])cc2c(OCC(CC)CCCC)c3s4)c6cc(CCCCCCCC)sc56</t>
  </si>
  <si>
    <t xml:space="preserve">['PEBBDT']</t>
  </si>
  <si>
    <t xml:space="preserve">10.1002/adfm.201701491</t>
  </si>
  <si>
    <t xml:space="preserve">PBDTS-NQx</t>
  </si>
  <si>
    <t xml:space="preserve">[*]c%15ccc(c%13cc9c(cc(c6ccc(c5cc4c(c1ccc(SCC(CCCC)CCCCCC)s1)c2sc([*])cc2c(c3ccc(SCC(CCCC)CCCCCC)s3)c4s5)s6)c%10nc(c7ccc(CCCCCCCC)s7)c(c8ccc(CCCCCCCC)s8)nc9%10)c%14nc(c%11ccc(CCCCCCCC)s%11)c(c%12ccc(CCCCCCCC)s%12)nc%13%14)s%15</t>
  </si>
  <si>
    <t xml:space="preserve">['PBDTS-NQx']</t>
  </si>
  <si>
    <t xml:space="preserve">3,9-bis(2-methylene-(3-(1,1-dicyanomethylene)-indanone))-5,5,11,11-tetrakis(4-hexylphenyl)-dithieno[2,3-d:2',3'-d']-s-indaceno[1,2-b:5,6-b']dithiophene</t>
  </si>
  <si>
    <t xml:space="preserve">{"power conversion efficiency": {"entity_name": "power conversion efficiency", "entity_start": 221, "entity_end": 223, "property_value_start": 225, "property_value_end": 226, "property_numeric_value": 11.47, "property_unit": "%", "property_value_descriptor": ""}, "open circuit voltage": {"entity_name": "V_{oc}", "entity_start": 91, "entity_end": 92, "property_value_start": 95, "property_value_end": 96, "property_numeric_value": 0.91,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</si>
  <si>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10.1039/c7tc04062h</t>
  </si>
  <si>
    <t xml:space="preserve">{"power conversion efficiency": {"entity_name": "PCE", "entity_start": 55, "entity_end": 55, "property_value_start": 57, "property_value_end": 58, "property_numeric_value": 8.95,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</si>
  <si>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10.1002/cjoc.201300626</t>
  </si>
  <si>
    <t xml:space="preserve">{"power conversion efficiency": {"entity_name": "power conversion efficiency", "entity_start": 61, "entity_end": 63, "property_value_start": 76, "property_value_end": 77, "property_numeric_value": 4.16, "property_unit": "%", "property_value_descriptor": ""}, "open circuit voltage": {}, "short circuit current": {}, "fill factor": {"entity_name": "FF", "entity_start": 112, "entity_end": 112, "property_value_start": 115, "property_value_end": 116, "property_numeric_value": 70.0,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</si>
  <si>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10.1016/j.solmat.2019.109982</t>
  </si>
  <si>
    <t xml:space="preserve">PBDT-TPD-8</t>
  </si>
  <si>
    <t xml:space="preserve">{[*]c7cc6c(c1ccc(CC(CC)CCCC)s1)c4sc(c2sc([*])c3c(=O)n(CCCCCCCCCC=C)c(=O)c23)cc4c(c5ccc(CC(CC)CCCC)s5)c6s7,[*]c9cc8c(c1ccc(CC(CC)CCCC)s1)c6sc(c5sc(c3sc(c2cc(CCCCCC)c([*])s2)c4c(=O)n(CCCCCCCC)c(=O)c34)cc5CCCCCC)cc6c(c7ccc(CC(CC)CCCC)s7)c8s9}</t>
  </si>
  <si>
    <t xml:space="preserve">['PBDT-TPD-8']</t>
  </si>
  <si>
    <t xml:space="preserve">PNDI-T-5</t>
  </si>
  <si>
    <t xml:space="preserve">{[*]c5ccc(c1cc3c(=O)n(CCCCCCCCCCC=C)c(=O)c4c([*])cc2c(=O)n(CCCCCCCCCCC=C)c(=O)c1c2c34)s5,[*]c5ccc(c1cc4c(=O)n(CC(CCCCCC)CCCCCCCC)c(=O)c3cc([*])c2c(=O)n(CC(CCCCCC)CCCCCCCC)c(=O)c1c2c34)s5}</t>
  </si>
  <si>
    <t xml:space="preserve">['PNDI-T-5']</t>
  </si>
  <si>
    <t xml:space="preserve">='2.69%'</t>
  </si>
  <si>
    <t xml:space="preserve">{"power conversion efficiency": {"entity_name": "PCE", "entity_start": 250, "entity_end": 250, "property_value_start": 252, "property_value_end": 253, "property_numeric_value": 51.0,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</si>
  <si>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10.1016/j.solmat.2019.110030</t>
  </si>
  <si>
    <t xml:space="preserve">{"power conversion efficiency": {"entity_name": "PCE", "entity_start": 109, "entity_end": 109, "property_value_start": 130, "property_value_end": 131, "property_numeric_value": 10.71, "property_unit": "%", "property_value_descriptor": ""}, "open circuit voltage": {}, "short circuit current": {}, "fill factor": {}, "highest occupied molecular orbital": {}, "lowest unoccupied molecular orbital": {}, "bandgap": {"entity_name": "band gap", "entity_start": 18, "entity_end": 19, "property_value_start": 21, "property_value_end": 22, "property_numeric_value": 1.5, "property_unit": "eV", "property_value_descriptor": ""}, "hole mobility": {}, "electron mobility": {}, "external quantum efficiency": {}}</t>
  </si>
  <si>
    <t xml:space="preserve">10.1002/aenm.201401778</t>
  </si>
  <si>
    <t xml:space="preserve">PBDTTPD</t>
  </si>
  <si>
    <t xml:space="preserve">CCCCCCCCCCCCCCOc4c3cc(c1sc([*])c2c(=O)n(CCCCCCCCCCCCCC)c(=O)c12)sc3c(OCCCCCCCCCCCCCC)c5cc([*])sc45</t>
  </si>
  <si>
    <t xml:space="preserve">["Poly(benzo[1,2-b:4,5-b']dithiophene-alt-thieno[3,4-c]pyrrole-4,6-dione)", 'PBDTTPD']</t>
  </si>
  <si>
    <t xml:space="preserve">{"power conversion efficiency": {"entity_name": "PCE", "entity_start": 66, "entity_end": 66, "property_value_start": 68, "property_value_end": 69,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</si>
  <si>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10.1002/cssc.201400022</t>
  </si>
  <si>
    <t xml:space="preserve">{"power conversion efficiency": {"entity_name": "power conversion efficiency", "entity_start": 150, "entity_end": 152, "property_value_start": 181, "property_value_end": 182, "property_numeric_value": 7.32,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</si>
  <si>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10.1039/c8tc03409e</t>
  </si>
  <si>
    <t xml:space="preserve">PNDIT2</t>
  </si>
  <si>
    <t xml:space="preserve">['PNDIT2']</t>
  </si>
  <si>
    <t xml:space="preserve">{"power conversion efficiency": {"entity_name": "PCE", "entity_start": 269, "entity_end": 269, "property_value_start": 277, "property_value_end": 278, "property_numeric_value": 6.18,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</si>
  <si>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10.1016/j.orgel.2019.04.004</t>
  </si>
  <si>
    <t xml:space="preserve">PPyTPA1</t>
  </si>
  <si>
    <t xml:space="preserve">{[*]c6ccc(c5ccc(c1cc3c(=O)n(CC(CCCCCCCC)CCCCCCCCCC)c(=O)c4c([*])cc2c(=O)n(CC(CCCCCCCC)CCCCCCCCCC)c(=O)c1c2c34)s5)s6,[*]c6ccc(N(c2ccc(c1ccccn1)cc2)c5ccc(c4ccc(c3ccc([*])s3)s4)cc5)cc6}</t>
  </si>
  <si>
    <t xml:space="preserve">['PPyTPA1']</t>
  </si>
  <si>
    <t xml:space="preserve">{"power conversion efficiency": {"entity_name": "PCE", "entity_start": 133, "entity_end": 133, "property_value_start": 139, "property_value_end": 140, "property_numeric_value": 1.88,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</si>
  <si>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10.1007/s11426-017-9188-7</t>
  </si>
  <si>
    <t xml:space="preserve">PBTA-PEG-2 %</t>
  </si>
  <si>
    <t xml:space="preserve">['PBTA-PEG-2 %']</t>
  </si>
  <si>
    <t xml:space="preserve">{"power conversion efficiency": {"entity_name": "PCE", "entity_start": 156, "entity_end": 156, "property_value_start": 158, "property_value_end": 159, "property_numeric_value": 8.05,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</si>
  <si>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10.1002/aenm.201100378</t>
  </si>
  <si>
    <t xml:space="preserve">IC_{70}BA</t>
  </si>
  <si>
    <t xml:space="preserve">{"power conversion efficiency": {"entity_name": "PCE", "entity_start": 136, "entity_end": 136, "property_value_start": 138, "property_value_end": 139, "property_numeric_value": 6.69,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</si>
  <si>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10.1016/j.orgel.2011.01.009</t>
  </si>
  <si>
    <t xml:space="preserve">{"power conversion efficiency": {"entity_name": "power conversion efficiency", "entity_start": 108, "entity_end": 110, "property_value_start": 112, "property_value_end": 113, "property_numeric_value": 1.4,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</si>
  <si>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10.1016/j.synthmet.2015.10.013</t>
  </si>
  <si>
    <t xml:space="preserve">PBDTFT-ttTPD</t>
  </si>
  <si>
    <t xml:space="preserve">[*]c%11cc%10sc(c8sc(c7cc6sc(c5cc4c(c1sc(CC(CC)CCCC)c(F)c1F)c2sc([*])cc2c(c3sc(CC(CC)CCCC)c(F)c3F)c4s5)cc6s7)c9c(=O)n(CC(CCCCCCCC)CCCCCCCCCC)c(=O)c89)cc%10s%11</t>
  </si>
  <si>
    <t xml:space="preserve">['PBDTFT-ttTPD']</t>
  </si>
  <si>
    <t xml:space="preserve">{"power conversion efficiency": {}, "open circuit voltage": {"entity_name": "open circuit voltage", "entity_start": 256, "entity_end": 258, "property_value_start": 260, "property_value_end": 261, "property_numeric_value": 0.79, "property_unit": "V", "property_value_descriptor": ""}, "short circuit current": {}, "fill factor": {}, "highest occupied molecular orbital": {}, "lowest unoccupied molecular orbital": {}, "bandgap": {"entity_name": "band gap energies", "entity_start": 117, "entity_end": 119, "property_value_start": 132, "property_value_end": 133, "property_numeric_value": 1.89, "property_unit": "eV", "property_value_descriptor": ""}, "hole mobility": {}, "electron mobility": {}, "external quantum efficiency": {}}</t>
  </si>
  <si>
    <t xml:space="preserve">PBDTT-ttTPD</t>
  </si>
  <si>
    <t xml:space="preserve">[*]c%11cc%10sc(c8sc(c7cc6sc(c5cc4c(c1ccc(CC(CC)CCCC)s1)c2sc([*])cc2c(c3ccc(CC(CC)CCCC)s3)c4s5)cc6s7)c9c(=O)n(CC(CCCCCCCC)CCCCCCCCCC)c(=O)c89)cc%10s%11</t>
  </si>
  <si>
    <t xml:space="preserve">['PBDTT-ttTPD']</t>
  </si>
  <si>
    <t xml:space="preserve">{"power conversion efficiency": {"entity_name": "PCE", "entity_start": 249, "entity_end": 249, "property_value_start": 252, "property_value_end": 253, "property_numeric_value": 3.27,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</si>
  <si>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10.1007/s11814-018-0154-1</t>
  </si>
  <si>
    <t xml:space="preserve">['poly[(2,6-(4,8-bis(5-(2-ethylhexyl)thiophen-2-yl)-benzo[1,2-b:4,5b′]dithiophene))-alt-(5,5-(1′,3′-di-2-thienyl-5,7′-bis(2-ethylhexyl)benzo[1′,2′-c:4′,5′-c′]dithiophene-4,8-dione))]','PBDB-T']</t>
  </si>
  <si>
    <t xml:space="preserve">IT-M</t>
  </si>
  <si>
    <t xml:space="preserve">CCCCCCc%15ccc(C7(c1ccc(CCCCCC)cc1)c2cc%10c(cc2c6sc5cc(C=c4c(=O)c3cc(C)ccc3c4=C(C#N)C#N)sc5c67)C(c8ccc(CCCCCC)cc8)(c9ccc(CCCCCC)cc9)c%13c%10sc%14cc(C=c%12c(=O)c%11cc(C)ccc%11c%12=C(C#N)C#N)sc%13%14)cc%15</t>
  </si>
  <si>
    <t xml:space="preserve">['3,9-bis(2-methylene-((3-(1,1-dicyanomethylene)-6/7-methyl)-indanone))-5,5,11,11-tetrakis(4-hexylphenyl)-dithieno[2,3-d:2′,3′-d′]-s-indaceno[1,2-b:5,6-b′]dithiophene','IT-M']</t>
  </si>
  <si>
    <t xml:space="preserve">{"power conversion efficiency": {"entity_name": "PCE", "entity_start": 46, "entity_end": 46, "property_value_start": 49, "property_value_end": 51, "property_numeric_value": 10.0, "property_unit": "%", "property_value_descriptor": "&gt;"},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</si>
  <si>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10.1039/c3ra40268a</t>
  </si>
  <si>
    <t xml:space="preserve">PNDFDTBT</t>
  </si>
  <si>
    <t xml:space="preserve">[*]c8ccc(c6c(OCCCCCCCC)c(OCCCCCCCC)c(c5ccc(c4oc1c(ccc3c1ccc2c(CCCCCCCCC)c([*])oc23)c4CCCCCCCCC)s5)c7nsnc67)s8</t>
  </si>
  <si>
    <t xml:space="preserve">['PNDFDTBT']</t>
  </si>
  <si>
    <t xml:space="preserve">{"power conversion efficiency": {"entity_name": "PCE", "entity_start": 70, "entity_end": 70, "property_value_start": 73, "property_value_end": 74, "property_numeric_value": 4.5,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</si>
  <si>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10.1002/pola.26746</t>
  </si>
  <si>
    <t xml:space="preserve">PIID-DTS</t>
  </si>
  <si>
    <t xml:space="preserve">[*]c7ccc6c(=c4c(=O)n(CC(CC)CCCC)c5cc(c1cc3c(s1)c2sc([*])cc2[Si]3(CC(CC)CCCC)CC(CC)CCCC)ccc45)c(=O)n(CC(CC)CCCC)c6c7</t>
  </si>
  <si>
    <t xml:space="preserve">['PIID-DTS']</t>
  </si>
  <si>
    <t xml:space="preserve">{"power conversion efficiency": {"entity_name": "power conversion efficiency", "entity_start": 260, "entity_end": 262, "property_value_start": 264, "property_value_end": 265, "property_numeric_value": 2.45, "property_unit": "%", "property_value_descriptor": ""}, "open circuit voltage": {"entity_name": "V_{oc}", "entity_start": 251, "entity_end": 253, "property_value_start": 255, "property_value_end": 256, "property_numeric_value": 0.93, "property_unit": "V", "property_value_descriptor": ""}, "short circuit current": {}, "fill factor": {}, "highest occupied molecular orbital": {"entity_name": "HOMO energy level", "entity_start": 223, "entity_end": 225, "property_value_start": 227, "property_value_end": 228, "property_numeric_value": -5.33, "property_unit": "eV", "property_value_descriptor": ""}, "lowest unoccupied molecular orbital": {}, "bandgap": {}, "hole mobility": {}, "electron mobility": {}, "external quantum efficiency": {}}</t>
  </si>
  <si>
    <t xml:space="preserve">10.1016/j.synthmet.2013.05.022</t>
  </si>
  <si>
    <t xml:space="preserve">poly[9,10-bis-(2-octyl-dodecyloxy)-phenanthrene-alt-2,5-dioctyl-3,6-di-thiophen-2-yl-2,5-dihydro-pyrrolo[3,4-c]pyrrole-1,4-dione]</t>
  </si>
  <si>
    <t xml:space="preserve">[*]c1ccc7c(c1)c(OCC(CCCCCCCC)CCCCCCCCCC)c(OCC(CCCCCCCC)CCCCCCCCCC)c6cc(c5ccc(c4c3c(=O)n(CCCCCCCC)c(c2ccc([*])s2)c3c(=O)n4CCCCCCCC)s5)ccc67</t>
  </si>
  <si>
    <t xml:space="preserve">['poly[9,10-bis-(2-octyl-dodecyloxy)-phenanthrene-alt-2,5-dioctyl-3,6-di-thiophen-2-yl-2,5-dihydro-pyrrolo[3,4-c]pyrrole-1,4-dione]', 'PN40DPP']</t>
  </si>
  <si>
    <t xml:space="preserve">-3.08 mA cm^{-2}</t>
  </si>
  <si>
    <t xml:space="preserve">{"power conversion efficiency": {}, "open circuit voltage": {"entity_name": "open circuit voltage", "entity_start": 145, "entity_end": 147, "property_value_start": 149, "property_value_end": 152, "property_numeric_value": 0.69, "property_unit": "V", "property_value_descriptor": "-"}, "short circuit current": {}, "fill factor": {}, "highest occupied molecular orbital": {}, "lowest unoccupied molecular orbital": {}, "bandgap": {"entity_name": "band gap", "entity_start": 92, "entity_end": 93, "property_value_start": 95, "property_value_end": 96, "property_numeric_value": 1.8, "property_unit": "eV", "property_value_descriptor": ""}, "hole mobility": {"entity_name": "hole mobility", "entity_start": 113, "entity_end": 114, "property_value_start": 116, "property_value_end": 125, "property_numeric_value": 0.00115, "property_unit": "cm^{2} V^{-1} s^{-1}", "property_value_descriptor": ""}, "electron mobility": {}, "external quantum efficiency": {}}</t>
  </si>
  <si>
    <t xml:space="preserve">10.1155/2013/273586</t>
  </si>
  <si>
    <t xml:space="preserve">{"power conversion efficiency": {"entity_name": "PCE", "entity_start": 197, "entity_end": 197, "property_value_start": 219, "property_value_end": 220, "property_numeric_value": 0.95,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</si>
  <si>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10.1039/c3ta13203j</t>
  </si>
  <si>
    <t xml:space="preserve">{"power conversion efficiency": {"entity_name": "power conversion efficiency", "entity_start": 185, "entity_end": 187, "property_value_start": 196, "property_value_end": 197, "property_numeric_value": 7.26,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</si>
  <si>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10.1002/pola.26948</t>
  </si>
  <si>
    <t xml:space="preserve">PPA-DTBT</t>
  </si>
  <si>
    <t xml:space="preserve">[*]c1ccc7c(c1)c(OCCCCCCCCCCCC)c(OCCCCCCCCCCCC)c6cc(c5ccc(c3c(OCCCCCCCCCCCC)c(OCCCCCCCCCCCC)c(c2ccc([*])s2)c4nsnc34)s5)ccc67</t>
  </si>
  <si>
    <t xml:space="preserve">['PPA-DTBT']</t>
  </si>
  <si>
    <t xml:space="preserve">{"power conversion efficiency": {"entity_name": "power conversion efficiency", "entity_start": 212, "entity_end": 214, "property_value_start": 216, "property_value_end": 217, "property_numeric_value": 3.03, "property_unit": "%", "property_value_descriptor": ""}, "open circuit voltage": {"entity_name": "V_{oc}", "entity_start": 189, "entity_end": 190, "property_value_start": 192, "property_value_end": 195, "property_numeric_value": 0.87, "property_unit": "V", "property_value_descriptor": "and"}, "short circuit current": {}, "fill factor": {}, "highest occupied molecular orbital": {"entity_name": "HOMO", "entity_start": 101, "entity_end": 101, "property_value_start": 112, "property_value_end": 115, "property_numeric_value": -5.52, "property_unit": "eV", "property_value_descriptor": ""}, "lowest unoccupied molecular orbital": {"entity_name": "LUMO levels", "entity_start": 103, "entity_end": 104, "property_value_start": 117, "property_value_end": 120, "property_numeric_value": -3.57, "property_unit": "eV", "property_value_descriptor": ""}, "bandgap": {"entity_name": "optical bandgaps", "entity_start": 83, "entity_end": 84, "property_value_start": 95, "property_value_end": 98, "property_numeric_value": 1.9649999999999999, "property_unit": "eV", "property_value_descriptor": "and"}, "hole mobility": {}, "electron mobility": {}, "external quantum efficiency": {}}</t>
  </si>
  <si>
    <t xml:space="preserve">10.1016/j.orgel.2014.09.026</t>
  </si>
  <si>
    <t xml:space="preserve">{"power conversion efficiency": {"entity_name": "PCE", "entity_start": 185, "entity_end": 185, "property_value_start": 187, "property_value_end": 188, "property_numeric_value": 3.25,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</si>
  <si>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10.1002/pola.27916</t>
  </si>
  <si>
    <t xml:space="preserve">BTT-DTFFBT</t>
  </si>
  <si>
    <t xml:space="preserve">[*]c8cc7c1C=C(C(CCCCCCCCCCC)CCCCCCCCCCCC)Cc1c6cc(c5sc(c3c(F)c(F)c(c2cc(CC(CC)CCCC)c([*])s2)c4nsnc34)cc5CC(CC)CCCC)sc6c7s8</t>
  </si>
  <si>
    <t xml:space="preserve">['BTT-DTFFBT']</t>
  </si>
  <si>
    <t xml:space="preserve">{"power conversion efficiency": {"entity_name": "PCE", "entity_start": 69, "entity_end": 69, "property_value_start": 72, "property_value_end": 73, "property_numeric_value": 5.61,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</si>
  <si>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10.1039/c5ra14887a</t>
  </si>
  <si>
    <t xml:space="preserve">PNDIBTH</t>
  </si>
  <si>
    <t xml:space="preserve">[*]c8ccc(c6ccc(c5ccc(c1cc3c(=O)n(CC(CCCCCCCC)CCCCCCCCCC)c(=O)c4c([*])cc2c(=O)n(CC(CCCCCCCC)CCCCCCCCCC)c(=O)c1c2c34)s5)c7nsnc67)s8</t>
  </si>
  <si>
    <t xml:space="preserve">['PNDIBTH']</t>
  </si>
  <si>
    <t xml:space="preserve">{"power conversion efficiency": {"entity_name": "PCE", "entity_start": 164, "entity_end": 164, "property_value_start": 166, "property_value_end": 167, "property_numeric_value": 1.2, "property_unit": "%", "property_value_descriptor": ""}, "open circuit voltage": {"entity_name": "V_{oc}", "entity_start": 169, "entity_end": 170, "property_value_start": 172, "property_value_end": 173, "property_numeric_value": 0.76, "property_unit": "V", "property_value_descriptor": ""}, "short circuit current": {}, "fill factor": {}, "highest occupied molecular orbital": {}, "lowest unoccupied molecular orbital": {"entity_name": "LUMO", "entity_start": 94, "entity_end": 94, "property_value_start": 98, "property_value_end": 99, "property_numeric_value": -3.72, "property_unit": "eV", "property_value_descriptor": ""}, "bandgap": {}, "hole mobility": {}, "electron mobility": {}, "external quantum efficiency": {}}</t>
  </si>
  <si>
    <t xml:space="preserve">PNDIBTOC8</t>
  </si>
  <si>
    <t xml:space="preserve">[*]c8ccc(c6c(OCCCCCCCC)c(OCCCCCCCC)c(c5ccc(c1cc3c(=O)n(CC(CCCCCCCC)CCCCCCCCCC)c(=O)c4c([*])cc2c(=O)n(CC(CCCCCCCC)CCCCCCCCCC)c(=O)c1c2c34)s5)c7nsnc67)s8</t>
  </si>
  <si>
    <t xml:space="preserve">['PNDIBTOC8']</t>
  </si>
  <si>
    <t xml:space="preserve">0.90 V</t>
  </si>
  <si>
    <t xml:space="preserve">10.1039/c6cp00209a</t>
  </si>
  <si>
    <t xml:space="preserve">{"power conversion efficiency": {"entity_name": "PCE", "entity_start": 203, "entity_end": 203, "property_value_start": 205, "property_value_end": 206,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</si>
  <si>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10.1016/j.orgel.2010.09.011</t>
  </si>
  <si>
    <t xml:space="preserve">{"power conversion efficiency": {"entity_name": "PCE", "entity_start": 84, "entity_end": 84, "property_value_start": 87, "property_value_end": 88, "property_numeric_value": 3.2,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</si>
  <si>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10.1039/c6tc04983d</t>
  </si>
  <si>
    <t xml:space="preserve">PSF</t>
  </si>
  <si>
    <t xml:space="preserve">[*]c9ccc(c7c(SCC(CC)CCCC)c(F)c(c6ccc(c5cc4c(c1cc(F)cc(SCCCCCC)c1)c2sc([*])cc2c(c3cc(F)cc(SCCCCCC)c3)c4s5)s6)c8nsnc78)s9</t>
  </si>
  <si>
    <t xml:space="preserve">['PSF']</t>
  </si>
  <si>
    <t xml:space="preserve">='ITIC'</t>
  </si>
  <si>
    <t xml:space="preserve">{"power conversion efficiency": {"entity_name": "PCE", "entity_start": 196, "entity_end": 196, "property_value_start": 198, "property_value_end": 199, "property_numeric_value": 1.55, "property_unit": "%", "property_value_descriptor": ""}, "open circuit voltage": {"entity_name": "V_{oc}", "entity_start": 202, "entity_end": 203, "property_value_start": 205, "property_value_end": 206, "property_numeric_value": 0.95, "property_unit": "V", "property_value_descriptor": ""}, "short circuit current": {"entity_name": "J_{sc}", "entity_start": 209, "entity_end": 210, "property_value_start": 212, "property_value_end": 215, "property_numeric_value": 5.6, "property_unit": "mA cm^{-2}", "property_value_descriptor": ""}, "fill factor": {"entity_name": "FF", "entity_start": 219, "entity_end": 219, "property_value_start": 221, "property_value_end": 221, "property_numeric_value": 28.999999999999996,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</si>
  <si>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POF</t>
  </si>
  <si>
    <t xml:space="preserve">[*]c9ccc(c7c(OCC(CC)CCCC)c(F)c(c6ccc(c5cc4c(c1cc(F)cc(SCCCCCC)c1)c2sc([*])cc2c(c3cc(F)cc(SCCCCCC)c3)c4s5)s6)c8nsnc78)s9</t>
  </si>
  <si>
    <t xml:space="preserve">['POF']</t>
  </si>
  <si>
    <t xml:space="preserve">0.86 V</t>
  </si>
  <si>
    <t xml:space="preserve">14.9 mA cm^{-2}</t>
  </si>
  <si>
    <t xml:space="preserve">10.1016/j.dyepig.2016.12.057</t>
  </si>
  <si>
    <t xml:space="preserve">3T-PDI_{2}</t>
  </si>
  <si>
    <t xml:space="preserve">CCCCC(CC)Cn%11c(=O)c%12ccc%13c%15ccc%16c(=O)n(CC(CC)CCCC)c(=O)c%17cc(c%10ccc(c1ccsc1c9ccc(c2cc5c(=O)n(CC(CC)CCCC)c(=O)c4ccc3c6ccc7c(=O)n(CC(CC)CCCC)c(=O)c8ccc(c2c3c45)c6c78)s9)s%10)c(c%14ccc(c%11=O)c%12c%13%14)c%15c%16%17</t>
  </si>
  <si>
    <t xml:space="preserve">['3T-PDI_{2}']</t>
  </si>
  <si>
    <t xml:space="preserve">{"power conversion efficiency": {"entity_name": "PCE", "entity_start": 125, "entity_end": 125, "property_value_start": 154, "property_value_end": 155, "property_numeric_value": 3.41, "property_unit": "%", "property_value_descriptor": ""}, "open circuit voltage": {}, "short circuit current": {}, "fill factor": {}, "highest occupied molecular orbital": {}, "lowest unoccupied molecular orbital": {"entity_name": "LUMO energy level", "entity_start": 72, "entity_end": 74, "property_value_start": 76, "property_value_end": 77, "property_numeric_value": -4.1, "property_unit": "eV", "property_value_descriptor": ""}, "bandgap": {}, "hole mobility": {}, "electron mobility": {}, "external quantum efficiency": {}}</t>
  </si>
  <si>
    <t xml:space="preserve">6T-PDI_{4}</t>
  </si>
  <si>
    <t xml:space="preserve">CCCCC(CC)Cn%28c(=O)c%29ccc%30c%32ccc%33c(=O)n(CC(CC)CCCC)c(=O)c%34cc(c%27ccc(c%18cc(c%17cc(c8ccc(c1cc4c(=O)n(CC(CC)CCCC)c(=O)c3ccc2c5ccc6c(=O)n(CC(CC)CCCC)c(=O)c7ccc(c1c2c34)c5c67)s8)c(c%16ccc(c9cc%12c(=O)n(CC(CC)CCCC)c(=O)c%11ccc%10c%13ccc%14c(=O)n(CC(CC)CCCC)c(=O)c%15ccc(c9c%10c%11%12)c%13c%14%15)s%16)s%17)sc%18c%26ccc(c%19cc%22c(=O)n(CC(CC)CCCC)c(=O)c%21ccc%20c%23ccc%24c(=O)n(CC(CC)CCCC)c(=O)c%25ccc(c%19c%20c%21%22)c%23c%24%25)s%26)s%27)c(c%31ccc(c%28=O)c%29c%30%31)c%32c%33%34</t>
  </si>
  <si>
    <t xml:space="preserve">['6T-PDI_{4}']</t>
  </si>
  <si>
    <t xml:space="preserve">10.1016/j.solmat.2011.09.058</t>
  </si>
  <si>
    <t xml:space="preserve">{"power conversion efficiency": {"entity_name": "PCE", "entity_start": 137, "entity_end": 137, "property_value_start": 140, "property_value_end": 141, "property_numeric_value": 2.5,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</si>
  <si>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10.1016/j.orgel.2017.04.010</t>
  </si>
  <si>
    <t xml:space="preserve">PNDIT-16</t>
  </si>
  <si>
    <t xml:space="preserve">[*]c5ccc(c1cc3c(=O)n(CC(CCCCCC)CCCCCCCC)c(=O)c4c([*])cc2c(=O)n(CC(CCCCCC)CCCCCCCC)c(=O)c1c2c34)s5</t>
  </si>
  <si>
    <t xml:space="preserve">['PNDIT-16']</t>
  </si>
  <si>
    <t xml:space="preserve">{"power conversion efficiency": {"entity_name": "PCEs", "entity_start": 118, "entity_end": 118, "property_value_start": 123, "property_value_end": 124, "property_numeric_value": 4.94,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</si>
  <si>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PNDIT-20</t>
  </si>
  <si>
    <t xml:space="preserve">['PNDIT-20']</t>
  </si>
  <si>
    <t xml:space="preserve">10.1016/j.orgel.2017.04.015</t>
  </si>
  <si>
    <t xml:space="preserve">P</t>
  </si>
  <si>
    <t xml:space="preserve">[*]c%13ccc(c%11ccc(c%10ccc(c8c1nsnc1c([*])c9nc(c2ccc4c(c2)c3c(F)cc(F)cc3C4(CCCCCCCCCCCC)CCCCCCCCCCCC)c(c5ccc7c(c5)c6c(F)cc(F)cc6C7(CCCCCCCCCCCC)CCCCCCCCCCCC)nc89)s%10)c%12nsnc%11%12)s%13</t>
  </si>
  <si>
    <t xml:space="preserve">['P']</t>
  </si>
  <si>
    <t xml:space="preserve">{"power conversion efficiency": {"entity_name": "PCE", "entity_start": 179, "entity_end": 179, "property_value_start": 185, "property_value_end": 186, "property_numeric_value": 7.54, "property_unit": "%", "property_value_descriptor": ""}, "open circuit voltage": {"entity_name": "V_{oc}", "entity_start": 197, "entity_end": 198, "property_value_start": 200, "property_value_end": 201, "property_numeric_value": 0.65, "property_unit": "V", "property_value_descriptor": ""}, "short circuit current": {"entity_name": "J_{sc}", "entity_start": 188, "entity_end": 189, "property_value_start": 191, "property_value_end": 195, "property_numeric_value": 16.12, "property_unit": "mA/cm^{2}", "property_value_descriptor": ""}, "fill factor": {"entity_name": "FF", "entity_start": 203, "entity_end": 203, "property_value_start": 205, "property_value_end": 205, "property_numeric_value": 72.0, "property_unit": "%", "property_value_descriptor": ""}, "highest occupied molecular orbital": {}, "lowest unoccupied molecular orbital": {}, "bandgap": {"entity_name": "bandgap", "entity_start": 279, "entity_end": 279, "property_value_start": 281, "property_value_end": 282, "property_numeric_value": 1.12, "property_unit": "eV", "property_value_descriptor": ""}, "hole mobility": {}, "electron mobility": {}, "external quantum efficiency": {}}</t>
  </si>
  <si>
    <t xml:space="preserve">10.1021/jp111200u</t>
  </si>
  <si>
    <t xml:space="preserve">['[6,6]-phenyl-C_{61}-butyric acid methyl ester', 'PC_{60}BM']</t>
  </si>
  <si>
    <t xml:space="preserve">{"power conversion efficiency": {"entity_name": "PCE", "entity_start": 154, "entity_end": 154, "property_value_start": 156, "property_value_end": 157, "property_numeric_value": 3.49, "property_unit": "%", "property_value_descriptor": ""}, "open circuit voltage": {"entity_name": "V_{oc}", "entity_start": 148, "entity_end": 149, "property_value_start": 151, "property_value_end": 152, "property_numeric_value": 0.58,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</si>
  <si>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IPC_{60}BM</t>
  </si>
  <si>
    <t xml:space="preserve">['indene-PC_{60}BM','IPC_{60}BM']</t>
  </si>
  <si>
    <t xml:space="preserve">0.72 V</t>
  </si>
  <si>
    <t xml:space="preserve">10.1021/jp206005q</t>
  </si>
  <si>
    <t xml:space="preserve">poly(3-hexylselenophene)</t>
  </si>
  <si>
    <t xml:space="preserve">CCCCCCc1cc([*])[se]c1[*]</t>
  </si>
  <si>
    <t xml:space="preserve">['poly(3-hexylselenophene)', 'P3HS']</t>
  </si>
  <si>
    <t xml:space="preserve">P3HS</t>
  </si>
  <si>
    <t xml:space="preserve">{"power conversion efficiency": {"entity_name": "power conversion efficiency", "entity_start": 109, "entity_end": 111, "property_value_start": 113, "property_value_end": 114, "property_numeric_value": 0.4,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</si>
  <si>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10.1039/c0jm00790k</t>
  </si>
  <si>
    <t xml:space="preserve">bisPCBM</t>
  </si>
  <si>
    <t xml:space="preserve">COC(=O)CCCC%34(c1ccccc1)C2%35c3c7c%33c5c%10c%26c(c%27c%30c2c%31c%20c3c9c%21c%12c%14c8c6c4c%13c%18c%11c4c(c5c6c7c89)c%10c%25c%11c%24c%19c%23c%16c%22c(c%12C%17(C%13%14)C(CCCC(=O)OC)(c%15ccccc%15)C%16%17C%18%19)c(c%20%21)c%32c%22c%29c%23c%28c%24c%25c%26c%27c%28c%29c%30c%31%32)C%33%34%35</t>
  </si>
  <si>
    <t xml:space="preserve">['bisPCBM']</t>
  </si>
  <si>
    <t xml:space="preserve">{"power conversion efficiency": {"entity_name": "power conversion efficiency", "entity_start": 152, "entity_end": 154, "property_value_start": 156, "property_value_end": 157, "property_numeric_value": 3.75,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</si>
  <si>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10.1016/j.orgel.2009.01.004</t>
  </si>
  <si>
    <t xml:space="preserve">['[6,6]-phenyl-C61 butyric acid methyl ester','PCBM']</t>
  </si>
  <si>
    <t xml:space="preserve">{"power conversion efficiency": {"entity_name": "power conversion efficiency", "entity_start": 100, "entity_end": 102, "property_value_start": 107, "property_value_end": 108, "property_numeric_value": 3.65,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</si>
  <si>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10.1039/c6ra28128a</t>
  </si>
  <si>
    <t xml:space="preserve">PCzFTQx</t>
  </si>
  <si>
    <t xml:space="preserve">[*]c9ccc8c7ccc(c6ccc(c4c(F)cc(c1ccc([*])s1)c5nc(c2cccc(OCCCCCCCC)c2)c(c3cccc(OCCCCCCCC)c3)nc45)s6)cc7n(C(CCCCCCCC)CCCCCCCC)c8c9</t>
  </si>
  <si>
    <t xml:space="preserve">["poly{[N-9'-heptadecyl-2,7-carbazole]-alt-5,5-[5',8'-di-2-thienyl-(6'-fluoro-2',3'-bis-(3''-octyloxyphenyl)-quinoxaline)]}", 'PCzFTQx']</t>
  </si>
  <si>
    <t xml:space="preserve">{"power conversion efficiency": {"entity_name": "PCE", "entity_start": 136, "entity_end": 136, "property_value_start": 139, "property_value_end": 140, "property_numeric_value": 5.19, "property_unit": "%", "property_value_descriptor": ""}, "open circuit voltage": {"entity_name": "V_{oc}", "entity_start": 149, "entity_end": 151, "property_value_start": 163, "property_value_end": 164, "property_numeric_value": 0.82, "property_unit": "V", "property_value_descriptor": ""}, "short circuit current": {}, "fill factor": {}, "highest occupied molecular orbital": {}, "lowest unoccupied molecular orbital": {}, "bandgap": {"entity_name": "optical bandgap", "entity_start": 54, "entity_end": 55, "property_value_start": 57, "property_value_end": 58, "property_numeric_value": 2.0, "property_unit": "eV", "property_value_descriptor": "~"}, "hole mobility": {}, "electron mobility": {}, "external quantum efficiency": {}}</t>
  </si>
  <si>
    <t xml:space="preserve">PCzTQx</t>
  </si>
  <si>
    <t xml:space="preserve">[*]c9ccc8c7ccc(c6ccc(c4ccc(c1ccc([*])s1)c5nc(c2cccc(OCCCCCCCC)c2)c(c3cccc(OCCCCCCCC)c3)nc45)s6)cc7n(C(CCCCCCCC)CCCCCCCC)c8c9</t>
  </si>
  <si>
    <t xml:space="preserve">['PCzTQx']</t>
  </si>
  <si>
    <t xml:space="preserve">0.82 V</t>
  </si>
  <si>
    <t xml:space="preserve">10.1039/c8tc02553c</t>
  </si>
  <si>
    <t xml:space="preserve">PBDT(T)-HT-TPD</t>
  </si>
  <si>
    <t xml:space="preserve">[*]c9cc8c(c1ccc(CC(CC)CCCC)s1)c6sc(c5sc(c3sc(c2cc(CCCCCC)c([*])s2)c4c(=O)n(CCCCCCCC)c(=O)c34)cc5CCCCCC)cc6c(c7ccc(CC(CC)CCCC)s7)c8s9</t>
  </si>
  <si>
    <t xml:space="preserve">['PBDT(T)-HT-TPD']</t>
  </si>
  <si>
    <t xml:space="preserve">P(NDI2HD-Se)</t>
  </si>
  <si>
    <t xml:space="preserve">[*]c5ccc(c1cc3c(=O)n(CC(CCCCCC)CCCCCCCC)c(=O)c4c([*])cc2c(=O)n(CC(CCCCCC)CCCCCCCC)c(=O)c1c2c34)[se]5</t>
  </si>
  <si>
    <t xml:space="preserve">['P(NDI2HD-Se)']</t>
  </si>
  <si>
    <t xml:space="preserve">{"power conversion efficiency": {"entity_name": "PCE", "entity_start": 195, "entity_end": 195, "property_value_start": 198, "property_value_end": 199, "property_numeric_value": 6.8,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</si>
  <si>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10.1016/j.polymer.2013.07.004</t>
  </si>
  <si>
    <t xml:space="preserve">PIIDTBT</t>
  </si>
  <si>
    <t xml:space="preserve">[*]c8ccc(c1ccc7c(c1)c6c(c5ccc(c4ccc(c2ccc([*])c3nsnc23)s4)cc5C6(CCCCCCCC)CCCCCCCC)n7CC)s8</t>
  </si>
  <si>
    <t xml:space="preserve">['poly[4-(5-(5-ethyl-10,10-dioctyl-8-(thiophen-2-yl)-5,10-dihydroindeno[1,2-b]indol-2-yl)thiophen-2-yl)benzo[c][1,2,5]thiadiazole]','PIIDTBT']</t>
  </si>
  <si>
    <t xml:space="preserve">{"power conversion efficiency": {"entity_name": "PCE", "entity_start": 218, "entity_end": 218, "property_value_start": 228, "property_value_end": 229, "property_numeric_value": 3.72, "property_unit": "%", "property_value_descriptor": ""}, "open circuit voltage": {}, "short circuit current": {}, "fill factor": {}, "highest occupied molecular orbital": {}, "lowest unoccupied molecular orbital": {}, "bandgap": {"entity_name": "bandgaps", "entity_start": 93, "entity_end": 93, "property_value_start": 94, "property_value_end": 97, "property_numeric_value": 1.87, "property_unit": "eV", "property_value_descriptor": "and"}, "hole mobility": {"entity_name": "hole mobilities", "entity_start": 122, "entity_end": 123, "property_value_start": 137, "property_value_end": 142, "property_numeric_value": 0.000194, "property_unit": "cm^{2}/V s", "property_value_descriptor": ""}, "electron mobility": {}, "external quantum efficiency": {}}</t>
  </si>
  <si>
    <t xml:space="preserve">PIIBT</t>
  </si>
  <si>
    <t xml:space="preserve">[*]c1ccc6c(c1)c5c(c4ccc(c2ccc([*])c3nsnc23)cc4C5(CCCCCCCC)CCCCCCCC)n6CC</t>
  </si>
  <si>
    <t xml:space="preserve">['poly[4-(5-ethyl-10,10-dioctyl-5,10-dihydroindeno[1,2-b]indol-2-yl)benzo[c][1,2,5]thiadiazole]','PIIBT']</t>
  </si>
  <si>
    <t xml:space="preserve">10.1039/c4ta06228k</t>
  </si>
  <si>
    <t xml:space="preserve">PTh_{4}FBT</t>
  </si>
  <si>
    <t xml:space="preserve">[*]c6csc(c5ccc(c3c(F)c(F)c(c2ccc(c1scc([*])c1C(C)C)s2)c4nsnc34)s5)c6C(C)C</t>
  </si>
  <si>
    <t xml:space="preserve">['PTh_{4}FBT']</t>
  </si>
  <si>
    <t xml:space="preserve">{"power conversion efficiency": {"entity_name": "PCE", "entity_start": 220, "entity_end": 220, "property_value_start": 222, "property_value_end": 223, "property_numeric_value": 7.75, "property_unit": "%", "property_value_descriptor": ""}, "open circuit voltage": {"entity_name": "V_{oc}", "entity_start": 226, "entity_end": 227, "property_value_start": 229, "property_value_end": 230, "property_numeric_value": 0.76, "property_unit": "V", "property_value_descriptor": ""}, "short circuit current": {"entity_name": "J_{sc}", "entity_start": 233, "entity_end": 234, "property_value_start": 236, "property_value_end": 239, "property_numeric_value": 14.36, "property_unit": "mA cm^{-2}", "property_value_descriptor": ""}, "fill factor": {"entity_name": "FF", "entity_start": 243, "entity_end": 243, "property_value_start": 245, "property_value_end": 246, "property_numeric_value": 71.0,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</si>
  <si>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10.1016/j.polymer.2015.03.058</t>
  </si>
  <si>
    <t xml:space="preserve">[*]c9ccc(c7ccc(c6ccc(c5cc4c2c(Cc1sc(CCCCCCCCCCCCCCC)nc12)c3cc([*])sc3c4s5)s6)c8nsnc78)s9</t>
  </si>
  <si>
    <t xml:space="preserve">{"power conversion efficiency": {"entity_name": "PCE", "entity_start": 142, "entity_end": 142, "property_value_start": 150, "property_value_end": 151, "property_numeric_value": 5.24, "property_unit": "%", "property_value_descriptor": ""}, "open circuit voltage": {}, "short circuit current": {}, "fill factor": {}, "highest occupied molecular orbital": {"entity_name": "HOMO", "entity_start": 53, "entity_end": 53, "property_value_start": 64, "property_value_end": 65, "property_numeric_value": -5.35, "property_unit": "eV", "property_value_descriptor": ""}, "lowest unoccupied molecular orbital": {}, "bandgap": {}, "hole mobility": {}, "electron mobility": {}, "external quantum efficiency": {}}</t>
  </si>
  <si>
    <t xml:space="preserve">[*]c%10ccc(c8ccc(c7ccc(c1cc5c(s1)c2sc([*])cc2c6c(c3ccc(CCCCCCCC)s3)sc(c4ccc(CCCCCCCC)s4)c56)s7)c9nsnc89)s%10</t>
  </si>
  <si>
    <t xml:space="preserve">{"power conversion efficiency": {"entity_name": "PCE", "entity_start": 129, "entity_end": 129, "property_value_start": 134, "property_value_end": 135, "property_numeric_value": 4.36,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</si>
  <si>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10.1039/c8tc00113h</t>
  </si>
  <si>
    <t xml:space="preserve">PFDDPSe</t>
  </si>
  <si>
    <t xml:space="preserve">[*]c5ccc(c4c3c(=C)n(CCCCCCCCCCCCCCCCCC)c(c2ccc(c1ccc([*])[se]1)o2)c3c(=O)n4CCCCCCCCCCCCCCCCCC)o5</t>
  </si>
  <si>
    <t xml:space="preserve">['PFDPPSe', 'PFDDPSe']</t>
  </si>
  <si>
    <t xml:space="preserve">{"power conversion efficiency": {"entity_name": "PCE", "entity_start": 194, "entity_end": 194, "property_value_start": 197, "property_value_end": 198, "property_numeric_value": 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</si>
  <si>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10.1002/pola.26691</t>
  </si>
  <si>
    <t xml:space="preserve">PTNDTT-BTz</t>
  </si>
  <si>
    <t xml:space="preserve">[*]c%10cc(CCCCCCCCCCCCCCCC)c(c9cc8ccc7c(ccc6cc(c5sc(c4sc(c3cnc(c2ncc(c1cc(CCCCCCCCCCCCCCCC)c([*])s1)s2)s3)cc4CCCCCCCCCCCCCCCC)cc5CCCCCCCCCCCCCCCC)sc67)c8s9)s%10</t>
  </si>
  <si>
    <t xml:space="preserve">['PTNDTT-BTz']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</si>
  <si>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mobilities", "entity_start": 206, "entity_end": 207, "property_value_start": 209, "property_value_end": 222, "property_numeric_value": 0.0014045000000000001, "property_unit": "cm^{2} V^{-1} s^{-1}", "property_value_descriptor": "to"}, "electron mobility": {}, "external quantum efficiency": {}}</t>
  </si>
  <si>
    <t xml:space="preserve">10.1016/j.orgel.2016.10.008</t>
  </si>
  <si>
    <t xml:space="preserve">PTB7-TH</t>
  </si>
  <si>
    <t xml:space="preserve">['PTB7-TH']</t>
  </si>
  <si>
    <t xml:space="preserve">{"power conversion efficiency": {"entity_name": "PCE", "entity_start": 133, "entity_end": 133, "property_value_start": 135, "property_value_end": 136, "property_numeric_value": 9.23,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</si>
  <si>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10.1016/j.orgel.2013.05.012</t>
  </si>
  <si>
    <t xml:space="preserve">{"power conversion efficiency": {"entity_name": "PCE", "entity_start": 140, "entity_end": 140, "property_value_start": 163, "property_value_end": 164, "property_numeric_value": 3.25,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</si>
  <si>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10.1002/marc.201300299</t>
  </si>
  <si>
    <t xml:space="preserve">[*]c%11ccc(c9c1cc(OCCCCCCCC)c(OCCCCCCCC)cc1c(c8ccc(c7ccc(c5ccc(c2ccc([*])s2)c6nc(c3cccc(OCCCCCCCC)c3)c(c4cccc(OCCCCCCCC)c4)nc56)s7)cc8)c%10cc(OCCCCCCCC)c(OCCCCCCCC)cc9%10)cc%11</t>
  </si>
  <si>
    <t xml:space="preserve">{"power conversion efficiency": {"entity_name": "PCE", "entity_start": 138, "entity_end": 138, "property_value_start": 140, "property_value_end": 141, "property_numeric_value": 1.42, "property_unit": "%", "property_value_descriptor": ""}, "open circuit voltage": {"entity_name": "V_{oc}", "entity_start": 145, "entity_end": 146, "property_value_start": 148, "property_value_end": 149, "property_numeric_value": 0.89, "property_unit": "V", "property_value_descriptor": ""}, "short circuit current": {"entity_name": "J_{sc}", "entity_start": 92, "entity_end": 93, "property_value_start": 95, "property_value_end": 98, "property_numeric_value": 4.4, "property_unit": "mA cm^{-2}", "property_value_descriptor": ""}, "fill factor": {}, "highest occupied molecular orbital": {}, "lowest unoccupied molecular orbital": {}, "bandgap": {"entity_name": "band gap", "entity_start": 53, "entity_end": 54, "property_value_start": 57, "property_value_end": 58, "property_numeric_value": 2.12, "property_unit": "eV", "property_value_descriptor": ""}, "hole mobility": {}, "electron mobility": {}, "external quantum efficiency": {}}</t>
  </si>
  <si>
    <t xml:space="preserve">[*]c9ccc(c7c1cc(OCCCCCCCC)c(OCCCCCCCC)cc1c(c6ccc(c5ccc(c3c(OCCCCCCCC)c(OCCCCCCCC)c(c2ccc([*])s2)c4nsnc34)s5)cc6)c8cc(OCCCCCCCC)c(OCCCCCCCC)cc78)cc9</t>
  </si>
  <si>
    <t xml:space="preserve">{"power conversion efficiency": {"entity_name": "PCE", "entity_start": 77, "entity_end": 77, "property_value_start": 80, "property_value_end": 81, "property_numeric_value": 2.23, "property_unit": "%", "property_value_descriptor": ""}, "open circuit voltage": {}, "short circuit current": {"entity_name": "J_{sc}", "entity_start": 152, "entity_end": 153, "property_value_start": 155, "property_value_end": 158, "property_numeric_value": 3.0, "property_unit": "mA cm^{-2}", "property_value_descriptor": ""}, "fill factor": {"entity_name": "FF", "entity_start": 162, "entity_end": 162, "property_value_start": 164, "property_value_end": 164, "property_numeric_value": 53.0,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</si>
  <si>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10.1016/j.solmat.2013.05.008</t>
  </si>
  <si>
    <t xml:space="preserve">TFBF</t>
  </si>
  <si>
    <t xml:space="preserve">CCC%18(CC)c1ccccc1c%17ccc(c2ccc%16c(c2)c(=c%10c6cc(c5ccc4c3ccccc3C(CC)(CC)c4c5)ccc6c%11ccc(c9ccc8c7ccccc7C(CC)(CC)c8c9)cc%10%11)c%15cc(c%14ccc%13c%12ccccc%12C(CC)(CC)c%13c%14)ccc%15%16)cc%17%18</t>
  </si>
  <si>
    <t xml:space="preserve">['2,2′,7,7′-Tetra(9,9-diethyl-9H-fluorene)-9,9′-bifluorenylidene','TFBF']</t>
  </si>
  <si>
    <t xml:space="preserve">{"power conversion efficiency": {"entity_name": "PCE", "entity_start": 273, "entity_end": 273, "property_value_start": 275, "property_value_end": 276, "property_numeric_value": 0.26, "property_unit": "%", "property_value_descriptor": ""}, "open circuit voltage": {"entity_name": "V oc", "entity_start": 253, "entity_end": 254, "property_value_start": 256, "property_value_end": 257, "property_numeric_value": 0.7, "property_unit": "V", "property_value_descriptor": ""}, "short circuit current": {"entity_name": "J sc", "entity_start": 259, "entity_end": 260, "property_value_start": 262, "property_value_end": 266, "property_numeric_value": 1.2, "property_unit": "mA/cm^{2}", "property_value_descriptor": ""}, "fill factor": {"entity_name": "FF", "entity_start": 268, "entity_end": 268, "property_value_start": 270, "property_value_end": 270, "property_numeric_value": 30.0, "property_unit": "%", "property_value_descriptor": ""}, "highest occupied molecular orbital": {}, "lowest unoccupied molecular orbital": {}, "bandgap": {}, "hole mobility": {}, "electron mobility": {"entity_name": "electron mobility", "entity_start": 196, "entity_end": 197, "property_value_start": 208, "property_value_end": 210, "property_numeric_value": 6.82e-05, "property_unit": "cm^{2}/Vs", "property_value_descriptor": ""}, "external quantum efficiency": {}}</t>
  </si>
  <si>
    <t xml:space="preserve">10.1039/c7ta03322b</t>
  </si>
  <si>
    <t xml:space="preserve">[*]c8ccc(c6ccc(c5ccc(c4cc3c1nc(C(F)(F)C(F)(F)C(F)(F)C(F)F)n(CCCCCCCC)c1c2cc([*])sc2c3s4)s5)c7nsnc67)s8</t>
  </si>
  <si>
    <t xml:space="preserve">SM1</t>
  </si>
  <si>
    <t xml:space="preserve">CCCCCCCCCCn6c(c1cccs1)c5c(=O)n(CCCCCCCCCC)c(c4ccc(/C(=C(C#N)\C#N)/C(=C(C#N)\C#N)C2CCCC2[Fe]C3CCCC3)s4)c5c6=O</t>
  </si>
  <si>
    <t xml:space="preserve">['SM1']</t>
  </si>
  <si>
    <t xml:space="preserve">{"power conversion efficiency": {"entity_name": "power conversion efficiency", "entity_start": 51, "entity_end": 53, "property_value_start": 55, "property_value_end": 56, "property_numeric_value": 6.44,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</si>
  <si>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SM2</t>
  </si>
  <si>
    <t xml:space="preserve">CCCCCCCCCCn8c(c3ccc(/C(=C(C#N)/C#N)/C(=C(C#N)/C#N)C1CCCC1[Fe]C2CCCC2)s3)c7c(=O)n(CCCCCCCCCC)c(c6ccc(/C(=C(C#N)\C#N)/C(=C(C#N)\C#N)C4CCCC4[Fe]C5CCCC5)s6)c7c8=O</t>
  </si>
  <si>
    <t xml:space="preserve">['SM2']</t>
  </si>
  <si>
    <t xml:space="preserve">{"power conversion efficiency": {"entity_name": "power conversion efficiency", "entity_start": 51, "entity_end": 53, "property_value_start": 58, "property_value_end": 59, "property_numeric_value": 6.89,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</si>
  <si>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10.1007/s11434-014-0436-x</t>
  </si>
  <si>
    <t xml:space="preserve">poly (diketopyrrolopyrrole-terthiophene)</t>
  </si>
  <si>
    <t xml:space="preserve">[*]c5ccc(c4ccc(c3c2c(=O)n(CC(CCCCCC)CCCCCCCC)c(c1ccc([*])s1)c2c(=O)n3CC(CCCCCC)CCCCCCCC)s4)s5</t>
  </si>
  <si>
    <t xml:space="preserve">['poly (diketopyrrolopyrrole-terthiophene)', 'PDPP3T']</t>
  </si>
  <si>
    <t xml:space="preserve">9.18 mA/cm^{2}</t>
  </si>
  <si>
    <t xml:space="preserve">{"power conversion efficiency": {"entity_name": "PCE", "entity_start": 57, "entity_end": 57, "property_value_start": 67, "property_value_end": 68, "property_numeric_value": 4.37, "property_unit": "%", "property_value_descriptor": ""}, "open circuit voltage": {}, "short circuit current": {}, "fill factor": {"entity_name": "FF", "entity_start": 127, "entity_end": 127, "property_value_start": 144, "property_value_end": 145, "property_numeric_value": 70.0,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</si>
  <si>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10.1002/smll.201401082</t>
  </si>
  <si>
    <t xml:space="preserve">SDIPBI</t>
  </si>
  <si>
    <t xml:space="preserve">CCCCCCC(CCCCC)n8c(=O)c9ccc%10c%12ccc%13c(=O)n(C(CCCCC)CCCCC)c(=O)c%14ccc(c%11c(c1cc4C(=O)C(C(CCCCC)CCCCC)C(=O)c3ccc2c5ccc6c(=O)n(C(CCCCC)CCCCC)c(=O)c7ccc(c1c2c34)c5c67)cc(c8=O)c9c%10%11)c%12c%13%14</t>
  </si>
  <si>
    <t xml:space="preserve">['perylene bisimide', 'SDIPBI']</t>
  </si>
  <si>
    <t xml:space="preserve">{"power conversion efficiency": {"entity_name": "PCE", "entity_start": 37, "entity_end": 37, "property_value_start": 40, "property_value_end": 41, "property_numeric_value": 4.4, "property_unit": "%", "property_value_descriptor": ""}, "open circuit voltage": {"entity_name": "V_{oc}", "entity_start": 61, "entity_end": 62, "property_value_start": 64, "property_value_end": 65, "property_numeric_value": 0.87, "property_unit": "V", "property_value_descriptor": ""}, "short circuit current": {}, "fill factor": {"entity_name": "FF", "entity_start": 67, "entity_end": 67, "property_value_start": 69, "property_value_end": 70, "property_numeric_value": 60.0,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</si>
  <si>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10.1016/j.orgel.2014.06.001</t>
  </si>
  <si>
    <t xml:space="preserve">['[6,6]-phenyl C61-butyric acid methylester','PCBM']</t>
  </si>
  <si>
    <t xml:space="preserve">{"power conversion efficiency": {"entity_name": "PCE", "entity_start": 150, "entity_end": 150, "property_value_start": 158, "property_value_end": 159, "property_numeric_value": 5.01,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</si>
  <si>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10.1039/c4ra09417d</t>
  </si>
  <si>
    <t xml:space="preserve">["poly[(4,8-bis-(2-ethylhexyloxy)-benzo[1,2-b:4,5-b′](dithiophene)-2,6-diyl-alt-(4-(2-ethylhexanoyl)-thieno [3,4-b]thiophene)-2,6-diyl]", 'PBDTTT-EFT']</t>
  </si>
  <si>
    <t xml:space="preserve">['[6,6]phenyl-C71-butyric acid methyl ester','PC_{71}BM']</t>
  </si>
  <si>
    <t xml:space="preserve">{"power conversion efficiency": {"entity_name": "PCE", "entity_start": 124, "entity_end": 124, "property_value_start": 141, "property_value_end": 142, "property_numeric_value": 6.77, "property_unit": "%", "property_value_descriptor": ""}, "open circuit voltage": {"entity_name": "V_{oc}", "entity_start": 59, "entity_end": 61, "property_value_start": 63, "property_value_end": 64, "property_numeric_value": 0.79, "property_unit": "V", "property_value_descriptor": ""}, "short circuit current": {"entity_name": "J_{sc}", "entity_start": 72, "entity_end": 73, "property_value_start": 76, "property_value_end": 79, "property_numeric_value": 13.63, "property_unit": "mA cm^{-2}", "property_value_descriptor": ""}, "fill factor": {"entity_name": "FF", "entity_start": 85, "entity_end": 85, "property_value_start": 88, "property_value_end": 89, "property_numeric_value": 62.9,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</si>
  <si>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10.1016/j.orgel.2018.08.038</t>
  </si>
  <si>
    <t xml:space="preserve">{"power conversion efficiency": {"entity_name": "PCE", "entity_start": 145, "entity_end": 145, "property_value_start": 146, "property_value_end": 147, "property_numeric_value": 3.1,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</si>
  <si>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145, "entity_end": 145, "property_value_start": 149, "property_value_end": 150, "property_numeric_value": 5.52,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</si>
  <si>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10.1016/j.nanoen.2016.01.003</t>
  </si>
  <si>
    <t xml:space="preserve">{"power conversion efficiency": {"entity_name": "power-conversion efficiency", "entity_start": 245, "entity_end": 248, "property_value_start": 250, "property_value_end": 251, "property_numeric_value": 9.97,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</si>
  <si>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10.1016/j.solmat.2014.10.006</t>
  </si>
  <si>
    <t xml:space="preserve">poly{[4,9-dihydro-4,4,9,9-tetra(4-hexylbenzyl)-s-indaceno[1,2-b:5,6-b']-dithiophene-2,7-diyl]-alt-[2,3-bis(3-(octyloxy)phenyl)-2,3-dihydro-quinoxaline-2,2′-diyl]</t>
  </si>
  <si>
    <t xml:space="preserve">[*]c%15ccc(c%13ccc(c%10ccc(c1cc3c(s1)c2cc7c(cc2C3(c4ccc(CCCCCC)cc4)c5ccc(CCCCCC)cc5)c6sc([*])cc6C7(c8ccc(CCCCCC)cc8)c9ccc(CCCCCC)cc9)s%10)c%14nc(c%11cccc(OCCCCCCCC)c%11)c(c%12cccc(OCCCCCCCC)c%12)nc%13%14)s%15</t>
  </si>
  <si>
    <t xml:space="preserve">['poly{[4,9-dihydro-4,4,9,9-tetra(4-hexylbenzyl)-s-indaceno[1,2-b:5,6-b′]-dithiophene-2,7-diyl]-alt-[2,3-bis(3-(octyloxy)phenyl)-2,3-dihydro-quinoxaline-2,2′-diyl]','PIDTDTQx']</t>
  </si>
  <si>
    <t xml:space="preserve">{"power conversion efficiency": {"entity_name": "PCE", "entity_start": 136, "entity_end": 136, "property_value_start": 162, "property_value_end": 163, "property_numeric_value": 1.89,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</si>
  <si>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10.1021/acsami.8b09061</t>
  </si>
  <si>
    <t xml:space="preserve">RR-P(SePDI)</t>
  </si>
  <si>
    <t xml:space="preserve">[*]c8ccc(c1cc4c(=O)n(CC(CCCCCCCC)CCCCCCCCCC)c(=O)c3ccc2c5c([*])cc7c(=O)n(CC(CCCCCCCC)CCCCCCCCCC)c(=O)c6ccc(c1c2c34)c5c67)[se]8</t>
  </si>
  <si>
    <t xml:space="preserve">['RR-P(SePDI)']</t>
  </si>
  <si>
    <t xml:space="preserve">{"power conversion efficiency": {"entity_name": "PCEs", "entity_start": 135, "entity_end": 135, "property_value_start": 138, "property_value_end": 139, "property_numeric_value": 6.2,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</si>
  <si>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10.1021/acsami.9b07067</t>
  </si>
  <si>
    <t xml:space="preserve">PCPDTFBT</t>
  </si>
  <si>
    <t xml:space="preserve">[*]c1cc5c(s1)c4sc(c2cc(F)c([*])c3nsnc23)cc4C5(CC(CC)CCCC)CC(CC)CCCC</t>
  </si>
  <si>
    <t xml:space="preserve">['PCPDTFBT']</t>
  </si>
  <si>
    <t xml:space="preserve">PFPDI-BDF</t>
  </si>
  <si>
    <t xml:space="preserve">[*]c%21cc%20c(c1ccc(CC(CC)CCCC)o1)c%18oc(c3cc4c(=O)n(C(CCCCC)CCCCC)c(=O)c5cc6c2c%11cc%14c(=O)n(C(CCCCC)CCCCC)c(=O)c%13ccc%12c%15c([*])cc%16c(=O)n(C(CCCCC)CCCCC)c(=O)c%17cc(c2c7cc%10c(=O)n(C(CCCCC)CCCCC)c(=O)c9ccc8c3c(c45)c6c7c8c9%10)c(c%11c%12c%13%14)c%15c%16%17)cc%18c(c%19ccc(CC(CC)CCCC)o%19)c%20o%21</t>
  </si>
  <si>
    <t xml:space="preserve">{"power conversion efficiency": {"entity_name": "PCE", "entity_start": 270, "entity_end": 270, "property_value_start": 273, "property_value_end": 274, "property_numeric_value": 0.71,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</si>
  <si>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8.94 mA cm^{-2}</t>
  </si>
  <si>
    <t xml:space="preserve">{"power conversion efficiency": {}, "open circuit voltage": {}, "short circuit current": {"entity_name": "J_{sc}", "entity_start": 278, "entity_end": 279, "property_value_start": 281, "property_value_end": 284, "property_numeric_value": 2.2, "property_unit": "mA cm^{-2}", "property_value_descriptor": ""}, "fill factor": {"entity_name": "FF", "entity_start": 287, "entity_end": 287, "property_value_start": 289, "property_value_end": 290, "property_numeric_value": 42.4,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</si>
  <si>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10.1002/adfm.201603564</t>
  </si>
  <si>
    <t xml:space="preserve">poly(2,3-bis-(3-octyloxyphenyl)quinoxaline-5,8-dyl-alt-thiophene-2,5-diyl)</t>
  </si>
  <si>
    <t xml:space="preserve">[*]c5ccc(c3ccc([*])c4nc(c1cccc(OCCCCCCCC)c1)c(c2cccc(OCCCCCCCC)c2)nc34)s5</t>
  </si>
  <si>
    <t xml:space="preserve">['poly(2,3-bis-(3-octyloxyphenyl)quinoxaline-5,8-dyl-alt-thiophene-2,5-diyl)']</t>
  </si>
  <si>
    <t xml:space="preserve">poly((N,N'-bis(2-octyldodecyl)-naphthalene-1,4,5,8-bis(dicarboximide)-2,6-diyl)-alt-5,5'-(2,2'-bithiophene))</t>
  </si>
  <si>
    <t xml:space="preserve">["poly((N,N'-bis(2-octyldodecyl)-naphthalene-1,4,5,8-bis(dicarboximide)-2,6-diyl)-alt-5,5'-(2,2'-bithiophene))", 'P(NDI2OD-T2)']</t>
  </si>
  <si>
    <t xml:space="preserve">{"power conversion efficiency": {"entity_name": "PCE", "entity_start": 131, "entity_end": 131, "property_value_start": 133, "property_value_end": 134, "property_numeric_value": 7.31,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</si>
  <si>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10.1002/adfm.201401367</t>
  </si>
  <si>
    <t xml:space="preserve">p-DTS(FBTTh_{2})_{2}</t>
  </si>
  <si>
    <t xml:space="preserve">CCCCCCc%11ccc(c%10ccc(c8cc(F)c(c1cc7c(s1)c6sc(c4c(F)cc(c3ccc(c2ccc(CCCCCC)s2)s3)c5nsnc45)cc6[Si]7(CC(CC)CCCC)CC(CC)CCCC)c9nsnc89)s%10)s%11</t>
  </si>
  <si>
    <t xml:space="preserve">['p-DTS(FBTTh_{2})_{2}']</t>
  </si>
  <si>
    <t xml:space="preserve">['P(NDI2OD-T2)']</t>
  </si>
  <si>
    <t xml:space="preserve">{"power conversion efficiency": {"entity_name": "power conversion efficiency", "entity_start": 33, "entity_end": 35, "property_value_start": 37, "property_value_end": 38, "property_numeric_value": 2.1,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</si>
  <si>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10.1039/c4tc02103g</t>
  </si>
  <si>
    <t xml:space="preserve">DIB-SQ</t>
  </si>
  <si>
    <t xml:space="preserve">CC(C)CN(CC(C)C)c3cc(O)c(C2C([O-])C(c1c(O)cc(N(CC(C)C)CC(C)C)cc1O)C2[O-])c(O)c3</t>
  </si>
  <si>
    <t xml:space="preserve">['DIB-SQ']</t>
  </si>
  <si>
    <t xml:space="preserve">PPDIDTT</t>
  </si>
  <si>
    <t xml:space="preserve">[*]c%10cc9sc8cc(c1cc4c(=O)n(CC(CCCCCCCCCC)CCCCCCCCCCCC)c(=O)c3ccc2c5c([*])cc7c(=O)n(CC(CCCCCCCCCC)CCCCCCCCCCCC)c(=O)c6ccc(c1c2c34)c5c67)sc8c9s%10</t>
  </si>
  <si>
    <t xml:space="preserve">['PPDIDTT']</t>
  </si>
  <si>
    <t xml:space="preserve">{"power conversion efficiency": {"entity_name": "power conversion efficiencies", "entity_start": 116, "entity_end": 118, "property_value_start": 122, "property_value_end": 123, "property_numeric_value": 1.12,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</si>
  <si>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10.1039/c8ta11004b</t>
  </si>
  <si>
    <t xml:space="preserve">PDBT-F</t>
  </si>
  <si>
    <t xml:space="preserve">[*]c%12ccc(c%10sc(c8ccc(c7cc6sc5c(c1cc(F)c(CC(CC)CCCC)s1)c3c(sc2cc([*])sc23)c(c4cc(F)c(CC(CC)CCCC)s4)c5c6s7)s8)c%11c(=O)c9c(CC(CC)CCCC)sc(CC(CC)CCCC)c9c(=O)c%10%11)s%12</t>
  </si>
  <si>
    <t xml:space="preserve">['poly{5,10-bis(5-ethylhexyl-4-fluorothiophen-2-yl)dithieno[2,3-d:2′,3′-d′′]benzo[1,2-b:4,5-b′]dithiophene-co-1,3-bis(thiophen-2-yl)-5,7-bis(2-ethylhexyl)-4H,8H-benzo[1,2-c:4,5-c′]dithiophene-4,8-dione}','PDBT-F']</t>
  </si>
  <si>
    <t xml:space="preserve">IDIC</t>
  </si>
  <si>
    <t xml:space="preserve">CCCCCCC5(CCCCCC)c1cc8c(cc1c4sc(C=c3c(=O)c2ccccc2c3=C(C#N)C#N)cc45)C(CCCCCC)(CCCCCC)c9cc(C=c7c(=O)c6ccccc6c7=C(C#N)C#N)sc89</t>
  </si>
  <si>
    <t xml:space="preserve">['IDIC']</t>
  </si>
  <si>
    <t xml:space="preserve">{"power conversion efficiency": {"entity_name": "PCE", "entity_start": 116, "entity_end": 116, "property_value_start": 119, "property_value_end": 120, "property_numeric_value": 11.02,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</si>
  <si>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10.1039/c3ee43041c</t>
  </si>
  <si>
    <t xml:space="preserve">{"power conversion efficiency": {"entity_name": "power conversion efficiency", "entity_start": 5, "entity_end": 7, "property_value_start": 16, "property_value_end": 17, "property_numeric_value": 3.45,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</si>
  <si>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10.1016/j.nanoen.2016.12.041</t>
  </si>
  <si>
    <t xml:space="preserve">poly[(N,N'-bis(2-hexyldecyl)-diamine-bis(difluoro-borane)-2,2'-bipyridine)-alt-(2,5-thiophene)]</t>
  </si>
  <si>
    <t xml:space="preserve">[*]c5cc3c4c2c(cc(c1ccc([*])s1)c[n+]2[B-](F)(F)N3CC(CCCCCC)CCCCCCCC)N(CC(CCCCCC)CCCCCCCC)[B-](F)(F)[n+]4c5</t>
  </si>
  <si>
    <t xml:space="preserve">["poly[(N,N'-bis(2-hexyldecyl)-diamine-bis(difluoro-borane)-2,2'-bipyridine)-alt-(2,5-thiophene)]", 'P-BNBP-T', 'P-BNBP-T.']</t>
  </si>
  <si>
    <t xml:space="preserve">P-BNBP-T; P-BNBP-T.</t>
  </si>
  <si>
    <t xml:space="preserve">{"power conversion efficiency": {"entity_name": "PCE", "entity_start": 142, "entity_end": 142, "property_value_start": 145, "property_value_end": 146, "property_numeric_value": 3.2, "property_unit": "%", "property_value_descriptor": ""}, "open circuit voltage": {"entity_name": "V OC", "entity_start": 132, "entity_end": 133, "property_value_start": 135, "property_value_end": 136, "property_numeric_value": 1.3,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</si>
  <si>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10.1039/c7ta04445c</t>
  </si>
  <si>
    <t xml:space="preserve">BDT2TR</t>
  </si>
  <si>
    <t xml:space="preserve">['BDT2TR']</t>
  </si>
  <si>
    <t xml:space="preserve">{"power conversion efficiency": {"entity_name": "PCE", "entity_start": 120, "entity_end": 120, "property_value_start": 122, "property_value_end": 123, "property_numeric_value": 4.43, "property_unit": "%", "property_value_descriptor": ""}, "open circuit voltage": {"entity_name": "V_{OC}", "entity_start": 125, "entity_end": 126, "property_value_start": 128, "property_value_end": 129, "property_numeric_value": 0.86, "property_unit": "V", "property_value_descriptor": ""}, "short circuit current": {"entity_name": "J_{SC}", "entity_start": 131, "entity_end": 132, "property_value_start": 134, "property_value_end": 137, "property_numeric_value": 7.26, "property_unit": "mA cm^{-2}", "property_value_descriptor": ""}, "fill factor": {"entity_name": "FF", "entity_start": 140, "entity_end": 140, "property_value_start": 142, "property_value_end": 143, "property_numeric_value": 71.0,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</si>
  <si>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10.1039/c7tc01996c</t>
  </si>
  <si>
    <t xml:space="preserve">P_{A}</t>
  </si>
  <si>
    <t xml:space="preserve">['P_{A}']</t>
  </si>
  <si>
    <t xml:space="preserve">P_{A}; 7,7'-(4,4-bis(2-ethylhexyl)-4H-silolo[3,2-b:4,5-b']dithiophene-2,6-diyl)bis(6-fluoro-4-(5'-hexyl-[2,2'-bithiophen]-5-yl)benzo[c][1,2,5]thiadiazole); polymer</t>
  </si>
  <si>
    <t xml:space="preserve">{"power conversion efficiency": {}, "open circuit voltage": {"entity_name": "V_{OC}", "entity_start": 118, "entity_end": 119, "property_value_start": 122, "property_value_end": 123, "property_numeric_value": 1.08,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</si>
  <si>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126, "entity_end": 126, "property_value_start": 128, "property_value_end": 129,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</si>
  <si>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10.1016/j.cclet.2017.04.011</t>
  </si>
  <si>
    <t xml:space="preserve">["poly[4,8-bis(2-ethylhexyloxyl)benzo[1,2-b:4,5-b'] dithio-phene-2,6-diyl-altethylhexyl-3-fluorothithieno [3,4-b]thiophene-2-carboxylate-4,6-diyl]", 'PTB7']</t>
  </si>
  <si>
    <t xml:space="preserve">{"power conversion efficiency": {"entity_name": "PCE", "entity_start": 127, "entity_end": 127, "property_value_start": 144, "property_value_end": 145, "property_numeric_value": 7.75,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</si>
  <si>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10.1021/nn4059067</t>
  </si>
  <si>
    <t xml:space="preserve">['6,6-phenyl C_{61}-butyric acid methyl ester', 'PCBM']</t>
  </si>
  <si>
    <t xml:space="preserve">{"power conversion efficiency": {"entity_name": "power conversion efficiency", "entity_start": 69, "entity_end": 71, "property_value_start": 73, "property_value_end": 74, "property_numeric_value": 3.7,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</si>
  <si>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10.1021/am402175m</t>
  </si>
  <si>
    <t xml:space="preserve">PIFTBT8</t>
  </si>
  <si>
    <t xml:space="preserve">[*]c3ccc2c1cc9c(cc1C(CC(CC)CCCC)(CC(CC)CCCC)c2c3)c8ccc(c7ccc(c5ccc(c4ccc([*])s4)c6nsnc56)s7)cc8C9(CC(CC)CCCC)CC(CC)CCCC</t>
  </si>
  <si>
    <t xml:space="preserve">['PIFTBT8']</t>
  </si>
  <si>
    <t xml:space="preserve">{"power conversion efficiency": {"entity_name": "PCE", "entity_start": 295, "entity_end": 295, "property_value_start": 297, "property_value_end": 298, "property_numeric_value": 4.55, "property_unit": "%", "property_value_descriptor": ""}, "open circuit voltage": {"entity_name": "V_{oc}", "entity_start": 310, "entity_end": 311, "property_value_start": 313, "property_value_end": 314, "property_numeric_value": 1.05, "property_unit": "V", "property_value_descriptor": ""}, "short circuit current": {"entity_name": "J_{sc}", "entity_start": 213, "entity_end": 214, "property_value_start": 216, "property_value_end": 219, "property_numeric_value": 9.74, "property_unit": "mA cm^{-2}", "property_value_descriptor": ""}, "fill factor": {"entity_name": "FF", "entity_start": 223, "entity_end": 223, "property_value_start": 225, "property_value_end": 226, "property_numeric_value": 50.1,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</si>
  <si>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10.1021/nn506678a</t>
  </si>
  <si>
    <t xml:space="preserve">{"power conversion efficiency": {"entity_name": "power conversion efficiency", "entity_start": 101, "entity_end": 103, "property_value_start": 120, "property_value_end": 121, "property_numeric_value": 9.15,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</si>
  <si>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10.1002/marc.201200812</t>
  </si>
  <si>
    <t xml:space="preserve">{"power conversion efficiency": {"entity_name": "power conversion efficiencies", "entity_start": 165, "entity_end": 167, "property_value_start": 175, "property_value_end": 176, "property_numeric_value": 6.89,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</si>
  <si>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10.1021/acsami.6b15796</t>
  </si>
  <si>
    <t xml:space="preserve">["poly[N-9''-heptadecanyl-2,7-carbazole-alt-5,5-(4',7'-di-2-thienyl-2',1',3'-benzothiadiazole)]", 'PCDTBT']</t>
  </si>
  <si>
    <t xml:space="preserve">{"power conversion efficiency": {"entity_name": "power conversion efficiency", "entity_start": 152, "entity_end": 154, "property_value_start": 160, "property_value_end": 161, "property_numeric_value": 6.79,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</si>
  <si>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193, "entity_end": 193, "property_value_start": 195, "property_value_end": 196, "property_numeric_value": 8.43,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</si>
  <si>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10.1039/c6ra06115j</t>
  </si>
  <si>
    <t xml:space="preserve">{"power conversion efficiency": {"entity_name": "PCE", "entity_start": 85, "entity_end": 85, "property_value_start": 92, "property_value_end": 93, "property_numeric_value": 7.99,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</si>
  <si>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10.1016/j.orgel.2016.04.041</t>
  </si>
  <si>
    <t xml:space="preserve">{"power conversion efficiency": {"entity_name": "PCE", "entity_start": 105, "entity_end": 105, "property_value_start": 124, "property_value_end": 125, "property_numeric_value": 7.56,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</si>
  <si>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10.1039/c3ta01226c</t>
  </si>
  <si>
    <t xml:space="preserve">{"power conversion efficiency": {"entity_name": "PCE", "entity_start": 93, "entity_end": 93, "property_value_start": 101, "property_value_end": 102, "property_numeric_value": 6.56, "property_unit": "%", "property_value_descriptor": ""}, "open circuit voltage": {"entity_name": "V_{oc}", "entity_start": 114, "entity_end": 115, "property_value_start": 123, "property_value_end": 124, "property_numeric_value": 0.94,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</si>
  <si>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10.1016/j.solmat.2013.02.022</t>
  </si>
  <si>
    <t xml:space="preserve">{"power conversion efficiency": {"entity_name": "power conversion efficiency", "entity_start": 165, "entity_end": 167, "property_value_start": 180, "property_value_end": 181, "property_numeric_value": 3.61,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</si>
  <si>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10.1039/c5ta03831f</t>
  </si>
  <si>
    <t xml:space="preserve">{"power conversion efficiency": {"entity_name": "PCE", "entity_start": 126, "entity_end": 126, "property_value_start": 128, "property_value_end": 129, "property_numeric_value": 7.65,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</si>
  <si>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10.1002/adma.201704546</t>
  </si>
  <si>
    <t xml:space="preserve">{"power conversion efficiency": {"entity_name": "PCEs", "entity_start": 162, "entity_end": 162, "property_value_start": 165, "property_value_end": 166, "property_numeric_value": 11.0,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</si>
  <si>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10.1002/adma.201200238</t>
  </si>
  <si>
    <t xml:space="preserve">{"power conversion efficiency": {"entity_name": "PCE", "entity_start": 58, "entity_end": 58, "property_value_start": 60, "property_value_end": 61, "property_numeric_value": 6.77, "property_unit": "%", "property_value_descriptor": ""}, "open circuit voltage": {"entity_name": "V_{OC}", "entity_start": 36, "entity_end": 37, "property_value_start": 39, "property_value_end": 40, "property_numeric_value": 0.88, "property_unit": "V", "property_value_descriptor": ""}, "short circuit current": {"entity_name": "J_{SC}", "entity_start": 43, "entity_end": 44, "property_value_start": 46, "property_value_end": 49, "property_numeric_value": 10.88, "property_unit": "mA cm^{-2}", "property_value_descriptor": ""}, "fill factor": {"entity_name": "FF", "entity_start": 52, "entity_end": 52, "property_value_start": 54, "property_value_end": 55, "property_numeric_value": 70.7,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</si>
  <si>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10.1016/j.orgel.2013.08.001</t>
  </si>
  <si>
    <t xml:space="preserve">{"power conversion efficiency": {"entity_name": "PCE", "entity_start": 142, "entity_end": 142, "property_value_start": 144, "property_value_end": 145, "property_numeric_value": 2.34,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</si>
  <si>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10.1016/j.solmat.2014.07.003</t>
  </si>
  <si>
    <t xml:space="preserve">{"power conversion efficiency": {"entity_name": "power conversion efficiency", "entity_start": 263, "entity_end": 265, "property_value_start": 267, "property_value_end": 268, "property_numeric_value": 2.69,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</si>
  <si>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10.1021/jacs.5b02168</t>
  </si>
  <si>
    <t xml:space="preserve">{"power conversion efficiency": {"entity_name": "power conversion efficiency", "entity_start": 86, "entity_end": 88, "property_value_start": 92, "property_value_end": 93, "property_numeric_value": 10.5,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</si>
  <si>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10.1016/j.synthmet.2016.02.012</t>
  </si>
  <si>
    <t xml:space="preserve">pDSBT-BHTBT</t>
  </si>
  <si>
    <t xml:space="preserve">['dithienylbenzothiadiazole', 'pDSBT-BHTBT']</t>
  </si>
  <si>
    <t xml:space="preserve">{"power conversion efficiency": {"entity_name": "power conversion efficiency", "entity_start": 66, "entity_end": 68, "property_value_start": 73, "property_value_end": 74, "property_numeric_value": 3.76,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</si>
  <si>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10.1039/c1jm12281a</t>
  </si>
  <si>
    <t xml:space="preserve">{"power conversion efficiency": {"entity_name": "power conversion efficiency", "entity_start": 134, "entity_end": 136, "property_value_start": 138, "property_value_end": 139, "property_numeric_value": 3.89, "property_unit": "%", "property_value_descriptor": ""}, "open circuit voltage": {"entity_name": "V_{oc}", "entity_start": 106, "entity_end": 108, "property_value_start": 110, "property_value_end": 111, "property_numeric_value": 0.58, "property_unit": "V", "property_value_descriptor": ""}, "short circuit current": {"entity_name": "J_{sc}", "entity_start": 119, "entity_end": 121, "property_value_start": 123, "property_value_end": 126, "property_numeric_value": 10.03, "property_unit": "mA cm^{-2}", "property_value_descriptor": ""}, "fill factor": {"entity_name": "fill factor", "entity_start": 128, "entity_end": 129, "property_value_start": 131, "property_value_end": 131, "property_numeric_value": 67.0,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</si>
  <si>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10.1039/c9tc02663k</t>
  </si>
  <si>
    <t xml:space="preserve">PBDD-CH</t>
  </si>
  <si>
    <t xml:space="preserve">['PBDD-CH']</t>
  </si>
  <si>
    <t xml:space="preserve">{"power conversion efficiency": {"entity_name": "PCE", "entity_start": 299, "entity_end": 299, "property_value_start": 319, "property_value_end": 320, "property_numeric_value": 9.63, "property_unit": "%", "property_value_descriptor": ""}, "open circuit voltage": {}, "short circuit current": {}, "fill factor": {}, "highest occupied molecular orbital": {"entity_name": "HOMO) energy level", "entity_start": 225, "entity_end": 228, "property_value_start": 230, "property_value_end": 233, "property_numeric_value": -5.494999999999999, "property_unit": "eV", "property_value_descriptor": "and"}, "lowest unoccupied molecular orbital": {}, "bandgap": {}, "hole mobility": {}, "electron mobility": {}, "external quantum efficiency": {}}</t>
  </si>
  <si>
    <t xml:space="preserve">PBDD-CH-S</t>
  </si>
  <si>
    <t xml:space="preserve">['PBDD-CH-S.', 'PBDD-CH-S']</t>
  </si>
  <si>
    <t xml:space="preserve">{"power conversion efficiency": {}, "open circuit voltage": {}, "short circuit current": {}, "fill factor": {}, "highest occupied molecular orbital": {}, "lowest unoccupied molecular orbital": {}, "bandgap": {"entity_name": "E^{opt}_{g}", "entity_start": 211, "entity_end": 212, "property_value_start": 215, "property_value_end": 216, "property_numeric_value": 1.85, "property_unit": "eV", "property_value_descriptor": ""}, "hole mobility": {}, "electron mobility": {}, "external quantum efficiency": {}}</t>
  </si>
  <si>
    <t xml:space="preserve">10.1016/j.tsf.2015.02.010</t>
  </si>
  <si>
    <t xml:space="preserve">poly(styrenesulfonate)(PEDOT</t>
  </si>
  <si>
    <t xml:space="preserve">['PEDOT', 'poly(styrenesulfonate)(PEDOT']</t>
  </si>
  <si>
    <t xml:space="preserve">['[6,6]-phenyl-C61 butyric acid methyl ester', 'PCBM']</t>
  </si>
  <si>
    <t xml:space="preserve">{"power conversion efficiency": {"entity_name": "power conversion efficiencies", "entity_start": 121, "entity_end": 123, "property_value_start": 128, "property_value_end": 129, "property_numeric_value": 3.03,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</si>
  <si>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10.1016/j.orgel.2010.06.007</t>
  </si>
  <si>
    <t xml:space="preserve">{"power conversion efficiency": {"entity_name": "PCE", "entity_start": 159, "entity_end": 159, "property_value_start": 162, "property_value_end": 163, "property_numeric_value": 3.71,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</si>
  <si>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10.1039/c6tc02369j</t>
  </si>
  <si>
    <t xml:space="preserve">['benzodithiophene', 'PTB7']</t>
  </si>
  <si>
    <t xml:space="preserve">{"power conversion efficiency": {"entity_name": "PCE", "entity_start": 125, "entity_end": 125, "property_value_start": 127, "property_value_end": 128,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</si>
  <si>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10.1016/j.solmat.2013.01.006</t>
  </si>
  <si>
    <t xml:space="preserve">{"power conversion efficiency": {"entity_name": "PCE", "entity_start": 158, "entity_end": 158, "property_value_start": 161, "property_value_end": 162, "property_numeric_value": 3.07,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</si>
  <si>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10.1016/j.tsf.2013.02.094</t>
  </si>
  <si>
    <t xml:space="preserve">['PC_{61}BM', 'PC_{71}BM']</t>
  </si>
  <si>
    <t xml:space="preserve">{"power conversion efficiency": {"entity_name": "power conversion efficiency", "entity_start": 245, "entity_end": 247, "property_value_start": 249, "property_value_end": 250, "property_numeric_value": 1.63, "property_unit": "%", "property_value_descriptor": ""}, "open circuit voltage": {"entity_name": "open-circuit voltage", "entity_start": 220, "entity_end": 223, "property_value_start": 225, "property_value_end": 226, "property_numeric_value": 0.54, "property_unit": "V", "property_value_descriptor": ""}, "short circuit current": {"entity_name": "short-circuit current", "entity_start": 228, "entity_end": 231, "property_value_start": 233, "property_value_end": 237, "property_numeric_value": 6.83, "property_unit": "mA/cm^{2}", "property_value_descriptor": ""}, "fill factor": {"entity_name": "fill factor", "entity_start": 239, "entity_end": 240, "property_value_start": 242, "property_value_end": 242, "property_numeric_value": 44.0,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</si>
  <si>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10.1002/macp.201200565</t>
  </si>
  <si>
    <t xml:space="preserve">PBDTC_{10}DBT</t>
  </si>
  <si>
    <t xml:space="preserve">['PBDTC_{10}DBT']</t>
  </si>
  <si>
    <t xml:space="preserve">{"power conversion efficiency": {"entity_name": "power conversion efficiency", "entity_start": 157, "entity_end": 159, "property_value_start": 173, "property_value_end": 174, "property_numeric_value": 2.23,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</si>
  <si>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10.1016/j.synthmet.2013.03.006</t>
  </si>
  <si>
    <t xml:space="preserve">{"power conversion efficiency": {"entity_name": "PCE", "entity_start": 275, "entity_end": 275, "property_value_start": 277, "property_value_end": 278, "property_numeric_value": 1.38, "property_unit": "%", "property_value_descriptor": ""}, "open circuit voltage": {"entity_name": "V_{oc}", "entity_start": 255, "entity_end": 256, "property_value_start": 258, "property_value_end": 259, "property_numeric_value": 0.47, "property_unit": "V", "property_value_descriptor": ""}, "short circuit current": {"entity_name": "J_{sc}", "entity_start": 261, "entity_end": 262, "property_value_start": 264, "property_value_end": 268, "property_numeric_value": 7.86,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</si>
  <si>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ITO\PEDOT</t>
  </si>
  <si>
    <t xml:space="preserve">['ITO', 'ITO\\PEDOT']</t>
  </si>
  <si>
    <t xml:space="preserve">{"power conversion efficiency": {}, "open circuit voltage": {}, "short circuit current": {}, "fill factor": {"entity_name": "FF", "entity_start": 270, "entity_end": 270, "property_value_start": 272, "property_value_end": 272, "property_numeric_value": 37.0,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</si>
  <si>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10.1016/j.orgel.2013.04.022</t>
  </si>
  <si>
    <t xml:space="preserve">poly[(4,4'-bis(2-ethylhexyl)dithieno[3,2-b:2',3'-d]silole)-2,6-diyl-alt-(2,1,3-benzothiadiazole)-4,7-diyl]</t>
  </si>
  <si>
    <t xml:space="preserve">[*]c1cc5c(s1)c4sc(c2ccc([*])c3nsnc23)cc4[Si]5(CC(CC)CCCC)CC(CC)CCCC</t>
  </si>
  <si>
    <t xml:space="preserve">["poly[(4,4'-bis(2-ethylhexyl)dithieno[3,2-b:2',3'-d]silole)-2,6-diyl-alt-(2,1,3-benzothiadiazole)-4,7-diyl]", 'PSBTBT']</t>
  </si>
  <si>
    <t xml:space="preserve">{"power conversion efficiency": {"entity_name": "PCE", "entity_start": 74, "entity_end": 74, "property_value_start": 89, "property_value_end": 90, "property_numeric_value": 4.7,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</si>
  <si>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10.1016/j.polymer.2013.04.049</t>
  </si>
  <si>
    <t xml:space="preserve">PDTPTBTBI</t>
  </si>
  <si>
    <t xml:space="preserve">[*]c8cc(CCCCCCCC)c(c6ccc(c5sc(c1cc3c(s1)c2sc([*])cc2n3c4ccc(CCCCCCCC)cc4)cc5CCCCCCCC)c7nsnc67)s8</t>
  </si>
  <si>
    <t xml:space="preserve">['PDTPTBT', 'PDTPTBTBI']</t>
  </si>
  <si>
    <t xml:space="preserve">{"power conversion efficiency": {"entity_name": "PCE", "entity_start": 231, "entity_end": 231, "property_value_start": 240, "property_value_end": 241, "property_numeric_value": 0.7, "property_unit": "%", "property_value_descriptor": ""}, "open circuit voltage": {}, "short circuit current": {}, "fill factor": {}, "highest occupied molecular orbital": {}, "lowest unoccupied molecular orbital": {}, "bandgap": {"entity_name": "optical band gap", "entity_start": 157, "entity_end": 159, "property_value_start": 167, "property_value_end": 168, "property_numeric_value": 1.07, "property_unit": "eV", "property_value_descriptor": ""}, "hole mobility": {}, "electron mobility": {}, "external quantum efficiency": {}}</t>
  </si>
  <si>
    <t xml:space="preserve">10.1016/j.orgel.2013.05.017</t>
  </si>
  <si>
    <t xml:space="preserve">{"power conversion efficiency": {"entity_name": "power conversion efficiency", "entity_start": 175, "entity_end": 177, "property_value_start": 184, "property_value_end": 185, "property_numeric_value": 3.7,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</si>
  <si>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10.1002/pola.26799</t>
  </si>
  <si>
    <t xml:space="preserve">2,2'-bithiophene</t>
  </si>
  <si>
    <t xml:space="preserve">INDT</t>
  </si>
  <si>
    <t xml:space="preserve">{"power conversion efficiency": {"entity_name": "power conversion efficiencies", "entity_start": 144, "entity_end": 146, "property_value_start": 150, "property_value_end": 151, "property_numeric_value": 2.45, "property_unit": "%", "property_value_descriptor": ""}, "open circuit voltage": {}, "short circuit current": {}, "fill factor": {}, "highest occupied molecular orbital": {}, "lowest unoccupied molecular orbital": {}, "bandgap": {"entity_name": "bandgap", "entity_start": 113, "entity_end": 113, "property_value_start": 115, "property_value_end": 116, "property_numeric_value": 2.38, "property_unit": "eV", "property_value_descriptor": ""}, "hole mobility": {}, "electron mobility": {}, "external quantum efficiency": {}}</t>
  </si>
  <si>
    <t xml:space="preserve">10.1002/macp.201300349</t>
  </si>
  <si>
    <t xml:space="preserve">PFDTBTzQ-2OC1</t>
  </si>
  <si>
    <t xml:space="preserve">['PFDTBTzQ-2OC1']</t>
  </si>
  <si>
    <t xml:space="preserve">[6,6]-phenyl-C_{71}-butyric acid methyl ester</t>
  </si>
  <si>
    <t xml:space="preserve">{"power conversion efficiency": {}, "open circuit voltage": {}, "short circuit current": {}, "fill factor": {}, "highest occupied molecular orbital": {}, "lowest unoccupied molecular orbital": {}, "bandgap": {"entity_name": "bandgap", "entity_start": 22, "entity_end": 22, "property_value_start": 24, "property_value_end": 25, "property_numeric_value": 1.63, "property_unit": "eV", "property_value_descriptor": ""}, "hole mobility": {}, "electron mobility": {}, "external quantum efficiency": {}}</t>
  </si>
  <si>
    <t xml:space="preserve">10.1016/j.cplett.2013.08.015</t>
  </si>
  <si>
    <t xml:space="preserve">['[6,6]-phenyl C_{61} butyric acid methyl ester']</t>
  </si>
  <si>
    <t xml:space="preserve">{"power conversion efficiency": {"entity_name": "power conversion efficiency", "entity_start": 25, "entity_end": 27, "property_value_start": 52, "property_value_end": 53, "property_numeric_value": 2.22,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</si>
  <si>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10.1016/j.polymer.2013.09.012</t>
  </si>
  <si>
    <t xml:space="preserve">P(DTP-DPPD)</t>
  </si>
  <si>
    <t xml:space="preserve">['P(DTP-DPPD)']</t>
  </si>
  <si>
    <t xml:space="preserve">{"power conversion efficiency": {"entity_name": "PCE", "entity_start": 247, "entity_end": 247, "property_value_start": 253, "property_value_end": 254, "property_numeric_value": 1.64, "property_unit": "%", "property_value_descriptor": ""}, "open circuit voltage": {}, "short circuit current": {}, "fill factor": {}, "highest occupied molecular orbital": {"entity_name": "HOMO", "entity_start": 125, "entity_end": 125, "property_value_start": 142, "property_value_end": 143, "property_numeric_value": -5.55, "property_unit": "eV", "property_value_descriptor": ""}, "lowest unoccupied molecular orbital": {"entity_name": "LUMO", "entity_start": 157, "entity_end": 157, "property_value_start": 164, "property_value_end": 165, "property_numeric_value": -3.46, "property_unit": "eV", "property_value_descriptor": ""}, "bandgap": {}, "hole mobility": {}, "electron mobility": {}, "external quantum efficiency": {}}</t>
  </si>
  <si>
    <t xml:space="preserve">10.1016/j.synthmet.2013.08.019</t>
  </si>
  <si>
    <t xml:space="preserve">['poly(3-hexylthiopene)', 'P3HT']</t>
  </si>
  <si>
    <t xml:space="preserve">methyl 4-[6,6]-C61-benzoate</t>
  </si>
  <si>
    <t xml:space="preserve">{"power conversion efficiency": {"entity_name": "PCE", "entity_start": 142, "entity_end": 142, "property_value_start": 145, "property_value_end": 146, "property_numeric_value": 90.0,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</si>
  <si>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10.1002/pola.26923</t>
  </si>
  <si>
    <t xml:space="preserve">poly(thienylene vinylene)</t>
  </si>
  <si>
    <t xml:space="preserve">['poly(thienylene vinylene)']</t>
  </si>
  <si>
    <t xml:space="preserve">{"power conversion efficiency": {}, "open circuit voltage": {"entity_name": "V_{OC}", "entity_start": 153, "entity_end": 154, "property_value_start": 164, "property_value_end": 165, "property_numeric_value": 0.62, "property_unit": "V", "property_value_descriptor": ""}, "short circuit current": {"entity_name": "J_{SC}", "entity_start": 174, "entity_end": 175, "property_value_start": 189, "property_value_end": 191, "property_numeric_value": 1.01, "property_unit": "mA cm^{-2}", "property_value_descriptor": ""}, "fill factor": {}, "highest occupied molecular orbital": {"entity_name": "HOMO levels", "entity_start": 109, "entity_end": 110, "property_value_start": 115, "property_value_end": 116, "property_numeric_value": -5.16, "property_unit": "eV", "property_value_descriptor": ""}, "lowest unoccupied molecular orbital": {"entity_name": "LUMO energy levels", "entity_start": 92, "entity_end": 94, "property_value_start": 105, "property_value_end": 106, "property_numeric_value": -3.43, "property_unit": "eV", "property_value_descriptor": ""}, "bandgap": {"entity_name": "optical bandgaps", "entity_start": 74, "entity_end": 75, "property_value_start": 77, "property_value_end": 79, "property_numeric_value": 1.78, "property_unit": "eV", "property_value_descriptor": "and"}, "hole mobility": {}, "electron mobility": {}, "external quantum efficiency": {}}</t>
  </si>
  <si>
    <t xml:space="preserve">PTVs</t>
  </si>
  <si>
    <t xml:space="preserve">['PTVs']</t>
  </si>
  <si>
    <t xml:space="preserve">{"power conversion efficiency": {"entity_name": "power conversion efficiency", "entity_start": 203, "entity_end": 205, "property_value_start": 221, "property_value_end": 222, "property_numeric_value": 0.86,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</si>
  <si>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10.1039/c3cp54022g</t>
  </si>
  <si>
    <t xml:space="preserve">benzo[1,2-b:4,5-b']dithiophene</t>
  </si>
  <si>
    <t xml:space="preserve">{"power conversion efficiency": {"entity_name": "PCE", "entity_start": 85, "entity_end": 85, "property_value_start": 88, "property_value_end": 89, "property_numeric_value": 5.3,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</si>
  <si>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10.1016/j.solmat.2013.08.026</t>
  </si>
  <si>
    <t xml:space="preserve">{"power conversion efficiency": {"entity_name": "PCE", "entity_start": 127, "entity_end": 127, "property_value_start": 130, "property_value_end": 131, "property_numeric_value": 3.86, "property_unit": "%", "property_value_descriptor": ""}, "open circuit voltage": {"entity_name": "V_{oc}", "entity_start": 104, "entity_end": 105, "property_value_start": 108, "property_value_end": 109, "property_numeric_value": 0.68, "property_unit": "V", "property_value_descriptor": ""}, "short circuit current": {}, "fill factor": {"entity_name": "FF", "entity_start": 115, "entity_end": 115, "property_value_start": 118, "property_value_end": 119, "property_numeric_value": 64.0,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</si>
  <si>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10.1016/j.tsf.2013.11.096</t>
  </si>
  <si>
    <t xml:space="preserve">['phenyl-C_{61}-butyric acid methylester', 'P3HT']</t>
  </si>
  <si>
    <t xml:space="preserve">{"power conversion efficiency": {"entity_name": "PCE", "entity_start": 124, "entity_end": 124, "property_value_start": 125, "property_value_end": 126, "property_numeric_value": 3.44,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</si>
  <si>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10.1016/j.orgel.2013.11.043</t>
  </si>
  <si>
    <t xml:space="preserve">{"power conversion efficiency": {"entity_name": "PCE", "entity_start": 103, "entity_end": 103, "property_value_start": 106, "property_value_end": 107, "property_numeric_value": 4.12,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</si>
  <si>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10.1016/j.mee.2014.01.015</t>
  </si>
  <si>
    <t xml:space="preserve">poly(3,4-ethylenedioxythiophane)</t>
  </si>
  <si>
    <t xml:space="preserve">['poly(3,4-ethylenedioxythiophane)']</t>
  </si>
  <si>
    <t xml:space="preserve">poly-styrenesulfonate</t>
  </si>
  <si>
    <t xml:space="preserve">['poly-styrenesulfonate', 'PEDOT']</t>
  </si>
  <si>
    <t xml:space="preserve">{"power conversion efficiency": {"entity_name": "PCE", "entity_start": 34, "entity_end": 34, "property_value_start": 39, "property_value_end": 40, "property_numeric_value": 9.5, "property_unit": "%", "property_value_descriptor": ""}, "open circuit voltage": {"entity_name": "V_{OC}", "entity_start": 119, "entity_end": 120, "property_value_start": 135, "property_value_end": 136, "property_numeric_value": 0.565, "property_unit": "V", "property_value_descriptor": ""}, "short circuit current": {"entity_name": "J_{SC}", "entity_start": 129, "entity_end": 130, "property_value_start": 138, "property_value_end": 142, "property_numeric_value": 28.4,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</si>
  <si>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10.1016/j.orgel.2014.02.001</t>
  </si>
  <si>
    <t xml:space="preserve">NTCDA</t>
  </si>
  <si>
    <t xml:space="preserve">{"power conversion efficiency": {"entity_name": "power conversion efficiency", "entity_start": 99, "entity_end": 101, "property_value_start": 103, "property_value_end": 104, "property_numeric_value": 3.8,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</si>
  <si>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10.1039/c5cp00417a</t>
  </si>
  <si>
    <t xml:space="preserve">poly[N-9''-hepta-decanyl-2,7-carbazolealt-5,5-(4',7'-di-2-thienyl-2',1',3'-ben-zothiadiazole)]</t>
  </si>
  <si>
    <t xml:space="preserve">["poly[N-9''-hepta-decanyl-2,7-carbazolealt-5,5-(4',7'-di-2-thienyl-2',1',3'-ben-zothiadiazole)]", 'PCDTBT']</t>
  </si>
  <si>
    <t xml:space="preserve">{"power conversion efficiency": {"entity_name": "PCE", "entity_start": 54, "entity_end": 54, "property_value_start": 57, "property_value_end": 58, "property_numeric_value": 6.94,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</si>
  <si>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10.1016/j.solmat.2011.01.045</t>
  </si>
  <si>
    <t xml:space="preserve">{"power conversion efficiency": {"entity_name": "power conversion efficiency", "entity_start": 114, "entity_end": 116, "property_value_start": 150, "property_value_end": 151, "property_numeric_value": 3.44, "property_unit": "%", "property_value_descriptor": ""}, "open circuit voltage": {"entity_name": "open circuit voltage", "entity_start": 153, "entity_end": 155, "property_value_start": 157, "property_value_end": 158, "property_numeric_value": 0.64, "property_unit": "V", "property_value_descriptor": ""}, "short circuit current": {"entity_name": "short circuit current", "entity_start": 160, "entity_end": 162, "property_value_start": 164, "property_value_end": 168, "property_numeric_value": 8.02, "property_unit": "mA/cm^{2}", "property_value_descriptor": ""}, "fill factor": {"entity_name": "fill-factor", "entity_start": 170, "entity_end": 172, "property_value_start": 174, "property_value_end": 174, "property_numeric_value": 67.0,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</si>
  <si>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10.1039/c6ra14537j</t>
  </si>
  <si>
    <t xml:space="preserve">{"power conversion efficiency": {"entity_name": "power conversion efficiencies", "entity_start": 160, "entity_end": 162, "property_value_start": 176, "property_value_end": 177, "property_numeric_value": 7.21, "property_unit": "%", "property_value_descriptor": ""}, "open circuit voltage": {}, "short circuit current": {}, "fill factor": {}, "highest occupied molecular orbital": {}, "lowest unoccupied molecular orbital": {}, "bandgap": {"entity_name": "bandgap", "entity_start": 127, "entity_end": 127, "property_value_start": 132, "property_value_end": 133, "property_numeric_value": 1.11, "property_unit": "eV", "property_value_descriptor": ""}, "hole mobility": {}, "electron mobility": {}, "external quantum efficiency": {}}</t>
  </si>
  <si>
    <t xml:space="preserve">10.1016/j.synthmet.2016.07.004</t>
  </si>
  <si>
    <t xml:space="preserve">{"power conversion efficiency": {"entity_name": "PCE", "entity_start": 164, "entity_end": 164, "property_value_start": 166, "property_value_end": 167, "property_numeric_value": 3.33,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</si>
  <si>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10.1016/j.polymer.2011.02.029</t>
  </si>
  <si>
    <t xml:space="preserve">6,6)-phenyl-C_{71}-butyric aci</t>
  </si>
  <si>
    <t xml:space="preserve">{"power conversion efficiency": {"entity_name": "PCE", "entity_start": 147, "entity_end": 147, "property_value_start": 161, "property_value_end": 162, "property_numeric_value": 2.42, "property_unit": "%", "property_value_descriptor": ""}, "open circuit voltage": {}, "short circuit current": {}, "fill factor": {}, "highest occupied molecular orbital": {"entity_name": "HOMO", "entity_start": 88, "entity_end": 88, "property_value_start": 92, "property_value_end": 93, "property_numeric_value": 5.1, "property_unit": "eV", "property_value_descriptor": "~"}, "lowest unoccupied molecular orbital": {}, "bandgap": {}, "hole mobility": {}, "electron mobility": {}, "external quantum efficiency": {}}</t>
  </si>
  <si>
    <t xml:space="preserve">10.1016/j.solmat.2006.10.014</t>
  </si>
  <si>
    <t xml:space="preserve">(OC_{10})_{2}-spiro-PFV-co-MEH-PPV</t>
  </si>
  <si>
    <t xml:space="preserve">['(OC_{10})_{2}-spiro-PFV-co-MEH-PPV]', '(OC_{10})_{2}-spiro-PFV-co-MEH-PPV']</t>
  </si>
  <si>
    <t xml:space="preserve">{"power conversion efficiency": {"entity_name": "PCE", "entity_start": 146, "entity_end": 146, "property_value_start": 148, "property_value_end": 149, "property_numeric_value": 1.3,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</si>
  <si>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10.1016/j.solmat.2016.07.039</t>
  </si>
  <si>
    <t xml:space="preserve">thieno[3,4-b]-thiophene</t>
  </si>
  <si>
    <t xml:space="preserve">['thieno[3,4-b]-thiophene']</t>
  </si>
  <si>
    <t xml:space="preserve">{"power conversion efficiency": {"entity_name": "power conversion efficiency", "entity_start": 208, "entity_end": 210, "property_value_start": 212, "property_value_end": 213, "property_numeric_value": 8.4,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</si>
  <si>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10.1039/c2ta01143c</t>
  </si>
  <si>
    <t xml:space="preserve">PzNDTTPD</t>
  </si>
  <si>
    <t xml:space="preserve">['PzNDTTPD']</t>
  </si>
  <si>
    <t xml:space="preserve">{"power conversion efficiency": {"entity_name": "power conversion efficiency", "entity_start": 36, "entity_end": 38, "property_value_start": 40, "property_value_end": 41, "property_numeric_value": 5.3, "property_unit": "%", "property_value_descriptor": ""}, "open circuit voltage": {"entity_name": "V_{oc}", "entity_start": 45, "entity_end": 46, "property_value_start": 48, "property_value_end": 49, "property_numeric_value": 0.9,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</si>
  <si>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10.1039/c7ta04530a</t>
  </si>
  <si>
    <t xml:space="preserve">{"power conversion efficiency": {"entity_name": "power conversion efficiency", "entity_start": 108, "entity_end": 110, "property_value_start": 112, "property_value_end": 113, "property_numeric_value": 9.15,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</si>
  <si>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10.1039/c2ta00975g</t>
  </si>
  <si>
    <t xml:space="preserve">{"power conversion efficiency": {"entity_name": "power conversion efficiency", "entity_start": 80, "entity_end": 82, "property_value_start": 91, "property_value_end": 94, "property_numeric_value": 4.105, "property_unit": "%", "property_value_descriptor": "-"}, "open circuit voltage": {"entity_name": "V_{OC}", "entity_start": 104, "entity_end": 105, "property_value_start": 108, "property_value_end": 109, "property_numeric_value": 0.14,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</si>
  <si>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10.1016/j.orgel.2012.11.013</t>
  </si>
  <si>
    <t xml:space="preserve">poly(3,4-ethylenedioxylenethiophene</t>
  </si>
  <si>
    <t xml:space="preserve">['poly(3,4-ethylenedioxylenethiophene']</t>
  </si>
  <si>
    <t xml:space="preserve">{"power conversion efficiency": {"entity_name": "PCE", "entity_start": 280, "entity_end": 280, "property_value_start": 314, "property_value_end": 315, "property_numeric_value": 1.35,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</si>
  <si>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10.1016/j.synthmet.2012.10.022</t>
  </si>
  <si>
    <t xml:space="preserve">{"power conversion efficiency": {"entity_name": "power conversion efficiency", "entity_start": 25, "entity_end": 27, "property_value_start": 29, "property_value_end": 30, "property_numeric_value": 6.64,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</si>
  <si>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10.1016/j.dyepig.2017.07.007</t>
  </si>
  <si>
    <t xml:space="preserve">PBDT(T)TPD</t>
  </si>
  <si>
    <t xml:space="preserve">['PBDT(T)TPD']</t>
  </si>
  <si>
    <t xml:space="preserve">PBDT(T)TPD; naphthalene diimide; - NDI</t>
  </si>
  <si>
    <t xml:space="preserve">{"power conversion efficiency": {"entity_name": "PCE", "entity_start": 217, "entity_end": 217, "property_value_start": 220, "property_value_end": 221, "property_numeric_value": 5.4, "property_unit": "%", "property_value_descriptor": ""}, "open circuit voltage": {"entity_name": "V oc", "entity_start": 205, "entity_end": 206, "property_value_start": 209, "property_value_end": 210, "property_numeric_value": 1.05, "property_unit": "V", "property_value_descriptor": ""}, "short circuit current": {"entity_name": "J sc", "entity_start": 189, "entity_end": 190, "property_value_start": 193, "property_value_end": 197, "property_numeric_value": 9.1,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</si>
  <si>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10.1016/j.solmat.2012.11.014</t>
  </si>
  <si>
    <t xml:space="preserve">{"power conversion efficiency": {"entity_name": "PCE", "entity_start": 143, "entity_end": 143, "property_value_start": 158, "property_value_end": 159, "property_numeric_value": 2.77,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</si>
  <si>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10.1002/pola.26525</t>
  </si>
  <si>
    <t xml:space="preserve">poly[(9,9'-didecylfluorene-2,7-diyl)-co-(4,7'-di-2-thienyl- 2',1',3'-benzothiadiazole-5,5-diyl)-co-(pyrene-1,6-diyl)]</t>
  </si>
  <si>
    <t xml:space="preserve">["poly[(9,9'-didecylfluorene-2,7-diyl)-co-(4,7'-di-2-thienyl- 2',1',3'-benzothiadiazole-5,5-diyl)-co-(pyrene-1,6-diyl)]"]</t>
  </si>
  <si>
    <t xml:space="preserve">{"power conversion efficiency": {"entity_name": "PCEs", "entity_start": 145, "entity_end": 145, "property_value_start": 153, "property_value_end": 156, "property_numeric_value": 2.68, "property_unit": "%", "property_value_descriptor": "-"}, "open circuit voltage": {}, "short circuit current": {}, "fill factor": {}, "highest occupied molecular orbital": {}, "lowest unoccupied molecular orbital": {}, "bandgap": {}, "hole mobility": {"entity_name": "hole mobilities", "entity_start": 65, "entity_end": 66, "property_value_start": 77, "property_value_end": 91, "property_numeric_value": -0.00036500000000000004, "property_unit": "cm^{2} V^{-1} s^{-1}", "property_value_descriptor": ""}, "electron mobility": {}, "external quantum efficiency": {}}</t>
  </si>
  <si>
    <t xml:space="preserve">poly[9,9'-didecylfluorene-alt-5,5-(4',7'-di-2-thienyl-2',1',3'-benzothiadiazole)]</t>
  </si>
  <si>
    <t xml:space="preserve">CCCCCCCCC7(CCCCCCCC)c1cc([*])ccc1c6ccc(c5ccc(c3ccc(c2ccc([*])s2)c4nsnc34)s5)cc67</t>
  </si>
  <si>
    <t xml:space="preserve">["poly[9,9'-didecylfluorene-alt-5,5-(4',7'-di-2-thienyl-2',1',3'-benzothiadiazole)]", 'PFDTBT']</t>
  </si>
  <si>
    <t xml:space="preserve">{"power conversion efficiency": {"entity_name": "PCE", "entity_start": 194, "entity_end": 194, "property_value_start": 196, "property_value_end": 197, "property_numeric_value": 3.37, "property_unit": "%", "property_value_descriptor": ""}, "open circuit voltage": {"entity_name": "open circuit voltage", "entity_start": 210, "entity_end": 212, "property_value_start": 214, "property_value_end": 215, "property_numeric_value": 0.86, "property_unit": "V", "property_value_descriptor": ""}, "short circuit current": {"entity_name": "short circuit current", "entity_start": 200, "entity_end": 202, "property_value_start": 204, "property_value_end": 207, "property_numeric_value": 9.15, "property_unit": "mA cm^{-2}", "property_value_descriptor": ""}, "fill factor": {"entity_name": "fill factor", "entity_start": 219, "entity_end": 220, "property_value_start": 222, "property_value_end": 222, "property_numeric_value": 43.0,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</si>
  <si>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10.1016/j.orgel.2018.05.048</t>
  </si>
  <si>
    <t xml:space="preserve">PCPDffPhSO_{3}K</t>
  </si>
  <si>
    <t xml:space="preserve">['PCPDffPhSO_{3}K']</t>
  </si>
  <si>
    <t xml:space="preserve">(styrenesulfonate)</t>
  </si>
  <si>
    <t xml:space="preserve">['(styrenesulfonate)', 'PEDOT']</t>
  </si>
  <si>
    <t xml:space="preserve">{"power conversion efficiency": {"entity_name": "PCE", "entity_start": 234, "entity_end": 234, "property_value_start": 237, "property_value_end": 238, "property_numeric_value": 9.5,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</si>
  <si>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PSS</t>
  </si>
  <si>
    <t xml:space="preserve">O=S(=O)(O)c1ccc(C(C[*])[*])cc1</t>
  </si>
  <si>
    <t xml:space="preserve">['PSS']</t>
  </si>
  <si>
    <t xml:space="preserve">{"power conversion efficiency": {"entity_name": "PCE", "entity_start": 256, "entity_end": 256, "property_value_start": 258, "property_value_end": 259, "property_numeric_value": 8.6,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</si>
  <si>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10.1016/j.orgel.2018.05.047</t>
  </si>
  <si>
    <t xml:space="preserve">NDT</t>
  </si>
  <si>
    <t xml:space="preserve">{"power conversion efficiency": {"entity_name": "PCE", "entity_start": 183, "entity_end": 183, "property_value_start": 204, "property_value_end": 205, "property_numeric_value": 1.93,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</si>
  <si>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10.1016/j.orgel.2013.01.008</t>
  </si>
  <si>
    <t xml:space="preserve">{"power conversion efficiency": {"entity_name": "PCE", "entity_start": 217, "entity_end": 217, "property_value_start": 219, "property_value_end": 220, "property_numeric_value": 5.59,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</si>
  <si>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10.1016/j.orgel.2017.02.020</t>
  </si>
  <si>
    <t xml:space="preserve">{"power conversion efficiency": {"entity_name": "PCE", "entity_start": 101, "entity_end": 101, "property_value_start": 120, "property_value_end": 121, "property_numeric_value": 7.1,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</si>
  <si>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poly[(ethylhexyl-thiophenyl)-benzodithiophene-(ethylhexyl)-thienothiophene]</t>
  </si>
  <si>
    <t xml:space="preserve">['poly[(ethylhexyl-thiophenyl)-benzodithiophene-(ethylhexyl)-thienothiophene]']</t>
  </si>
  <si>
    <t xml:space="preserve">{"power conversion efficiency": {"entity_name": "PCE", "entity_start": 101, "entity_end": 101, "property_value_start": 144, "property_value_end": 145, "property_numeric_value": 7.69,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</si>
  <si>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10.1016/j.polymer.2014.02.046</t>
  </si>
  <si>
    <t xml:space="preserve">PFBTA-4 T</t>
  </si>
  <si>
    <t xml:space="preserve">['PFBTA-3 T', 'PFBTA-4 T']</t>
  </si>
  <si>
    <t xml:space="preserve">{"power conversion efficiency": {"entity_name": "power conversion efficiencies", "entity_start": 231, "entity_end": 233, "property_value_start": 238, "property_value_end": 239, "property_numeric_value": 2.51, "property_unit": "%", "property_value_descriptor": ""}, "open circuit voltage": {}, "short circuit current": {}, "fill factor": {}, "highest occupied molecular orbital": {"entity_name": "HOMO levels", "entity_start": 97, "entity_end": 98, "property_value_start": 106, "property_value_end": 109, "property_numeric_value": -5.4, "property_unit": "eV", "property_value_descriptor": "and"}, "lowest unoccupied molecular orbital": {"entity_name": "LUMO levels", "entity_start": 115, "entity_end": 116, "property_value_start": 118, "property_value_end": 121, "property_numeric_value": -3.775, "property_unit": "eV", "property_value_descriptor": "and"}, "bandgap": {"entity_name": "band gaps", "entity_start": 86, "entity_end": 87, "property_value_start": 89, "property_value_end": 90, "property_numeric_value": 1.83, "property_unit": "eV", "property_value_descriptor": ""}, "hole mobility": {"entity_name": "hole mobilities", "entity_start": 144, "entity_end": 145, "property_value_start": 152, "property_value_end": 161, "property_numeric_value": 0.0131, "property_unit": "cm^{2} V^{-1} s^{-1}", "property_value_descriptor": ""}, "electron mobility": {}, "external quantum efficiency": {}}</t>
  </si>
  <si>
    <t xml:space="preserve">10.1080/15421406.2014.932658</t>
  </si>
  <si>
    <t xml:space="preserve">DINIBT-C8</t>
  </si>
  <si>
    <t xml:space="preserve">['DINIBT-C8']</t>
  </si>
  <si>
    <t xml:space="preserve">{"power conversion efficiency": {"entity_name": "PCE", "entity_start": 216, "entity_end": 216, "property_value_start": 218, "property_value_end": 219, "property_numeric_value": 0.16,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</si>
  <si>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10.1039/c8ta11637g</t>
  </si>
  <si>
    <t xml:space="preserve">FOIC</t>
  </si>
  <si>
    <t xml:space="preserve">CCCCCCc%16ccc(C8(c1ccc(CCCCCC)cc1)c4c(sc5cc(C=c3c(=O)c2cc(F)ccc2c3=C(C#N)C#N)sc45)c7sc6c%13c(sc6c78)c%12sc%11cc(C=c%10c(=O)c9cc(F)ccc9c%10=C(C#N)C#N)sc%11c%12C%13(c%14ccc(CCCCCC)cc%14)c%15ccc(CCCCCC)cc%15)cc%16</t>
  </si>
  <si>
    <t xml:space="preserve">['FOIC']</t>
  </si>
  <si>
    <t xml:space="preserve">{"power conversion efficiency": {"entity_name": "power conversion efficiency", "entity_start": 127, "entity_end": 129, "property_value_start": 142, "property_value_end": 143, "property_numeric_value": 12.1,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</si>
  <si>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10.1002/pola.24779</t>
  </si>
  <si>
    <t xml:space="preserve">DTS-CN</t>
  </si>
  <si>
    <t xml:space="preserve">['DTS-CN']</t>
  </si>
  <si>
    <t xml:space="preserve">{"power conversion efficiency": {"entity_name": "PCE", "entity_start": 221, "entity_end": 221, "property_value_start": 225, "property_value_end": 226, "property_numeric_value": 2.25, "property_unit": "%", "property_value_descriptor": ""}, "open circuit voltage": {}, "short circuit current": {"entity_name": "J_{sc}", "entity_start": 234, "entity_end": 235, "property_value_start": 237, "property_value_end": 241, "property_numeric_value": 8.39, "property_unit": "mA/cm^{2}", "property_value_descriptor": ""}, "fill factor": {"entity_name": "FF", "entity_start": 244, "entity_end": 244, "property_value_start": 246, "property_value_end": 246, "property_numeric_value": 36.0, "property_unit": "%", "property_value_descriptor": ""}, "highest occupied molecular orbital": {"entity_name": "HOMO) level", "entity_start": 79, "entity_end": 81, "property_value_start": 84, "property_value_end": 85, "property_numeric_value": -5.3, "property_unit": "eV", "property_value_descriptor": ""}, "lowest unoccupied molecular orbital": {"entity_name": "LUMO) level", "entity_start": 93, "entity_end": 95, "property_value_start": 98, "property_value_end": 99, "property_numeric_value": -3.6, "property_unit": "eV", "property_value_descriptor": ""}, "bandgap": {}, "hole mobility": {}, "electron mobility": {}, "external quantum efficiency": {}}</t>
  </si>
  <si>
    <t xml:space="preserve">10.1039/c9ta04237g</t>
  </si>
  <si>
    <t xml:space="preserve">PBDB-T-SF</t>
  </si>
  <si>
    <t xml:space="preserve">[*]c%10ccc(c8sc(c6ccc(c5cc4c(c1cc(F)c(SC(CC)CCCC)s1)c2sc([*])cc2c(c3cc(F)c(SC(CC)CCCC)s3)c4s5)s6)c9c(=O)c7c(CC(CC)CCCC)sc(CC(CC)CCCC)c7c(=O)c89)s%10</t>
  </si>
  <si>
    <t xml:space="preserve">['PBDB-T-SF']</t>
  </si>
  <si>
    <t xml:space="preserve">PDBT(E)BTz-p</t>
  </si>
  <si>
    <t xml:space="preserve">['PDBT(E)BTz-p', 'PDBT(E)BTz-d']</t>
  </si>
  <si>
    <t xml:space="preserve">{"power conversion efficiency": {"entity_name": "PCE", "entity_start": 130, "entity_end": 130, "property_value_start": 132, "property_value_end": 133, "property_numeric_value": 7.81, "property_unit": "%", "property_value_descriptor": ""}, "open circuit voltage": {"entity_name": "V_{OC}", "entity_start": 105, "entity_end": 106, "property_value_start": 108, "property_value_end": 109, "property_numeric_value": 0.98,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</si>
  <si>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10.1002/pola.24790</t>
  </si>
  <si>
    <t xml:space="preserve">PTEHTBT</t>
  </si>
  <si>
    <t xml:space="preserve">['PTEHTBT']</t>
  </si>
  <si>
    <t xml:space="preserve">{"power conversion efficiency": {"entity_name": "Power conversion efficiency", "entity_start": 156, "entity_end": 158, "property_value_start": 167, "property_value_end": 168, "property_numeric_value": 1.32,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</si>
  <si>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10.1016/j.synthmet.2011.05.022</t>
  </si>
  <si>
    <t xml:space="preserve">PNTzTz</t>
  </si>
  <si>
    <t xml:space="preserve">["poly{(2,5-bis(3-decylthiophen-2-yl)thiazolo[5,4-d]thiazole-5,5'-diyl)-alt-(2,6-[(1,5-didecyloxy)naphthalene])}", 'PNTzTz']</t>
  </si>
  <si>
    <t xml:space="preserve">{"power conversion efficiency": {"entity_name": "power conversion efficiency", "entity_start": 163, "entity_end": 165, "property_value_start": 168, "property_value_end": 169, "property_numeric_value": 0.99, "property_unit": "%", "property_value_descriptor": ""}, "open circuit voltage": {"entity_name": "open circuit voltage", "entity_start": 183, "entity_end": 185, "property_value_start": 187, "property_value_end": 188, "property_numeric_value": 0.96, "property_unit": "V", "property_value_descriptor": ""}, "short circuit current": {"entity_name": "short circuit current density", "entity_start": 172, "entity_end": 175, "property_value_start": 177, "property_value_end": 180, "property_numeric_value": 3.3, "property_unit": "mA cm^{-2}", "property_value_descriptor": ""}, "fill factor": {"entity_name": "fill factor", "entity_start": 191, "entity_end": 192, "property_value_start": 194, "property_value_end": 194, "property_numeric_value": 33.0,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</si>
  <si>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10.1016/j.solmat.2013.06.035</t>
  </si>
  <si>
    <t xml:space="preserve">PT4TV</t>
  </si>
  <si>
    <t xml:space="preserve">[*]c5ccc(c4ccc(c2sc(c1ccc([*])s1)cc2/C=C/c3ccc(CC(CCCCCC)CCCCCCCC)s3)s4)s5</t>
  </si>
  <si>
    <t xml:space="preserve">['PT4TV']</t>
  </si>
  <si>
    <t xml:space="preserve">PPDI-DTT</t>
  </si>
  <si>
    <t xml:space="preserve">[*]c%10cc9sc8cc(c1cc4c(=O)n(C(CCCCCCCCCCCC)CCCCCCCCCCCC)c(=O)c3ccc2c5c([*])cc7c(=O)n(CC(CCCCCCCCCCCC)CCCCCCCCCCCC)c(=O)c6ccc(c1c2c34)c5c67)sc8c9s%10</t>
  </si>
  <si>
    <t xml:space="preserve">['PPDI-DTT']</t>
  </si>
  <si>
    <t xml:space="preserve">{"power conversion efficiency": {"entity_name": "PCE", "entity_start": 147, "entity_end": 147, "property_value_start": 156, "property_value_end": 157, "property_numeric_value": 1.17, "property_unit": "%", "property_value_descriptor": ""}, "open circuit voltage": {}, "short circuit current": {}, "fill factor": {"entity_name": "fill factor", "entity_start": 107, "entity_end": 108, "property_value_start": 112, "property_value_end": 113, "property_numeric_value": 50.0,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</si>
  <si>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10.1002/pc.23486</t>
  </si>
  <si>
    <t xml:space="preserve">poly(3,4 ethylenedioxythiophene)</t>
  </si>
  <si>
    <t xml:space="preserve">['poly(3,4 ethylenedioxythiophene)']</t>
  </si>
  <si>
    <t xml:space="preserve">{"power conversion efficiency": {"entity_name": "power conversion efficiency", "entity_start": 243, "entity_end": 245, "property_value_start": 260, "property_value_end": 261,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</si>
  <si>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10.1039/c8ta01765d</t>
  </si>
  <si>
    <t xml:space="preserve">Co-3MT</t>
  </si>
  <si>
    <t xml:space="preserve">['Co-3MT']</t>
  </si>
  <si>
    <t xml:space="preserve">{"power conversion efficiency": {"entity_name": "power conversion efficiency", "entity_start": 91, "entity_end": 93, "property_value_start": 95, "property_value_end": 96, "property_numeric_value": 7.66,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</si>
  <si>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10.1039/c6ta07120a</t>
  </si>
  <si>
    <t xml:space="preserve">PM1</t>
  </si>
  <si>
    <t xml:space="preserve">['PM1']</t>
  </si>
  <si>
    <t xml:space="preserve">{"power conversion efficiency": {"entity_name": "PCE", "entity_start": 151, "entity_end": 151, "property_value_start": 153, "property_value_end": 156, "property_numeric_value": 6.2,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</si>
  <si>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PM2</t>
  </si>
  <si>
    <t xml:space="preserve">['PM2']</t>
  </si>
  <si>
    <t xml:space="preserve">{"power conversion efficiency": {"entity_name": "PCE", "entity_start": 162, "entity_end": 162, "property_value_start": 164, "property_value_end": 167, "property_numeric_value": 7.2,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</si>
  <si>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10.1039/c8ta05376f</t>
  </si>
  <si>
    <t xml:space="preserve">PFBZ</t>
  </si>
  <si>
    <t xml:space="preserve">['PFBZ']</t>
  </si>
  <si>
    <t xml:space="preserve">['N2200', 'N2200-based']</t>
  </si>
  <si>
    <t xml:space="preserve">{"power conversion efficiency": {"entity_name": "PCE", "entity_start": 236, "entity_end": 236, "property_value_start": 239, "property_value_end": 240, "property_numeric_value": 7.0, "property_unit": "%", "property_value_descriptor": ""}, "open circuit voltage": {"entity_name": "open-circuit voltage", "entity_start": 150, "entity_end": 153, "property_value_start": 155, "property_value_end": 156, "property_numeric_value": 0.9, "property_unit": "V", "property_value_descriptor": ""}, "short circuit current": {"entity_name": "short-circuit current density", "entity_start": 159, "entity_end": 163, "property_value_start": 165, "property_value_end": 168, "property_numeric_value": 13.5, "property_unit": "mA cm^{-2}", "property_value_descriptor": ""}, "fill factor": {"entity_name": "fill factor", "entity_start": 171, "entity_end": 172, "property_value_start": 174, "property_value_end": 175, "property_numeric_value": 67.0,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</si>
  <si>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10.1039/c8tc03024c</t>
  </si>
  <si>
    <t xml:space="preserve">{"power conversion efficiency": {"entity_name": "PCE", "entity_start": 285, "entity_end": 285, "property_value_start": 287, "property_value_end": 288, "property_numeric_value": 10.4,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</si>
  <si>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10.1002/marc.201700828</t>
  </si>
  <si>
    <t xml:space="preserve">{"power conversion efficiency": {"entity_name": "PCE", "entity_start": 67, "entity_end": 67, "property_value_start": 70, "property_value_end": 71, "property_numeric_value": 8.27,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</si>
  <si>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10.1039/c3tc30490f</t>
  </si>
  <si>
    <t xml:space="preserve">{"power conversion efficiency": {"entity_name": "PCE", "entity_start": 159, "entity_end": 159, "property_value_start": 175, "property_value_end": 176, "property_numeric_value": 3.62, "property_unit": "%", "property_value_descriptor": ""}, "open circuit voltage": {}, "short circuit current": {}, "fill factor": {}, "highest occupied molecular orbital": {}, "lowest unoccupied molecular orbital": {}, "bandgap": {"entity_name": "bandgap", "entity_start": 30, "entity_end": 30, "property_value_start": 32, "property_value_end": 33, "property_numeric_value": 1.9, "property_unit": "eV", "property_value_descriptor": "~"}, "hole mobility": {}, "electron mobility": {}, "external quantum efficiency": {}}</t>
  </si>
  <si>
    <t xml:space="preserve">10.1016/j.solmat.2014.03.042</t>
  </si>
  <si>
    <t xml:space="preserve">{"power conversion efficiency": {"entity_name": "PCE", "entity_start": 194, "entity_end": 194, "property_value_start": 196, "property_value_end": 197, "property_numeric_value": 1.73,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</si>
  <si>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10.1002/chem.201300445</t>
  </si>
  <si>
    <t xml:space="preserve">2,1,3-benzothiadiazole</t>
  </si>
  <si>
    <t xml:space="preserve">2,1,3-benzothiadiazole; dithienobenzodithiophenes</t>
  </si>
  <si>
    <t xml:space="preserve">{"power conversion efficiency": {"entity_name": "PCE", "entity_start": 142, "entity_end": 142, "property_value_start": 145, "property_value_end": 146, "property_numeric_value": 5.1,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</si>
  <si>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10.1039/c3ta11972f</t>
  </si>
  <si>
    <t xml:space="preserve">PFBTBr</t>
  </si>
  <si>
    <t xml:space="preserve">[*]c7ccc6c5ccc(c4sc(c2ccc(c1cc(CCCCCC)c([*])s1)c3nsnc23)cc4CCCCCC)cc5C(CCC[N+](C)(C)CC)(CCC[N+](C)(C)CC)c6c7.[Br-].[Br-]</t>
  </si>
  <si>
    <t xml:space="preserve">['PFBTBr']</t>
  </si>
  <si>
    <t xml:space="preserve">{"power conversion efficiency": {"entity_name": "PCE", "entity_start": 173, "entity_end": 173, "property_value_start": 208, "property_value_end": 209, "property_numeric_value": 2.4,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</si>
  <si>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10.1039/c2ee21481d</t>
  </si>
  <si>
    <t xml:space="preserve">['IC_{70}BA']</t>
  </si>
  <si>
    <t xml:space="preserve">{"power conversion efficiency": {"entity_name": "PCE", "entity_start": 146, "entity_end": 146, "property_value_start": 148, "property_value_end": 149, "property_numeric_value": 7.4, "property_unit": "%", "property_value_descriptor": ""}, "open circuit voltage": {"entity_name": "V_{oc}", "entity_start": 152, "entity_end": 153, "property_value_start": 155, "property_value_end": 156, "property_numeric_value": 0.87, "property_unit": "V", "property_value_descriptor": ""}, "short circuit current": {"entity_name": "J_{sc}", "entity_start": 122, "entity_end": 123, "property_value_start": 125, "property_value_end": 128, "property_numeric_value": 11.35, "property_unit": "mA cm^{-2}", "property_value_descriptor": ""}, "fill factor": {"entity_name": "FF", "entity_start": 160, "entity_end": 160, "property_value_start": 162, "property_value_end": 163, "property_numeric_value": 75.0,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</si>
  <si>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10.1016/j.dyepig.2019.107608</t>
  </si>
  <si>
    <t xml:space="preserve">BDTÎ²N</t>
  </si>
  <si>
    <t xml:space="preserve">['BDTÎ²N', 'PBDTÎ²NPDI']</t>
  </si>
  <si>
    <t xml:space="preserve">PDI; PBDTÎ²NPDI</t>
  </si>
  <si>
    <t xml:space="preserve">{"power conversion efficiency": {"entity_name": "power conversion efficiency", "entity_start": 130, "entity_end": 132, "property_value_start": 134, "property_value_end": 135, "property_numeric_value": 6.14, "property_unit": "%", "property_value_descriptor": ""}, "open circuit voltage": {}, "short circuit current": {"entity_name": "short circuit current density", "entity_start": 138, "entity_end": 141, "property_value_start": 143, "property_value_end": 146, "property_numeric_value": 13.89,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</si>
  <si>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PTBTz-2</t>
  </si>
  <si>
    <t xml:space="preserve">[*]c9cnc(c7sc(c6ncc(c5cc4c(c1ccc(CC(CC)CCCC)s1)c2sc([*])cc2c(c3ccc(CC(CC)CCCC)s3)c4s5)s6)c8sc(C(=O)OCC(CCCCCCCC)CCCCCCCCCC)cc78)s9</t>
  </si>
  <si>
    <t xml:space="preserve">['PTBTz-2']</t>
  </si>
  <si>
    <t xml:space="preserve">{"power conversion efficiency": {}, "open circuit voltage": {"entity_name": "open circuit voltage", "entity_start": 149, "entity_end": 151, "property_value_start": 153, "property_value_end": 154, "property_numeric_value": 0.88,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</si>
  <si>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10.1039/c7ta06332f</t>
  </si>
  <si>
    <t xml:space="preserve">P-TT</t>
  </si>
  <si>
    <t xml:space="preserve">[*]c7cc6sc(c4sc(C3=C(F)C(F)=C(c2cc(c1ccc(CC(CCCCCCCC)CCCCCCCCCC)s1)c([*])s2)CC3)cc4c5ccc(CC(CCCCCCCC)CCCCCCCCCC)s5)cc6s7</t>
  </si>
  <si>
    <t xml:space="preserve">['poly[(5,6-difluoro-2,1,3-benzothiadiazol-4,7-diyl)-alt-(2,5-bis(3-(2-decyltetradecyl)thiophene-5-yl)thiophen-2-yl)thieno[3,2-b]thiophene]', 'P-TT']</t>
  </si>
  <si>
    <t xml:space="preserve">{"power conversion efficiency": {"entity_name": "PCEs", "entity_start": 124, "entity_end": 124, "property_value_start": 128, "property_value_end": 129, "property_numeric_value": 9.0,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</si>
  <si>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10.1016/j.mattod.2017.10.003</t>
  </si>
  <si>
    <t xml:space="preserve">PDBD-T</t>
  </si>
  <si>
    <t xml:space="preserve">['PDBD-T']</t>
  </si>
  <si>
    <t xml:space="preserve">['dithiophene', 'ITIC']</t>
  </si>
  <si>
    <t xml:space="preserve">{"power conversion efficiency": {"entity_name": "PCE", "entity_start": 262, "entity_end": 262, "property_value_start": 265, "property_value_end": 266, "property_numeric_value": 8.98,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</si>
  <si>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3,9-bis(2-methylene-(3-(1,1-dicyanomethylene)-indanone))-5,5,11,11-tetrakis(4-hexylphenyl)-dithieno</t>
  </si>
  <si>
    <t xml:space="preserve">{"power conversion efficiency": {"entity_name": "PCE", "entity_start": 262, "entity_end": 262, "property_value_start": 268, "property_value_end": 269, "property_numeric_value": 10.86,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</si>
  <si>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10.1002/aenm.201600148</t>
  </si>
  <si>
    <t xml:space="preserve">PIDTT-TID</t>
  </si>
  <si>
    <t xml:space="preserve">['PIDTT-TID']</t>
  </si>
  <si>
    <t xml:space="preserve">{"power conversion efficiency": {"entity_name": "power conversion efficiency", "entity_start": 88, "entity_end": 90, "property_value_start": 92, "property_value_end": 93, "property_numeric_value": 6.7, "property_unit": "%", "property_value_descriptor": ""}, "open circuit voltage": {"entity_name": "open-circuit voltage", "entity_start": 97, "entity_end": 100, "property_value_start": 102, "property_value_end": 103, "property_numeric_value": 1.0,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</si>
  <si>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10.1002/adfm.201102360</t>
  </si>
  <si>
    <t xml:space="preserve">- cyclopenta[2,1-b;3,4-b0]dithiophene)-alt-4,7-(2,1,3-benzothiadia-zole</t>
  </si>
  <si>
    <t xml:space="preserve">['- cyclopenta[2,1-b;3,4-b0]dithiophene)-alt-4,7-(2,1,3-benzothiadia-zole', 'PCPDTBT']</t>
  </si>
  <si>
    <t xml:space="preserve">{"power conversion efficiency": {"entity_name": "power conversion efficiency", "entity_start": 121, "entity_end": 123, "property_value_start": 126, "property_value_end": 127, "property_numeric_value": 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</si>
  <si>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10.1002/aenm.201701125</t>
  </si>
  <si>
    <t xml:space="preserve">PTPTI-T70</t>
  </si>
  <si>
    <t xml:space="preserve">['PTPTI-T70']</t>
  </si>
  <si>
    <t xml:space="preserve">m</t>
  </si>
  <si>
    <t xml:space="preserve">['m']</t>
  </si>
  <si>
    <t xml:space="preserve">{"power conversion efficiency": {"entity_name": "power conversion efficiency", "entity_start": 185, "entity_end": 187, "property_value_start": 189, "property_value_end": 190, "property_numeric_value": 11.02, "property_unit": "%", "property_value_descriptor": ""}, "open circuit voltage": {}, "short circuit current": {"entity_name": "short-circuit current density", "entity_start": 194, "entity_end": 198, "property_value_start": 200, "property_value_end": 203, "property_numeric_value": 17.12,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</si>
  <si>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10.1039/c5cp00017c</t>
  </si>
  <si>
    <t xml:space="preserve">['P1', 'P3']</t>
  </si>
  <si>
    <t xml:space="preserve">{"power conversion efficiency": {"entity_name": "PCE", "entity_start": 228, "entity_end": 228, "property_value_start": 233, "property_value_end": 234, "property_numeric_value": 6.76, "property_unit": "%", "property_value_descriptor": ""}, "open circuit voltage": {}, "short circuit current": {}, "fill factor": {}, "highest occupied molecular orbital": {}, "lowest unoccupied molecular orbital": {}, "bandgap": {"entity_name": "optical bandgap", "entity_start": 72, "entity_end": 73, "property_value_start": 79, "property_value_end": 82, "property_numeric_value": 1.5550000000000002, "property_unit": "eV", "property_value_descriptor": "-"}, "hole mobility": {}, "electron mobility": {}, "external quantum efficiency": {}}</t>
  </si>
  <si>
    <t xml:space="preserve">{"power conversion efficiency": {"entity_name": "PCE", "entity_start": 228, "entity_end": 228, "property_value_start": 236, "property_value_end": 237, "property_numeric_value": 5.16, "property_unit": "%", "property_value_descriptor": ""}, "open circuit voltage": {}, "short circuit current": {}, "fill factor": {}, "highest occupied molecular orbital": {"entity_name": "HOMO", "entity_start": 127, "entity_end": 127, "property_value_start": 141, "property_value_end": 142, "property_numeric_value": -5.37, "property_unit": "eV", "property_value_descriptor": ""}, "lowest unoccupied molecular orbital": {}, "bandgap": {}, "hole mobility": {}, "electron mobility": {}, "external quantum efficiency": {}}</t>
  </si>
  <si>
    <t xml:space="preserve">10.1039/c5ee03684d</t>
  </si>
  <si>
    <t xml:space="preserve">PBDTT-S-TT-CF</t>
  </si>
  <si>
    <t xml:space="preserve">['PBDTT-S-TT-CF']</t>
  </si>
  <si>
    <t xml:space="preserve">{"power conversion efficiency": {"entity_name": "PCE", "entity_start": 204, "entity_end": 204, "property_value_start": 223, "property_value_end": 224, "property_numeric_value": 8.68, "property_unit": "%", "property_value_descriptor": ""}, "open circuit voltage": {"entity_name": "V_{oc}", "entity_start": 227, "entity_end": 228, "property_value_start": 230, "property_value_end": 231, "property_numeric_value": 0.78, "property_unit": "V", "property_value_descriptor": ""}, "short circuit current": {"entity_name": "J_{sc}", "entity_start": 235, "entity_end": 236, "property_value_start": 238, "property_value_end": 241, "property_numeric_value": 16.5, "property_unit": "mA cm^{-2}", "property_value_descriptor": ""}, "fill factor": {"entity_name": "FF", "entity_start": 198, "entity_end": 198, "property_value_start": 200, "property_value_end": 201, "property_numeric_value": 71.0,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</si>
  <si>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10.1039/c5ta10102f</t>
  </si>
  <si>
    <t xml:space="preserve">{"power conversion efficiency": {"entity_name": "PCE", "entity_start": 210, "entity_end": 210, "property_value_start": 212, "property_value_end": 213, "property_numeric_value": 8.8,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</si>
  <si>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10.1039/c4ee00022f</t>
  </si>
  <si>
    <t xml:space="preserve">{"power conversion efficiency": {"entity_name": "power conversion efficiency", "entity_start": 2, "entity_end": 4, "property_value_start": 17, "property_value_end": 18,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</si>
  <si>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10.1039/c5ta09701k</t>
  </si>
  <si>
    <t xml:space="preserve">['PC_{71}BM', 'PC_{61}BM']</t>
  </si>
  <si>
    <t xml:space="preserve">{"power conversion efficiency": {"entity_name": "PCEs", "entity_start": 257, "entity_end": 257, "property_value_start": 262, "property_value_end": 263, "property_numeric_value": 8.23,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</si>
  <si>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10.1039/c5ra23863c</t>
  </si>
  <si>
    <t xml:space="preserve">6,6)-phenyl-C_{61}-butyric aci</t>
  </si>
  <si>
    <t xml:space="preserve">{"power conversion efficiency": {"entity_name": "PCE", "entity_start": 214, "entity_end": 214, "property_value_start": 217, "property_value_end": 218, "property_numeric_value": 4.18,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</si>
  <si>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10.1021/acsami.8b13949</t>
  </si>
  <si>
    <t xml:space="preserve">HFAQx-T</t>
  </si>
  <si>
    <t xml:space="preserve">[*]c%11ccc(c9c(F)c(F)c(c6ccc(c5cc4c(c1ccc(CC(CC)CCCC)s1)c2sc([*])cc2c(c3ccc(CC(CC)CCCC)s3)c4s5)s6)c%10nc(c7cc(F)c(CC(CC)CCCC)c(F)c7)c(c8cc(F)c(CC(CC)CCCC)c(F)c8)nc9%10)s%11</t>
  </si>
  <si>
    <t xml:space="preserve">['HFAQx-T']</t>
  </si>
  <si>
    <t xml:space="preserve">{"power conversion efficiency": {"entity_name": "PCE", "entity_start": 201, "entity_end": 201, "property_value_start": 204, "property_value_end": 205, "property_numeric_value": 7.45,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</si>
  <si>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10.1039/c5ta10083f</t>
  </si>
  <si>
    <t xml:space="preserve">{"power conversion efficiency": {"entity_name": "PCEs", "entity_start": 82, "entity_end": 82, "property_value_start": 108, "property_value_end": 109, "property_numeric_value": 9.1,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</si>
  <si>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10.1016/j.orgel.2012.06.015</t>
  </si>
  <si>
    <t xml:space="preserve">PDHF-BT</t>
  </si>
  <si>
    <t xml:space="preserve">['PDHF-BT']</t>
  </si>
  <si>
    <t xml:space="preserve">{"power conversion efficiency": {"entity_name": "PCE", "entity_start": 114, "entity_end": 114, "property_value_start": 163, "property_value_end": 164, "property_numeric_value": 0.22, "property_unit": "%", "property_value_descriptor": ""}, "open circuit voltage": {"entity_name": "V_{oc}", "entity_start": 170, "entity_end": 171, "property_value_start": 198, "property_value_end": 199, "property_numeric_value": 0.4, "property_unit": "V", "property_value_descriptor": ""}, "short circuit current": {}, "fill factor": {}, "highest occupied molecular orbital": {"entity_name": "HOMO energy level", "entity_start": 38, "entity_end": 40, "property_value_start": 59, "property_value_end": 60, "property_numeric_value": -5.22, "property_unit": "eV", "property_value_descriptor": ""}, "lowest unoccupied molecular orbital": {"entity_name": "LUMO energy level", "entity_start": 65, "entity_end": 67, "property_value_start": 86, "property_value_end": 87, "property_numeric_value": -3.42, "property_unit": "eV", "property_value_descriptor": ""}, "bandgap": {}, "hole mobility": {}, "electron mobility": {}, "external quantum efficiency": {}}</t>
  </si>
  <si>
    <t xml:space="preserve">10.1007/s11426-018-9249-7</t>
  </si>
  <si>
    <t xml:space="preserve">P-BNBP-fBT</t>
  </si>
  <si>
    <t xml:space="preserve">['P-BNBP-fBT']</t>
  </si>
  <si>
    <t xml:space="preserve">P-BNBP-fBT; M_{D}</t>
  </si>
  <si>
    <t xml:space="preserve">{"power conversion efficiency": {"entity_name": "PCE", "entity_start": 124, "entity_end": 124, "property_value_start": 126, "property_value_end": 127, "property_numeric_value": 3.6,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</si>
  <si>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['P_{A}', 'P_{A})-typ', 'P_{A}-type']</t>
  </si>
  <si>
    <t xml:space="preserve">{"power conversion efficiency": {"entity_name": "PCE", "entity_start": 124, "entity_end": 124, "property_value_start": 129, "property_value_end": 130, "property_numeric_value": 3.86,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</si>
  <si>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10.1007/s11426-018-9371-0</t>
  </si>
  <si>
    <t xml:space="preserve">PBClT</t>
  </si>
  <si>
    <t xml:space="preserve">['PBClT', 'PBClT.']</t>
  </si>
  <si>
    <t xml:space="preserve">NDP-V-C7</t>
  </si>
  <si>
    <t xml:space="preserve">['NDP-V-C7']</t>
  </si>
  <si>
    <t xml:space="preserve">{"power conversion efficiency": {"entity_name": "PCE", "entity_start": 203, "entity_end": 203, "property_value_start": 205, "property_value_end": 206, "property_numeric_value": 9.03,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</si>
  <si>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10.1007/s11426-018-9350-4</t>
  </si>
  <si>
    <t xml:space="preserve">{"power conversion efficiency": {"entity_name": "PCE", "entity_start": 250, "entity_end": 250, "property_value_start": 255, "property_value_end": 256, "property_numeric_value": 4.49,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</si>
  <si>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10.1039/c6ta08268h</t>
  </si>
  <si>
    <t xml:space="preserve">[3,4-b]-thiophenediyl]]</t>
  </si>
  <si>
    <t xml:space="preserve">{"power conversion efficiency": {"entity_name": "power conversion efficiency", "entity_start": 54, "entity_end": 56, "property_value_start": 58, "property_value_end": 59, "property_numeric_value": 10.1,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</si>
  <si>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10.1002/aenm.201803394</t>
  </si>
  <si>
    <t xml:space="preserve">{"power conversion efficiency": {"entity_name": "PCE", "entity_start": 195, "entity_end": 195, "property_value_start": 197, "property_value_end": 198, "property_numeric_value": 11.0,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</si>
  <si>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10.1039/c3cc41084f</t>
  </si>
  <si>
    <t xml:space="preserve">['P3HT', 'PTB7']</t>
  </si>
  <si>
    <t xml:space="preserve">{"power conversion efficiency": {"entity_name": "PCE", "entity_start": 28, "entity_end": 28, "property_value_start": 33, "property_value_end": 34, "property_numeric_value": 6.1,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</si>
  <si>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10.1002/adma.201606396</t>
  </si>
  <si>
    <t xml:space="preserve">PTzBI-DT</t>
  </si>
  <si>
    <t xml:space="preserve">[*]c%10ccc(c8c1nn(CCCCCCCC)nc1c(c7ccc(c6cc5c(c2ccc(CC(CC)CCCC)s2)c3sc([*])cc3c(c4ccc(CC(CC)CCCC)s4)c5s6)s7)c9c(=O)n(CCCCCCCC)c(=O)c89)s%10</t>
  </si>
  <si>
    <t xml:space="preserve">['PTzBI', 'PTzBI-DT']</t>
  </si>
  <si>
    <t xml:space="preserve">{"power conversion efficiency": {"entity_name": "PCE", "entity_start": 166, "entity_end": 166, "property_value_start": 168, "property_value_end": 169, "property_numeric_value": 7.0,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</si>
  <si>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10.1039/c6ta11240d</t>
  </si>
  <si>
    <t xml:space="preserve">PIDTV-ffBT</t>
  </si>
  <si>
    <t xml:space="preserve">['PIDTV-ffBT', 'IDTV']</t>
  </si>
  <si>
    <t xml:space="preserve">{"power conversion efficiency": {"entity_name": "PCE", "entity_start": 133, "entity_end": 133, "property_value_start": 136, "property_value_end": 137, "property_numeric_value": 7.3, "property_unit": "%", "property_value_descriptor": ""}, "open circuit voltage": {}, "short circuit current": {"entity_name": "J_{sc}", "entity_start": 147, "entity_end": 148, "property_value_start": 151, "property_value_end": 153, "property_numeric_value": 17.1,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</si>
  <si>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10.1021/jp9050897</t>
  </si>
  <si>
    <t xml:space="preserve">['[6,6]-penyl-C_{61}-butyric-acid-methyl-ester', 'PCBM']</t>
  </si>
  <si>
    <t xml:space="preserve">{"power conversion efficiency": {"entity_name": "power conversion efficiencies", "entity_start": 268, "entity_end": 270, "property_value_start": 274, "property_value_end": 275,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</si>
  <si>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10.1021/acsenergylett.8b00928</t>
  </si>
  <si>
    <t xml:space="preserve">IDTOT2F</t>
  </si>
  <si>
    <t xml:space="preserve">['IDTOT2F', 'IDTT2F']</t>
  </si>
  <si>
    <t xml:space="preserve">IDTT2F</t>
  </si>
  <si>
    <t xml:space="preserve">{"power conversion efficiency": {"entity_name": "power conversion efficiency", "entity_start": 152, "entity_end": 154, "property_value_start": 156, "property_value_end": 157, "property_numeric_value": 12.79,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</si>
  <si>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10.1021/acsami.9b11700</t>
  </si>
  <si>
    <t xml:space="preserve">ITIC2</t>
  </si>
  <si>
    <t xml:space="preserve">['ITIC2']</t>
  </si>
  <si>
    <t xml:space="preserve">{"power conversion efficiency": {"entity_name": "PCE", "entity_start": 176, "entity_end": 176, "property_value_start": 178, "property_value_end": 179, "property_numeric_value": 10.1, "property_unit": "%", "property_value_descriptor": ""}, "open circuit voltage": {}, "short circuit current": {}, "fill factor": {"entity_name": "FF", "entity_start": 181, "entity_end": 181, "property_value_start": 183, "property_value_end": 184, "property_numeric_value": 59.7,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</si>
  <si>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10.1021/acsami.9b06963</t>
  </si>
  <si>
    <t xml:space="preserve">{"power conversion efficiency": {"entity_name": "PCE", "entity_start": 197, "entity_end": 197, "property_value_start": 201, "property_value_end": 202, "property_numeric_value": 9.0,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</si>
  <si>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239, "entity_end": 239, "property_value_start": 241, "property_value_end": 242, "property_numeric_value": 9.6,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</si>
  <si>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255, "entity_end": 255, "property_value_start": 257, "property_value_end": 257, "property_numeric_value": 7.58,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</si>
  <si>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255, "entity_end": 255, "property_value_start": 259, "property_value_end": 260, "property_numeric_value": 5.63,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</si>
  <si>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10.1016/j.polymer.2014.03.017</t>
  </si>
  <si>
    <t xml:space="preserve">PF1</t>
  </si>
  <si>
    <t xml:space="preserve">['PF1', 'PF3', 'PF4']</t>
  </si>
  <si>
    <t xml:space="preserve">{"power conversion efficiency": {"entity_name": "PCEs", "entity_start": 202, "entity_end": 202, "property_value_start": 208, "property_value_end": 209, "property_numeric_value": 1.32,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</si>
  <si>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10.1016/j.polymer.2014.09.046</t>
  </si>
  <si>
    <t xml:space="preserve">{"power conversion efficiency": {"entity_name": "PCE", "entity_start": 298, "entity_end": 298, "property_value_start": 304, "property_value_end": 307, "property_numeric_value": 0.645,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</si>
  <si>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10.1016/j.polymer.2015.06.049</t>
  </si>
  <si>
    <t xml:space="preserve">{"power conversion efficiency": {"entity_name": "PCE", "entity_start": 93, "entity_end": 93, "property_value_start": 95, "property_value_end": 96, "property_numeric_value": 1.65, "property_unit": "%", "property_value_descriptor": ""}, "open circuit voltage": {"entity_name": "V_{oc}", "entity_start": 132, "entity_end": 133, "property_value_start": 135, "property_value_end": 136, "property_numeric_value": 0.75, "property_unit": "V", "property_value_descriptor": ""}, "short circuit current": {"entity_name": "J_{sc}", "entity_start": 139, "entity_end": 140, "property_value_start": 142, "property_value_end": 145, "property_numeric_value": 4.41, "property_unit": "mA cm^{-2}", "property_value_descriptor": ""}, "fill factor": {}, "highest occupied molecular orbital": {"entity_name": "HOMO energy level", "entity_start": 51, "entity_end": 53, "property_value_start": 55, "property_value_end": 56, "property_numeric_value": -5.54, "property_unit": "eV", "property_value_descriptor": ""}, "lowest unoccupied molecular orbital": {}, "bandgap": {"entity_name": "band gap", "entity_start": 43, "entity_end": 44, "property_value_start": 46, "property_value_end": 47, "property_numeric_value": 1.76, "property_unit": "eV", "property_value_descriptor": ""}, "hole mobility": {}, "electron mobility": {}, "external quantum efficiency": {}}</t>
  </si>
  <si>
    <t xml:space="preserve">10.1016/j.polymer.2015.06.052</t>
  </si>
  <si>
    <t xml:space="preserve">PO-BDTF</t>
  </si>
  <si>
    <t xml:space="preserve">['PO-BDTF', 'PO-BDTTF']</t>
  </si>
  <si>
    <t xml:space="preserve">{"power conversion efficiency": {"entity_name": "PCE", "entity_start": 170, "entity_end": 170, "property_value_start": 172, "property_value_end": 173, "property_numeric_value": 5.22, "property_unit": "%", "property_value_descriptor": ""}, "open circuit voltage": {"entity_name": "V_{OC}", "entity_start": 136, "entity_end": 137, "property_value_start": 140, "property_value_end": 141, "property_numeric_value": 0.75, "property_unit": "V", "property_value_descriptor": ""}, "short circuit current": {"entity_name": "J_{SC}", "entity_start": 148, "entity_end": 150, "property_value_start": 152, "property_value_end": 156, "property_numeric_value": 11.8, "property_unit": "mA/cm^{2}", "property_value_descriptor": ""}, "fill factor": {"entity_name": "FF", "entity_start": 163, "entity_end": 163, "property_value_start": 166, "property_value_end": 166, "property_numeric_value": 59.0,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</si>
  <si>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10.1016/j.polymer.2015.10.033</t>
  </si>
  <si>
    <t xml:space="preserve">PBDTT-C-BO</t>
  </si>
  <si>
    <t xml:space="preserve">['PBDTT-C-BO', 'PBDTT-S-BO']</t>
  </si>
  <si>
    <t xml:space="preserve">{"power conversion efficiency": {"entity_name": "power conversion efficiency", "entity_start": 305, "entity_end": 307, "property_value_start": 309, "property_value_end": 310, "property_numeric_value": 7.5, "property_unit": "%", "property_value_descriptor": ""}, "open circuit voltage": {}, "short circuit current": {"entity_name": "J_{sc}", "entity_start": 295, "entity_end": 297, "property_value_start": 299, "property_value_end": 302, "property_numeric_value": 15.7,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</si>
  <si>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10.1016/j.polymer.2010.11.036</t>
  </si>
  <si>
    <t xml:space="preserve">PT</t>
  </si>
  <si>
    <t xml:space="preserve">c1cc([*])sc1[*]</t>
  </si>
  <si>
    <t xml:space="preserve">['polythiophene', 'PT', '- TPATh-PT', 'rr-TPATh-PT', 'random-TPATh-PT', 'r-TPATh-PT']</t>
  </si>
  <si>
    <t xml:space="preserve">{"power conversion efficiency": {"entity_name": "PCE", "entity_start": 380, "entity_end": 380, "property_value_start": 382, "property_value_end": 383, "property_numeric_value": 1.75, "property_unit": "%", "property_value_descriptor": ""}, "open circuit voltage": {"entity_name": "open-circuit voltage", "entity_start": 371, "entity_end": 374, "property_value_start": 376, "property_value_end": 377, "property_numeric_value": 0.71, "property_unit": "V", "property_value_descriptor": ""}, "short circuit current": {"entity_name": "short-circuit current", "entity_start": 360, "entity_end": 363, "property_value_start": 365, "property_value_end": 368, "property_numeric_value": 6.83,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</si>
  <si>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10.1016/j.polymer.2011.04.066</t>
  </si>
  <si>
    <t xml:space="preserve">['- vinylene']</t>
  </si>
  <si>
    <t xml:space="preserve">{"power conversion efficiency": {}, "open circuit voltage": {}, "short circuit current": {}, "fill factor": {}, "highest occupied molecular orbital": {}, "lowest unoccupied molecular orbital": {}, "bandgap": {"entity_name": "band gap", "entity_start": 90, "entity_end": 91, "property_value_start": 93, "property_value_end": 96, "property_numeric_value": 1.945, "property_unit": "eV", "property_value_descriptor": "-"}, "hole mobility": {}, "electron mobility": {}, "external quantum efficiency": {}}</t>
  </si>
  <si>
    <t xml:space="preserve">poly[1,4-bis(2-ethylhexyloxy)-2,5-phenylene-vinylene-co-9,9-bis(2-ethylhexyl)-2,7-fluorenylene-vinylene-co-4,7-benzo[2,1,3]thiadiazolylene-vinylene]</t>
  </si>
  <si>
    <t xml:space="preserve">{[*]/C=C/c1cc(OCC(CC)CCCC)c([*])cc1OCC(CC)CCCC, [*]/C=C/c1ccc([*])c2nsnc12, [*]/C=C/c3ccc2c1ccc([*])cc1C(CC(CC)CCCC)(CC(CC)CCCC)c2c3}</t>
  </si>
  <si>
    <t xml:space="preserve">['poly[1,4-bis(2-ethylhexyloxy)-2,5-phenylene-vinylene-co-9,9-bis(2-ethylhexyl)-2,7-fluorenylene-vinylene-co-4,7-benzo[2,1,3]thiadiazolylene-vinylene]']</t>
  </si>
  <si>
    <t xml:space="preserve">{"power conversion efficiency": {"entity_name": "PCE", "entity_start": 229, "entity_end": 229, "property_value_start": 231, "property_value_end": 232, "property_numeric_value": 0.4, "property_unit": "%", "property_value_descriptor": ""}, "open circuit voltage": {"entity_name": "V_{oc}", "entity_start": 235, "entity_end": 236, "property_value_start": 238, "property_value_end": 239, "property_numeric_value": 0.76,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</si>
  <si>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10.1016/j.polymer.2011.12.026</t>
  </si>
  <si>
    <t xml:space="preserve">['P3', 'P1']</t>
  </si>
  <si>
    <t xml:space="preserve">{"power conversion efficiency": {"entity_name": "PCE", "entity_start": 94, "entity_end": 94, "property_value_start": 96, "property_value_end": 97, "property_numeric_value": 2.8, "property_unit": "%", "property_value_descriptor": ""}, "open circuit voltage": {}, "short circuit current": {"entity_name": "J_{sc}", "entity_start": 107, "entity_end": 109, "property_value_start": 111, "property_value_end": 114, "property_numeric_value": 7.8, "property_unit": "mA/cm^{2}", "property_value_descriptor": ""}, "fill factor": {}, "highest occupied molecular orbital": {}, "lowest unoccupied molecular orbital": {}, "bandgap": {"entity_name": "optical band gaps", "entity_start": 45, "entity_end": 47, "property_value_start": 53, "property_value_end": 54, "property_numeric_value": 1.93, "property_unit": "eV", "property_value_descriptor": ""}, "hole mobility": {}, "electron mobility": {}, "external quantum efficiency": {}}</t>
  </si>
  <si>
    <t xml:space="preserve">{"power conversion efficiency": {"entity_name": "PCE", "entity_start": 81, "entity_end": 81, "property_value_start": 87, "property_value_end": 90, "property_numeric_value": 2.45,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</si>
  <si>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10.1016/j.polymer.2012.01.026</t>
  </si>
  <si>
    <t xml:space="preserve">F</t>
  </si>
  <si>
    <t xml:space="preserve">['F']</t>
  </si>
  <si>
    <t xml:space="preserve">['[6,6]-phenyl-C_{71}-butyric acid methyl ester', 'PC_{70}BM']</t>
  </si>
  <si>
    <t xml:space="preserve">{"power conversion efficiency": {"entity_name": "PCE", "entity_start": 259, "entity_end": 259, "property_value_start": 262, "property_value_end": 263, "property_numeric_value": 1.56, "property_unit": "%", "property_value_descriptor": ""}, "open circuit voltage": {"entity_name": "V_{oc}", "entity_start": 288, "entity_end": 289, "property_value_start": 293, "property_value_end": 294, "property_numeric_value": 0.6, "property_unit": "V", "property_value_descriptor": ""}, "short circuit current": {"entity_name": "J_{sc}", "entity_start": 272, "entity_end": 273, "property_value_start": 277, "property_value_end": 281, "property_numeric_value": 7.16, "property_unit": "mA/cm^{2}", "property_value_descriptor": ""}, "fill factor": {"entity_name": "FF", "entity_start": 301, "entity_end": 301, "property_value_start": 304, "property_value_end": 304, "property_numeric_value": 36.0,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</si>
  <si>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10.1016/j.polymer.2011.07.053</t>
  </si>
  <si>
    <t xml:space="preserve">poly[7,7'-bis(3-octyl-2-thienyl)-4,4'-bis(2,1,3-benzothiadiazole)] poly[3TBB3 T]</t>
  </si>
  <si>
    <t xml:space="preserve">["poly[7,7'-bis(3-octyl-2-thienyl)-4,4'-bis(2,1,3-benzothiadiazole)] poly[3TBB3 T]"]</t>
  </si>
  <si>
    <t xml:space="preserve">4,4'-bis(2,1,3-benzothiadiazole)</t>
  </si>
  <si>
    <t xml:space="preserve">{"power conversion efficiency": {}, "open circuit voltage": {}, "short circuit current": {}, "fill factor": {}, "highest occupied molecular orbital": {}, "lowest unoccupied molecular orbital": {"entity_name": "LUMO energy", "entity_start": 149, "entity_end": 150, "property_value_start": 153, "property_value_end": 154, "property_numeric_value": -4.0, "property_unit": "eV", "property_value_descriptor": ""}, "bandgap": {}, "hole mobility": {}, "electron mobility": {}, "external quantum efficiency": {}}</t>
  </si>
  <si>
    <t xml:space="preserve">['poly(3-hexylthiophene)', 'rr-P3HT']</t>
  </si>
  <si>
    <t xml:space="preserve">{"power conversion efficiency": {"entity_name": "power conversion efficiency", "entity_start": 159, "entity_end": 161, "property_value_start": 164, "property_value_end": 165, "property_numeric_value": 0.3,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</si>
  <si>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10.1016/j.polymer.2011.03.040</t>
  </si>
  <si>
    <t xml:space="preserve">PTPTTBT-P1</t>
  </si>
  <si>
    <t xml:space="preserve">['poly[1-(2,6-diisopropylphenyl)-2,5-bis(2-thienyl)pyrrole-alt-4,7-bis(3-octyl-2-thienyl)benzothiadiazole]', 'PTPTTBT-P1']</t>
  </si>
  <si>
    <t xml:space="preserve">{"power conversion efficiency": {"entity_name": "PCE", "entity_start": 209, "entity_end": 209, "property_value_start": 227, "property_value_end": 228, "property_numeric_value": 1.57, "property_unit": "%", "property_value_descriptor": ""}, "open circuit voltage": {"entity_name": "V_{oc}", "entity_start": 247, "entity_end": 249, "property_value_start": 251, "property_value_end": 252, "property_numeric_value": 0.52, "property_unit": "V", "property_value_descriptor": ""}, "short circuit current": {"entity_name": "J_{sc}", "entity_start": 233, "entity_end": 234, "property_value_start": 237, "property_value_end": 241, "property_numeric_value": 8.17, "property_unit": "mA/cm^{2}", "property_value_descriptor": ""}, "fill factor": {"entity_name": "FF", "entity_start": 257, "entity_end": 257, "property_value_start": 260, "property_value_end": 261, "property_numeric_value": 36.0,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</si>
  <si>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10.1016/j.polymer.2012.08.011</t>
  </si>
  <si>
    <t xml:space="preserve">thieno[3,4-c]pyrrole-4,6-dione</t>
  </si>
  <si>
    <t xml:space="preserve">{"power conversion efficiency": {"entity_name": "PCE", "entity_start": 224, "entity_end": 224, "property_value_start": 227, "property_value_end": 230, "property_numeric_value": 1.31, "property_unit": "%", "property_value_descriptor": "-"}, "open circuit voltage": {"entity_name": "V_{oc}", "entity_start": 210, "entity_end": 211, "property_value_start": 214, "property_value_end": 217, "property_numeric_value": 0.77, "property_unit": "V", "property_value_descriptor": "-"},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</si>
  <si>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10.1016/j.polymer.2018.02.035</t>
  </si>
  <si>
    <t xml:space="preserve">6,6]-phenyl-C_{71}-butyric acid</t>
  </si>
  <si>
    <t xml:space="preserve">{"power conversion efficiency": {"entity_name": "PCE", "entity_start": 241, "entity_end": 241, "property_value_start": 243, "property_value_end": 244, "property_numeric_value": 5.53, "property_unit": "%", "property_value_descriptor": ""}, "open circuit voltage": {"entity_name": "V oc", "entity_start": 189, "entity_end": 190, "property_value_start": 193, "property_value_end": 194, "property_numeric_value": 0.8,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</si>
  <si>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10.1016/j.polymer.2019.01.064</t>
  </si>
  <si>
    <t xml:space="preserve">PETVT8-TBT</t>
  </si>
  <si>
    <t xml:space="preserve">[*]c7ccc(c6cc5sc(c4sc(c2c(F)c(F)c(c1cc(CC(CCCCCCCC)CCCCCCCCCC)c([*])s1)c3nsnc23)cc4CC(CCCCCCCC)CCCCCCCCCC)cc5cc6C)s7</t>
  </si>
  <si>
    <t xml:space="preserve">['PETVT8-TBT', 'PETVT-TBT']</t>
  </si>
  <si>
    <t xml:space="preserve">ETVT</t>
  </si>
  <si>
    <t xml:space="preserve">['ETVT']</t>
  </si>
  <si>
    <t xml:space="preserve">{"power conversion efficiency": {}, "open circuit voltage": {"entity_name": "open-circuit voltage", "entity_start": 145, "entity_end": 148, "property_value_start": 154, "property_value_end": 155, "property_numeric_value": 1.03,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</si>
  <si>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224, "entity_end": 224, "property_value_start": 226, "property_value_end": 227, "property_numeric_value": 7.8,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</si>
  <si>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10.1016/j.polymer.2018.04.069</t>
  </si>
  <si>
    <t xml:space="preserve">PBDTBS-TPD</t>
  </si>
  <si>
    <t xml:space="preserve">[*]c9ccc(c7sc(C6=CC=C(c5cc4c(c1ccc(SCC(CCCCCC)CCCCCCCC)cc1)c2sc([*])cc2c(c3ccc(SCC(CCCCCC)CCCCCCCC)cc3)c4s5)C6)c8c(=O)n(CCCCCCCCCCCCC)c(=O)c78)s9</t>
  </si>
  <si>
    <t xml:space="preserve">['PBDTNS-TPD', 'PBDTBS-TPD']</t>
  </si>
  <si>
    <t xml:space="preserve">{"power conversion efficiency": {"entity_name": "PCE", "entity_start": 140, "entity_end": 140, "property_value_start": 141, "property_value_end": 142, "property_numeric_value": 5.93,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</si>
  <si>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PBDTNS-TPD</t>
  </si>
  <si>
    <t xml:space="preserve">{"power conversion efficiency": {"entity_name": "PCE", "entity_start": 125, "entity_end": 125, "property_value_start": 127, "property_value_end": 128, "property_numeric_value": 8.19,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</si>
  <si>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10.1016/j.polymer.2012.11.034</t>
  </si>
  <si>
    <t xml:space="preserve">PFTBO</t>
  </si>
  <si>
    <t xml:space="preserve">['PFTBO', 'PCTBO']</t>
  </si>
  <si>
    <t xml:space="preserve">{"power conversion efficiency": {}, "open circuit voltage": {"entity_name": "V_{oc}", "entity_start": 184, "entity_end": 185, "property_value_start": 187, "property_value_end": 188, "property_numeric_value": 1.04,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</si>
  <si>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2,1,3-benzooxadiazole</t>
  </si>
  <si>
    <t xml:space="preserve">{"power conversion efficiency": {"entity_name": "power conversion efficiency", "entity_start": 196, "entity_end": 198, "property_value_start": 200, "property_value_end": 201, "property_numeric_value": 4.1,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</si>
  <si>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10.1016/j.polymer.2019.05.043</t>
  </si>
  <si>
    <t xml:space="preserve">PBDTT-TBID</t>
  </si>
  <si>
    <t xml:space="preserve">['PBDTT-TBID', 'PBDT-TBID']</t>
  </si>
  <si>
    <t xml:space="preserve">{"power conversion efficiency": {"entity_name": "PCE", "entity_start": 170, "entity_end": 170, "property_value_start": 172, "property_value_end": 173, "property_numeric_value": 5.87, "property_unit": "%", "property_value_descriptor": ""}, "open circuit voltage": {}, "short circuit current": {"entity_name": "J_{sc}", "entity_start": 149, "entity_end": 150, "property_value_start": 152, "property_value_end": 155, "property_numeric_value": 11.81, "property_unit": "mA cm^{-2}", "property_value_descriptor": ""}, "fill factor": {"entity_name": "FF", "entity_start": 161, "entity_end": 161, "property_value_start": 163, "property_value_end": 163, "property_numeric_value": 57.99999999999999,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</si>
  <si>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10.1016/j.polymer.2014.10.067</t>
  </si>
  <si>
    <t xml:space="preserve">PBTFT</t>
  </si>
  <si>
    <t xml:space="preserve">[*]c%10cc(CCCCCCCCCCCC)c(c1cc8c(s1)c7sc6c(sc5c3sc(c2sc([*])cc2CCCCCCCCCCCC)cc3c4c(CCCCCCCC)c(CCCCCCCC)sc4c56)c7c9sc(CCCCCCCC)c(CCCCCCCC)c89)s%10</t>
  </si>
  <si>
    <t xml:space="preserve">['PBTFT']</t>
  </si>
  <si>
    <t xml:space="preserve">{"power conversion efficiency": {"entity_name": "power conversion efficiency", "entity_start": 76, "entity_end": 78, "property_value_start": 80, "property_value_end": 81, "property_numeric_value": 3.0, "property_unit": "%", "property_value_descriptor": ""}, "open circuit voltage": {"entity_name": "open circuit voltage", "entity_start": 84, "entity_end": 86, "property_value_start": 88, "property_value_end": 89, "property_numeric_value": 0.7, "property_unit": "V", "property_value_descriptor": ""}, "short circuit current": {"entity_name": "short-circuit current", "entity_start": 92, "entity_end": 95, "property_value_start": 97, "property_value_end": 100, "property_numeric_value": 7.94, "property_unit": "mA cm^{-2}", "property_value_descriptor": ""}, "fill factor": {"entity_name": "fill factor", "entity_start": 103, "entity_end": 104, "property_value_start": 106, "property_value_end": 107, "property_numeric_value": 53.98, "property_unit": "%", "property_value_descriptor": ""}, "highest occupied molecular orbital": {}, "lowest unoccupied molecular orbital": {}, "bandgap": {"entity_name": "optical band-gap", "entity_start": 51, "entity_end": 54, "property_value_start": 56, "property_value_end": 57, "property_numeric_value": 2.02, "property_unit": "eV", "property_value_descriptor": ""}, "hole mobility": {"entity_name": "Holes mobility", "entity_start": 117, "entity_end": 118, "property_value_start": 121, "property_value_end": 127, "property_numeric_value": 0.028, "property_unit": "cm^{2} V^{-1} s^{-1}", "property_value_descriptor": ""}, "electron mobility": {}, "external quantum efficiency": {}}</t>
  </si>
  <si>
    <t xml:space="preserve">10.1016/j.polymer.2009.12.009</t>
  </si>
  <si>
    <t xml:space="preserve">poly(2,6-((4,4-bis(2-ethylhexyl)-4H-cyclopenta[def]phenanthrene))-alt-(4,7-((2-thienyl)-2,1,3-benzothiadiazole)))</t>
  </si>
  <si>
    <t xml:space="preserve">['poly(2,6-((4,4-bis(2-ethylhexyl)-4H-cyclopenta[def]phenanthrene))-alt-(4,7-((2-thienyl)-2,1,3-benzothiadiazole)))', 'PCPP-DTBT']</t>
  </si>
  <si>
    <t xml:space="preserve">{"power conversion efficiency": {"entity_name": "power conversion efficiencies", "entity_start": 147, "entity_end": 149, "property_value_start": 158, "property_value_end": 159, "property_numeric_value": 1.12,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</si>
  <si>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10.1016/j.polymer.2011.10.007</t>
  </si>
  <si>
    <t xml:space="preserve">PDTSBTPh</t>
  </si>
  <si>
    <t xml:space="preserve">[*]c7ccc(c5ccc(c4ccc(c1cc3c(s1)c2sc([*])cc2[Si]3(CCCCCCCC)CCCCCCCC)s4)c6c(=O)n(CC(CC)CCCC)c(=O)c56)s7</t>
  </si>
  <si>
    <t xml:space="preserve">['PDTSBTPh']</t>
  </si>
  <si>
    <t xml:space="preserve">{"power conversion efficiency": {"entity_name": "power conversion efficiency", "entity_start": 92, "entity_end": 94, "property_value_start": 113, "property_value_end": 114, "property_numeric_value": 2.1, "property_unit": "%", "property_value_descriptor": ""}, "open circuit voltage": {"entity_name": "open-circuit voltage", "entity_start": 116, "entity_end": 119, "property_value_start": 121, "property_value_end": 122, "property_numeric_value": 0.83, "property_unit": "V", "property_value_descriptor": ""}, "short circuit current": {"entity_name": "short-circuit current", "entity_start": 125, "entity_end": 128, "property_value_start": 130, "property_value_end": 134, "property_numeric_value": 6.27, "property_unit": "mA/cm^{2}", "property_value_descriptor": ""}, "fill factor": {}, "highest occupied molecular orbital": {}, "lowest unoccupied molecular orbital": {"entity_name": "LUMO) energy level", "entity_start": 71, "entity_end": 74, "property_value_start": 84, "property_value_end": 87, "property_numeric_value": -4.1, "property_unit": "eV", "property_value_descriptor": "and"}, "bandgap": {}, "hole mobility": {}, "electron mobility": {}, "external quantum efficiency": {}}</t>
  </si>
  <si>
    <t xml:space="preserve">10.1016/j.polymer.2016.11.015</t>
  </si>
  <si>
    <t xml:space="preserve">{"power conversion efficiency": {"entity_name": "PCE", "entity_start": 151, "entity_end": 151, "property_value_start": 153, "property_value_end": 154, "property_numeric_value": 2.2,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</si>
  <si>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10.1016/j.polymer.2018.02.013</t>
  </si>
  <si>
    <t xml:space="preserve">PBTAZT-F</t>
  </si>
  <si>
    <t xml:space="preserve">['PBTAZT-F']</t>
  </si>
  <si>
    <t xml:space="preserve">BTAZF; BTAZT</t>
  </si>
  <si>
    <t xml:space="preserve">{"power conversion efficiency": {"entity_name": "PCE", "entity_start": 177, "entity_end": 177, "property_value_start": 179, "property_value_end": 180, "property_numeric_value": 5.58, "property_unit": "%", "property_value_descriptor": ""}, "open circuit voltage": {"entity_name": "V_{oc}", "entity_start": 192, "entity_end": 193, "property_value_start": 195, "property_value_end": 196, "property_numeric_value": 0.84, "property_unit": "V", "property_value_descriptor": ""}, "short circuit current": {"entity_name": "J_{sc}", "entity_start": 183, "entity_end": 184, "property_value_start": 186, "property_value_end": 189, "property_numeric_value": 11.28, "property_unit": "mA cm^{-2}", "property_value_descriptor": ""}, "fill factor": {"entity_name": "FF", "entity_start": 199, "entity_end": 199, "property_value_start": 201, "property_value_end": 202, "property_numeric_value": 58.6,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</si>
  <si>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10.1016/j.polymer.2014.04.045</t>
  </si>
  <si>
    <t xml:space="preserve">poly{[N,N'-bis(2-octyldodecyl)-naphthalene-1,4,5,8-bis(dicarboximide)-2,6-diyl]-alt-5,5'-(2,2'-bithiophene)}</t>
  </si>
  <si>
    <t xml:space="preserve">["poly{[N,N'-bis(2-octyldodecyl)-naphthalene-1,4,5,8-bis(dicarboximide)-2,6-diyl]-alt-5,5'-(2,2'-bithiophene)}", 'N2200']</t>
  </si>
  <si>
    <t xml:space="preserve">{"power conversion efficiency": {"entity_name": "power conversion efficiency", "entity_start": 99, "entity_end": 101, "property_value_start": 103, "property_value_end": 104, "property_numeric_value": 1.4,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</si>
  <si>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10.1016/j.polymer.2018.01.027</t>
  </si>
  <si>
    <t xml:space="preserve">['PBDTTPD']</t>
  </si>
  <si>
    <t xml:space="preserve">{"power conversion efficiency": {"entity_name": "power conversion efficiencies", "entity_start": 8, "entity_end": 10, "property_value_start": 14, "property_value_end": 15, "property_numeric_value": 13.0,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</si>
  <si>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10.1016/j.polymer.2015.04.061</t>
  </si>
  <si>
    <t xml:space="preserve">naphtho[1,2-c:5,6-c]bis(2-octyl-[1,2,3]triazole)</t>
  </si>
  <si>
    <t xml:space="preserve">{"power conversion efficiency": {"entity_name": "power conversion efficiency", "entity_start": 107, "entity_end": 109, "property_value_start": 111, "property_value_end": 112, "property_numeric_value": 2.58, "property_unit": "%", "property_value_descriptor": ""}, "open circuit voltage": {"entity_name": "open-circuit voltage", "entity_start": 115, "entity_end": 118, "property_value_start": 120, "property_value_end": 121, "property_numeric_value": 0.83, "property_unit": "V", "property_value_descriptor": ""}, "short circuit current": {"entity_name": "short circuit current", "entity_start": 124, "entity_end": 126, "property_value_start": 128, "property_value_end": 132, "property_numeric_value": 5.53, "property_unit": "mA/cm^{2}", "property_value_descriptor": ""}, "fill factor": {"entity_name": "fill factor", "entity_start": 136, "entity_end": 137, "property_value_start": 139, "property_value_end": 140, "property_numeric_value": 56.13, "property_unit": "%", "property_value_descriptor": ""}, "highest occupied molecular orbital": {}, "lowest unoccupied molecular orbital": {}, "bandgap": {"entity_name": "band gap", "entity_start": 53, "entity_end": 54, "property_value_start": 56, "property_value_end": 57, "property_numeric_value": 1.8, "property_unit": "eV", "property_value_descriptor": "~"}, "hole mobility": {}, "electron mobility": {}, "external quantum efficiency": {}}</t>
  </si>
  <si>
    <t xml:space="preserve">10.1016/j.polymer.2015.10.021</t>
  </si>
  <si>
    <t xml:space="preserve">PBDTNT</t>
  </si>
  <si>
    <t xml:space="preserve">['PBDTNT', 'PFDTNT', 'PNDTNT']</t>
  </si>
  <si>
    <t xml:space="preserve">{"power conversion efficiency": {"entity_name": "PCEs", "entity_start": 225, "entity_end": 225, "property_value_start": 231, "property_value_end": 232, "property_numeric_value": 1.45, "property_unit": "%", "property_value_descriptor": ""}, "open circuit voltage": {"entity_name": "V_{oc}", "entity_start": 158, "entity_end": 159, "property_value_start": 161, "property_value_end": 162, "property_numeric_value": 0.9, "property_unit": "V", "property_value_descriptor": ""}, "short circuit current": {"entity_name": "J_{sc}", "entity_start": 171, "entity_end": 172, "property_value_start": 175, "property_value_end": 178, "property_numeric_value": 9.45, "property_unit": "mA cm^{-2}", "property_value_descriptor": ""}, "fill factor": {"entity_name": "fill factor", "entity_start": 182, "entity_end": 183, "property_value_start": 185, "property_value_end": 186, "property_numeric_value": 32.1, "property_unit": "%", "property_value_descriptor": ""}, "highest occupied molecular orbital": {"entity_name": "HOMO energy", "entity_start": 86, "entity_end": 87, "property_value_start": 91, "property_value_end": 92, "property_numeric_value": -5.45, "property_unit": "eV", "property_value_descriptor": ""}, "lowest unoccupied molecular orbital": {}, "bandgap": {}, "hole mobility": {}, "electron mobility": {}, "external quantum efficiency": {}}</t>
  </si>
  <si>
    <t xml:space="preserve">10.1016/j.polymer.2015.10.054</t>
  </si>
  <si>
    <t xml:space="preserve">RP2</t>
  </si>
  <si>
    <t xml:space="preserve">['RP2']</t>
  </si>
  <si>
    <t xml:space="preserve">{"power conversion efficiency": {"entity_name": "PCE", "entity_start": 167, "entity_end": 167, "property_value_start": 170, "property_value_end": 171, "property_numeric_value": 5.12, "property_unit": "%", "property_value_descriptor": ""}, "open circuit voltage": {"entity_name": "V_{oc}", "entity_start": 178, "entity_end": 179, "property_value_start": 182, "property_value_end": 183, "property_numeric_value": 0.75, "property_unit": "V", "property_value_descriptor": ""}, "short circuit current": {"entity_name": "J_{sc}", "entity_start": 189, "entity_end": 190, "property_value_start": 193, "property_value_end": 197, "property_numeric_value": 12.99, "property_unit": "mA/cm^{2}", "property_value_descriptor": ""}, "fill factor": {"entity_name": "FF", "entity_start": 204, "entity_end": 204, "property_value_start": 207, "property_value_end": 208, "property_numeric_value": 53.0,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</si>
  <si>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10.1016/j.polymer.2017.11.024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</si>
  <si>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 gaps", "entity_start": 57, "entity_end": 59, "property_value_start": 68, "property_value_end": 69, "property_numeric_value": 2.01, "property_unit": "eV", "property_value_descriptor": ""}, "hole mobility": {}, "electron mobility": {}, "external quantum efficiency": {}}</t>
  </si>
  <si>
    <t xml:space="preserve">{"power conversion efficiency": {"entity_name": "PCE", "entity_start": 169, "entity_end": 169, "property_value_start": 171, "property_value_end": 172, "property_numeric_value": 5.83, "property_unit": "%", "property_value_descriptor": ""}, "open circuit voltage": {"entity_name": "V oc", "entity_start": 145, "entity_end": 146, "property_value_start": 147, "property_value_end": 148, "property_numeric_value": 0.8, "property_unit": "V", "property_value_descriptor": ""}, "short circuit current": {"entity_name": "J sc", "entity_start": 151, "entity_end": 152, "property_value_start": 154, "property_value_end": 158, "property_numeric_value": 14.02, "property_unit": "mA/cm^{2}", "property_value_descriptor": ""}, "fill factor": {"entity_name": "fill factor", "entity_start": 161, "entity_end": 162, "property_value_start": 164, "property_value_end": 165, "property_numeric_value": 52.0,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</si>
  <si>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10.1016/j.polymer.2016.04.011</t>
  </si>
  <si>
    <t xml:space="preserve">PBDT</t>
  </si>
  <si>
    <t xml:space="preserve">['PBDT', 'PhBT']</t>
  </si>
  <si>
    <t xml:space="preserve">{"power conversion efficiency": {}, "open circuit voltage": {}, "short circuit current": {}, "fill factor": {}, "highest occupied molecular orbital": {}, "lowest unoccupied molecular orbital": {"entity_name": "LUMO levels", "entity_start": 85, "entity_end": 86, "property_value_start": 90, "property_value_end": 91, "property_numeric_value": -3.37, "property_unit": "eV", "property_value_descriptor": ""}, "bandgap": {}, "hole mobility": {}, "electron mobility": {}, "external quantum efficiency": {}}</t>
  </si>
  <si>
    <t xml:space="preserve">{"power conversion efficiency": {"entity_name": "power conversion efficiency", "entity_start": 172, "entity_end": 174, "property_value_start": 179, "property_value_end": 180, "property_numeric_value": 3.66,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</si>
  <si>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10.1016/j.polymer.2017.06.023</t>
  </si>
  <si>
    <t xml:space="preserve">TT</t>
  </si>
  <si>
    <t xml:space="preserve">{"power conversion efficiency": {"entity_name": "PCE", "entity_start": 325, "entity_end": 325, "property_value_start": 339, "property_value_end": 340, "property_numeric_value": 6.72, "property_unit": "%", "property_value_descriptor": ""}, "open circuit voltage": {"entity_name": "V_{OC}", "entity_start": 363, "entity_end": 364, "property_value_start": 366, "property_value_end": 367, "property_numeric_value": 0.73, "property_unit": "V", "property_value_descriptor": ""}, "short circuit current": {"entity_name": "J_{SC}", "entity_start": 346, "entity_end": 347, "property_value_start": 349, "property_value_end": 352, "property_numeric_value": 14.74, "property_unit": "mA cm^{-2}", "property_value_descriptor": ""}, "fill factor": {"entity_name": "FF", "entity_start": 354, "entity_end": 354, "property_value_start": 356, "property_value_end": 357, "property_numeric_value": 64.0, "property_unit": "%", "property_value_descriptor": ""}, "highest occupied molecular orbital": {}, "lowest unoccupied molecular orbital": {"entity_name": "LUMO) energy leve", "entity_start": 122, "entity_end": 125, "property_value_start": 127, "property_value_end": 128, "property_numeric_value": -3.9, "property_unit": "eV", "property_value_descriptor": ""}, "bandgap": {}, "hole mobility": {}, "electron mobility": {}, "external quantum efficiency": {}}</t>
  </si>
  <si>
    <t xml:space="preserve">10.1016/j.polymer.2012.04.014</t>
  </si>
  <si>
    <t xml:space="preserve">[6,6]-phenyl C_{71} butyric acid methyl</t>
  </si>
  <si>
    <t xml:space="preserve">['[6,6]-phenyl C_{61} butyric acid methyl ester', 'PC_{61}BM', 'PC_{71}BM']</t>
  </si>
  <si>
    <t xml:space="preserve">{"power conversion efficiency": {"entity_name": "PCE", "entity_start": 248, "entity_end": 248, "property_value_start": 250, "property_value_end": 251, "property_numeric_value": 1.2, "property_unit": "%", "property_value_descriptor": ""}, "open circuit voltage": {"entity_name": "V_{oc}", "entity_start": 233, "entity_end": 234, "property_value_start": 236, "property_value_end": 237, "property_numeric_value": 0.74, "property_unit": "V", "property_value_descriptor": ""}, "short circuit current": {"entity_name": "J_{sc}", "entity_start": 239, "entity_end": 240, "property_value_start": 242, "property_value_end": 245, "property_numeric_value": 7.4, "property_unit": "mA cm^{-2}", "property_value_descriptor": ""}, "fill factor": {}, "highest occupied molecular orbital": {"entity_name": "highest occupied molecular orbital levels", "entity_start": 122, "entity_end": 126, "property_value_start": 135, "property_value_end": 138, "property_numeric_value": 0.050000000000000266, "property_unit": "eV", "property_value_descriptor": "-"}, "lowest unoccupied molecular orbital": {}, "bandgap": {}, "hole mobility": {}, "electron mobility": {}, "external quantum efficiency": {}}</t>
  </si>
  <si>
    <t xml:space="preserve">10.1002/app.39070</t>
  </si>
  <si>
    <t xml:space="preserve">{"power conversion efficiency": {"entity_name": "power conversion efficiency", "entity_start": 60, "entity_end": 62, "property_value_start": 64, "property_value_end": 65, "property_numeric_value": 2.0,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</si>
  <si>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10.1002/app.41823</t>
  </si>
  <si>
    <t xml:space="preserve">polystyrene</t>
  </si>
  <si>
    <t xml:space="preserve">c1ccc(C(C[*])[*])cc1</t>
  </si>
  <si>
    <t xml:space="preserve">['polystyrene', 'atactic polystyrene', 'aPS', 'syndiotactic polystyrene', 'sPS']</t>
  </si>
  <si>
    <t xml:space="preserve">{"power conversion efficiency": {"entity_name": "PCE", "entity_start": 141, "entity_end": 141, "property_value_start": 144, "property_value_end": 145, "property_numeric_value": 1.2,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</si>
  <si>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172, "entity_end": 172, "property_value_start": 178, "property_value_end": 179, "property_numeric_value": 0.6,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</si>
  <si>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10.1002/app.42147</t>
  </si>
  <si>
    <t xml:space="preserve">["poly[(1,4-bis(dodecyloxy)benzene-2,5-diyl)-alt-(2,2':5',2''-terthiophene-5,5''-diyl)]", 'P2']</t>
  </si>
  <si>
    <t xml:space="preserve">['C_{60}', 'PC_{60}BM']</t>
  </si>
  <si>
    <t xml:space="preserve">{"power conversion efficiency": {"entity_name": "PCE", "entity_start": 303, "entity_end": 303, "property_value_start": 314, "property_value_end": 315, "property_numeric_value": 1.09, "property_unit": "%", "property_value_descriptor": ""}, "open circuit voltage": {}, "short circuit current": {}, "fill factor": {}, "highest occupied molecular orbital": {"entity_name": "E_{HOMO}", "entity_start": 192, "entity_end": 193, "property_value_start": 195, "property_value_end": 196, "property_numeric_value": -5.4, "property_unit": "eV", "property_value_descriptor": ""}, "lowest unoccupied molecular orbital": {}, "bandgap": {}, "hole mobility": {}, "electron mobility": {}, "external quantum efficiency": {}}</t>
  </si>
  <si>
    <t xml:space="preserve">["poly[(9,9-didodecylfluorene-2,7-diyl)-alt-(2,2':5',2''-terthiophene-5,5''-diyl)]", 'P1']</t>
  </si>
  <si>
    <t xml:space="preserve">{"power conversion efficiency": {}, "open circuit voltage": {"entity_name": "V_{oc}", "entity_start": 217, "entity_end": 218, "property_value_start": 220, "property_value_end": 223, "property_numeric_value": 0.8045, "property_unit": "V", "property_value_descriptor": "-"},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</si>
  <si>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10.1002/app.34439</t>
  </si>
  <si>
    <t xml:space="preserve">PC-DODTBT</t>
  </si>
  <si>
    <t xml:space="preserve">['PC-DODTBT']</t>
  </si>
  <si>
    <t xml:space="preserve">{"power conversion efficiency": {"entity_name": "PCE", "entity_start": 198, "entity_end": 198, "property_value_start": 201, "property_value_end": 202, "property_numeric_value": 1.44, "property_unit": "%", "property_value_descriptor": ""}, "open circuit voltage": {"entity_name": "V_{oc}", "entity_start": 169, "entity_end": 171, "property_value_start": 173, "property_value_end": 174, "property_numeric_value": 0.73, "property_unit": "V", "property_value_descriptor": ""}, "short circuit current": {}, "fill factor": {}, "highest occupied molecular orbital": {"entity_name": "HOMO level", "entity_start": 65, "entity_end": 66, "property_value_start": 72, "property_value_end": 73, "property_numeric_value": -5.11, "property_unit": "eV", "property_value_descriptor": ""}, "lowest unoccupied molecular orbital": {}, "bandgap": {}, "hole mobility": {}, "electron mobility": {}, "external quantum efficiency": {}}</t>
  </si>
  <si>
    <t xml:space="preserve">10.1002/app.35106</t>
  </si>
  <si>
    <t xml:space="preserve">P4HTzV</t>
  </si>
  <si>
    <t xml:space="preserve">['poly(4-hexylthiazole vinylene)', 'P4HTzV']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</si>
  <si>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bandgap", "entity_start": 67, "entity_end": 68, "property_value_start": 73, "property_value_end": 74, "property_numeric_value": 1.74, "property_unit": "eV", "property_value_descriptor": ""}, "hole mobility": {}, "electron mobility": {}, "external quantum efficiency": {}}</t>
  </si>
  <si>
    <t xml:space="preserve">10.1002/app.36541</t>
  </si>
  <si>
    <t xml:space="preserve">['poly(2-{5-[5,6-bis(octyloxy)-4-(thiophen-2-yl)benzo(c)(1,2,5)thiadiazol-7-yl] thiophen-2-yl}-4,8-di(2-ethylhexyloxyl)benzo(1,2-b:3,4-b)dithiophene)', 'P2']</t>
  </si>
  <si>
    <t xml:space="preserve">{"power conversion efficiency": {"entity_name": "power conversion efficiency", "entity_start": 141, "entity_end": 143, "property_value_start": 145, "property_value_end": 146, "property_numeric_value": 1.55,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</si>
  <si>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10.1002/app.38251</t>
  </si>
  <si>
    <t xml:space="preserve">{"power conversion efficiency": {"entity_name": "power conversion efficiency", "entity_start": 187, "entity_end": 189, "property_value_start": 205, "property_value_end": 206, "property_numeric_value": 3.77, "property_unit": "%", "property_value_descriptor": ""}, "open circuit voltage": {}, "short circuit current": {"entity_name": "J_{sc}", "entity_start": 111, "entity_end": 113, "property_value_start": 152, "property_value_end": 156, "property_numeric_value": 10.19,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</si>
  <si>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10.1002/app.38528</t>
  </si>
  <si>
    <t xml:space="preserve">POTVTh-8FO-DBT</t>
  </si>
  <si>
    <t xml:space="preserve">['POTVTh-8FO-DBT']</t>
  </si>
  <si>
    <t xml:space="preserve">{"power conversion efficiency": {"entity_name": "PCE", "entity_start": 115, "entity_end": 115, "property_value_start": 121, "property_value_end": 122, "property_numeric_value": 0.47, "property_unit": "%", "property_value_descriptor": ""}, "open circuit voltage": {"entity_name": "V_{oc}", "entity_start": 124, "entity_end": 125, "property_value_start": 127, "property_value_end": 128, "property_numeric_value": 0.61, "property_unit": "V", "property_value_descriptor": ""}, "short circuit current": {"entity_name": "J_{sc}", "entity_start": 130, "entity_end": 131, "property_value_start": 133, "property_value_end": 137, "property_numeric_value": 1.61, "property_unit": "mA/cm^{2}", "property_value_descriptor": ""}, "fill factor": {"entity_name": "FF", "entity_start": 143, "entity_end": 143, "property_value_start": 146, "property_value_end": 146, "property_numeric_value": 49.0,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</si>
  <si>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10.1002/app.29921</t>
  </si>
  <si>
    <t xml:space="preserve">{"power conversion efficiency": {"entity_name": "power conversion efficiency", "entity_start": 167, "entity_end": 169, "property_value_start": 174, "property_value_end": 175, "property_numeric_value": 0.16,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110, "entity_end": 111, "property_value_start": 125, "property_value_end": 133, "property_numeric_value": 0.000125, "property_unit": "cm^{2} V^{-1} s^{-1}", "property_value_descriptor": ""}, "electron mobility": {}, "external quantum efficiency": {}}</t>
  </si>
  <si>
    <t xml:space="preserve">10.1002/app.30863</t>
  </si>
  <si>
    <t xml:space="preserve">PT-F1</t>
  </si>
  <si>
    <t xml:space="preserve">['PT-F1']</t>
  </si>
  <si>
    <t xml:space="preserve">{"power conversion efficiency": {"entity_name": "power conversion efficiency", "entity_start": 164, "entity_end": 166, "property_value_start": 176, "property_value_end": 177, "property_numeric_value": 0.274,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</si>
  <si>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10.1021/ma900968f</t>
  </si>
  <si>
    <t xml:space="preserve">PTh_{n} BTD</t>
  </si>
  <si>
    <t xml:space="preserve">['PTh_{n} BTD']</t>
  </si>
  <si>
    <t xml:space="preserve">{"power conversion efficiency": {"entity_name": "power conversion efficiency", "entity_start": 153, "entity_end": 155, "property_value_start": 157, "property_value_end": 158, "property_numeric_value": 1.7,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</si>
  <si>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10.1021/ma901514q</t>
  </si>
  <si>
    <t xml:space="preserve">poly(9,10-bisalkynyl-2,6-anthrylene)</t>
  </si>
  <si>
    <t xml:space="preserve">[*]c3ccc2c(C#CCC(CC)CCCC)c1cc([*])ccc1c(C#CCC(CC)CCCC)c2c3</t>
  </si>
  <si>
    <t xml:space="preserve">['poly(9,10-bisalkynyl-2,6-anthrylene)', 'P1', 'P6']</t>
  </si>
  <si>
    <t xml:space="preserve">{"power conversion efficiency": {"entity_name": "PCE", "entity_start": 203, "entity_end": 203, "property_value_start": 206, "property_value_end": 207, "property_numeric_value": 1.6, "property_unit": "%", "property_value_descriptor": ""}, "open circuit voltage": {"entity_name": "V_{oc}", "entity_start": 215, "entity_end": 216, "property_value_start": 219, "property_value_end": 220, "property_numeric_value": 0.96, "property_unit": "V", "property_value_descriptor": ""}, "short circuit current": {"entity_name": "J_{sc}", "entity_start": 229, "entity_end": 230, "property_value_start": 233, "property_value_end": 237, "property_numeric_value": 3.18, "property_unit": "mA/cm^{2}", "property_value_descriptor": ""}, "fill factor": {"entity_name": "FF", "entity_start": 244, "entity_end": 244, "property_value_start": 247, "property_value_end": 247, "property_numeric_value": 53.0,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</si>
  <si>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10.1021/ma200576y</t>
  </si>
  <si>
    <t xml:space="preserve">P4</t>
  </si>
  <si>
    <t xml:space="preserve">['P3', 'P4']</t>
  </si>
  <si>
    <t xml:space="preserve">{"power conversion efficiency": {"entity_name": "power conversion efficiency", "entity_start": 186, "entity_end": 188, "property_value_start": 190, "property_value_end": 191, "property_numeric_value": 2.54, "property_unit": "%", "property_value_descriptor": ""}, "open circuit voltage": {}, "short circuit current": {}, "fill factor": {}, "highest occupied molecular orbital": {"entity_name": "HOMO", "entity_start": 113, "entity_end": 113, "property_value_start": 117, "property_value_end": 118, "property_numeric_value": -5.4, "property_unit": "eV", "property_value_descriptor": ""}, "lowest unoccupied molecular orbital": {"entity_name": "LUMO", "entity_start": 122, "entity_end": 122, "property_value_start": 126, "property_value_end": 127, "property_numeric_value": -2.9, "property_unit": "eV", "property_value_descriptor": ""}, "bandgap": {}, "hole mobility": {"entity_name": "hole mobility", "entity_start": 132, "entity_end": 133, "property_value_start": 140, "property_value_end": 145, "property_numeric_value": 0.06, "property_unit": "cm^{2} V^{-1} s^{-1}", "property_value_descriptor": ""}, "electron mobility": {}, "external quantum efficiency": {}}</t>
  </si>
  <si>
    <t xml:space="preserve">10.1021/ma201883a</t>
  </si>
  <si>
    <t xml:space="preserve">PSBTBT-08</t>
  </si>
  <si>
    <t xml:space="preserve">['PSBTBT-08']</t>
  </si>
  <si>
    <t xml:space="preserve">{"power conversion efficiency": {"entity_name": "power conversion efficiencies", "entity_start": 33, "entity_end": 35, "property_value_start": 39, "property_value_end": 40, "property_numeric_value": 5.9,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</si>
  <si>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10.1021/ma102101e</t>
  </si>
  <si>
    <t xml:space="preserve">poly(bis[octylphenyl-2,5-thienylene vinylene])</t>
  </si>
  <si>
    <t xml:space="preserve">['poly(bis[octylphenyl-2,5-thienylene vinylene])', 'BOP-PTV']</t>
  </si>
  <si>
    <t xml:space="preserve">{"power conversion efficiency": {"entity_name": "power conversion efficiencies", "entity_start": 125, "entity_end": 127, "property_value_start": 136, "property_value_end": 137, "property_numeric_value": 0.92,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</si>
  <si>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10.1021/ma9024812</t>
  </si>
  <si>
    <t xml:space="preserve">cyclopentadithiophene</t>
  </si>
  <si>
    <t xml:space="preserve">{"power conversion efficiency": {"entity_name": "power conversion efficiencies", "entity_start": 94, "entity_end": 96, "property_value_start": 100, "property_value_end": 101, "property_numeric_value": 1.21, "property_unit": "%", "property_value_descriptor": ""}, "open circuit voltage": {}, "short circuit current": {}, "fill factor": {}, "highest occupied molecular orbital": {}, "lowest unoccupied molecular orbital": {}, "bandgap": {"entity_name": "band gaps", "entity_start": 45, "entity_end": 46, "property_value_start": 52, "property_value_end": 55, "property_numeric_value": 1.27, "property_unit": "eV", "property_value_descriptor": "-"}, "hole mobility": {}, "electron mobility": {}, "external quantum efficiency": {}}</t>
  </si>
  <si>
    <t xml:space="preserve">10.1021/ma100767b</t>
  </si>
  <si>
    <t xml:space="preserve">['P3', 'P3HT']</t>
  </si>
  <si>
    <t xml:space="preserve">{"power conversion efficiency": {"entity_name": "power conversion efficiency", "entity_start": 141, "entity_end": 143, "property_value_start": 158, "property_value_end": 159, "property_numeric_value": 2.86, "property_unit": "%", "property_value_descriptor": ""}, "open circuit voltage": {"entity_name": "open circuit voltage", "entity_start": 171, "entity_end": 173, "property_value_start": 175, "property_value_end": 176, "property_numeric_value": 0.68, "property_unit": "V", "property_value_descriptor": ""}, "short circuit current": {"entity_name": "short circuit current", "entity_start": 161, "entity_end": 163, "property_value_start": 165, "property_value_end": 169, "property_numeric_value": 7.85, "property_unit": "mA/cm^{2}", "property_value_descriptor": ""}, "fill factor": {"entity_name": "fill factor", "entity_start": 179, "entity_end": 180, "property_value_start": 182, "property_value_end": 182, "property_numeric_value": 53.5, "property_unit": "%", "property_value_descriptor": ""}, "highest occupied molecular orbital": {"entity_name": "HOMO energy level", "entity_start": 119, "entity_end": 121, "property_value_start": 123, "property_value_end": 124, "property_numeric_value": -5.18, "property_unit": "eV", "property_value_descriptor": ""}, "lowest unoccupied molecular orbital": {}, "bandgap": {}, "hole mobility": {}, "electron mobility": {}, "external quantum efficiency": {}}</t>
  </si>
  <si>
    <t xml:space="preserve">10.1021/ma062633p</t>
  </si>
  <si>
    <t xml:space="preserve">PT-VTThV2</t>
  </si>
  <si>
    <t xml:space="preserve">['PT-VTThV2', 'PT-VTThV8']</t>
  </si>
  <si>
    <t xml:space="preserve">{"power conversion efficiency": {"entity_name": "power conversion efficiency", "entity_start": 213, "entity_end": 215, "property_value_start": 239, "property_value_end": 240, "property_numeric_value": 1.72,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131, "entity_end": 132, "property_value_start": 167, "property_value_end": 173, "property_numeric_value": 0.0009480000000000001, "property_unit": "cm^{2}(V s)", "property_value_descriptor": ""}, "electron mobility": {}, "external quantum efficiency": {}}</t>
  </si>
  <si>
    <t xml:space="preserve">10.1021/ma900906t</t>
  </si>
  <si>
    <t xml:space="preserve">1-(3-methoxycarbonyl)propyl-1-phenyl-[6,6]-C-61</t>
  </si>
  <si>
    <t xml:space="preserve">{"power conversion efficiency": {"entity_name": "PCE", "entity_start": 265, "entity_end": 265, "property_value_start": 267, "property_value_end": 268, "property_numeric_value": 2.23, "property_unit": "%", "property_value_descriptor": ""}, "open circuit voltage": {}, "short circuit current": {}, "fill factor": {}, "highest occupied molecular orbital": {}, "lowest unoccupied molecular orbital": {}, "bandgap": {"entity_name": "optical bandgaps", "entity_start": 153, "entity_end": 154, "property_value_start": 158, "property_value_end": 159, "property_numeric_value": 1.52, "property_unit": "eV", "property_value_descriptor": ""}, "hole mobility": {}, "electron mobility": {}, "external quantum efficiency": {}}</t>
  </si>
  <si>
    <t xml:space="preserve">10.1021/ma201565f</t>
  </si>
  <si>
    <t xml:space="preserve">BdT</t>
  </si>
  <si>
    <t xml:space="preserve">{"power conversion efficiency": {"entity_name": "power conversion efficiency", "entity_start": 166, "entity_end": 168, "property_value_start": 170, "property_value_end": 171, "property_numeric_value": 3.4, "property_unit": "%", "property_value_descriptor": ""}, "open circuit voltage": {"entity_name": "V_{oc}", "entity_start": 185, "entity_end": 186, "property_value_start": 188, "property_value_end": 189, "property_numeric_value": 0.9, "property_unit": "V", "property_value_descriptor": ""}, "short circuit current": {}, "fill factor": {}, "highest occupied molecular orbital": {"entity_name": "HOMO", "entity_start": 151, "entity_end": 151, "property_value_start": 153, "property_value_end": 154, "property_numeric_value": -5.19, "property_unit": "eV", "property_value_descriptor": ""}, "lowest unoccupied molecular orbital": {}, "bandgap": {}, "hole mobility": {}, "electron mobility": {}, "external quantum efficiency": {}}</t>
  </si>
  <si>
    <t xml:space="preserve">PBdT-DPP</t>
  </si>
  <si>
    <t xml:space="preserve">['PBdT-DPP']</t>
  </si>
  <si>
    <t xml:space="preserve">{"power conversion efficiency": {}, "open circuit voltage": {}, "short circuit current": {"entity_name": "J_{sc}", "entity_start": 174, "entity_end": 175, "property_value_start": 177, "property_value_end": 181, "property_numeric_value": 5.5, "property_unit": "mA/cm^{2}", "property_value_descriptor": ""}, "fill factor": {"entity_name": "FF", "entity_start": 194, "entity_end": 194, "property_value_start": 196, "property_value_end": 197, "property_numeric_value": 68.7,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</si>
  <si>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10.1021/ma800494k</t>
  </si>
  <si>
    <t xml:space="preserve">['P1', 'P3', 'P3PC_{71}BM', 'P4']</t>
  </si>
  <si>
    <t xml:space="preserve">{"power conversion efficiency": {"entity_name": "PCE", "entity_start": 108, "entity_end": 108, "property_value_start": 118, "property_value_end": 119, "property_numeric_value": 3.3, "property_unit": "%", "property_value_descriptor": ""}, "open circuit voltage": {"entity_name": "V_{oc}", "entity_start": 142, "entity_end": 143, "property_value_start": 146, "property_value_end": 147, "property_numeric_value": 0.8, "property_unit": "V", "property_value_descriptor": ""}, "short circuit current": {"entity_name": "J_{sc}", "entity_start": 127, "entity_end": 128, "property_value_start": 131, "property_value_end": 135, "property_numeric_value": 7.6, "property_unit": "mA/cm^{2}", "property_value_descriptor": ""}, "fill factor": {"entity_name": "FF", "entity_start": 154, "entity_end": 154, "property_value_start": 157, "property_value_end": 157, "property_numeric_value": 54.0,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</si>
  <si>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10.1021/ma101491c</t>
  </si>
  <si>
    <t xml:space="preserve">PCzTPA-TVDT</t>
  </si>
  <si>
    <t xml:space="preserve">['PCzTPA-TVDT', 'PCzTPA-TVDTPC_{70}BM']</t>
  </si>
  <si>
    <t xml:space="preserve">{"power conversion efficiency": {"entity_name": "power conversion efficiency", "entity_start": 192, "entity_end": 194, "property_value_start": 196, "property_value_end": 197, "property_numeric_value": 2.76, "property_unit": "%", "property_value_descriptor": ""}, "open circuit voltage": {"entity_name": "V_{oc}", "entity_start": 199, "entity_end": 200, "property_value_start": 202, "property_value_end": 203, "property_numeric_value": 0.87,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</si>
  <si>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10.1021/ma201976t</t>
  </si>
  <si>
    <t xml:space="preserve">PBDTBTBTz</t>
  </si>
  <si>
    <t xml:space="preserve">[*]c9cc(CCCCCC)c(c8ccc(c7sc(c6nc(CCCCCCCCC)c(c5ccc(c4sc(c3cc2c(OCC(CC)CCCC)c1sc([*])cc1c(OCC(CC)CCCC)c2s3)cc4CCCCCC)s5)s6)nc7CCCCCCCCC)s8)s9</t>
  </si>
  <si>
    <t xml:space="preserve">['PBDTBTBTz']</t>
  </si>
  <si>
    <t xml:space="preserve">9.01 mA/cm^{2}</t>
  </si>
  <si>
    <t xml:space="preserve">{"power conversion efficiency": {"entity_name": "PCE", "entity_start": 101, "entity_end": 101, "property_value_start": 124, "property_value_end": 125, "property_numeric_value": 3.82, "property_unit": "%", "property_value_descriptor": ""}, "open circuit voltage": {"entity_name": "V_{oc}", "entity_start": 190, "entity_end": 191, "property_value_start": 193, "property_value_end": 194, "property_numeric_value": 0.82, "property_unit": "V", "property_value_descriptor": ""}, "short circuit current": {}, "fill factor": {}, "highest occupied molecular orbital": {}, "lowest unoccupied molecular orbital": {}, "bandgap": {}, "hole mobility": {"entity_name": "hole mobilities", "entity_start": 71, "entity_end": 72, "property_value_start": 87, "property_value_end": 93, "property_numeric_value": 0.00177, "property_unit": "cm^{2}(V s)", "property_value_descriptor": ""}, "electron mobility": {}, "external quantum efficiency": {}}</t>
  </si>
  <si>
    <t xml:space="preserve">PDTSBTBTz</t>
  </si>
  <si>
    <t xml:space="preserve">[*]c9cc(CCCCCC)c(c8ccc(c7sc(c6nc(CCCCCCCCC)c(c5ccc(c4sc(c1cc3c(s1)c2sc([*])cc2[Si]3(CC(CC)CCCC)CC(CC)CCCC)cc4CCCCCC)s5)s6)nc7CCCCCCCCC)s8)s9</t>
  </si>
  <si>
    <t xml:space="preserve">['PDTSBTBTz']</t>
  </si>
  <si>
    <t xml:space="preserve">8.68 mA/cm^{2}</t>
  </si>
  <si>
    <t xml:space="preserve">{"power conversion efficiency": {"entity_name": "PCE", "entity_start": 161, "entity_end": 161, "property_value_start": 178, "property_value_end": 179, "property_numeric_value": 4.46, "property_unit": "%", "property_value_descriptor": ""}, "open circuit voltage": {}, "short circuit current": {"entity_name": "J_{sc}", "entity_start": 181, "entity_end": 182, "property_value_start": 184, "property_value_end": 188, "property_numeric_value": 9.01, "property_unit": "mA/cm^{2}", "property_value_descriptor": ""}, "fill factor": {"entity_name": "FF", "entity_start": 197, "entity_end": 197, "property_value_start": 199, "property_value_end": 199, "property_numeric_value": 60.3,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</si>
  <si>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10.1021/ma8016508</t>
  </si>
  <si>
    <t xml:space="preserve">HPP-BTPt</t>
  </si>
  <si>
    <t xml:space="preserve">[*]C#Cc4ccc(c2cnc(c1ccc(C#C[Pt]([*])([P+](CCCC)(CCCC)CCCC)[P+](CCCC)(CCCC)CCCC)s1)c3nc(CCCCCCC)c(CCCCCCC)nc23)s4</t>
  </si>
  <si>
    <t xml:space="preserve">['poly[5-(5′-trans-bis(tributylphosphine)platinum ethynyl-thiophen-2′-yl)-8-(5′′-ethynyl-thiophen-2′′-yl)-2,3-diheptyl-pyrido[3,4-b]pyrazine]','HPP-BTPt']</t>
  </si>
  <si>
    <t xml:space="preserve">{"power conversion efficiency": {"entity_name": "power conversion efficiencies", "entity_start": 221, "entity_end": 223, "property_value_start": 234, "property_value_end": 235, "property_numeric_value": 2.41, "property_unit": "%", "property_value_descriptor": ""}, "open circuit voltage": {}, "short circuit current": {}, "fill factor": {}, "highest occupied molecular orbital": {}, "lowest unoccupied molecular orbital": {}, "bandgap": {"entity_name": "Optical bandgaps", "entity_start": 152, "entity_end": 153, "property_value_start": 161, "property_value_end": 164, "property_numeric_value": 1.73, "property_unit": "eV", "property_value_descriptor": "to"}, "hole mobility": {"entity_name": "hole mobilities", "entity_start": 183, "entity_end": 184, "property_value_start": 186, "property_value_end": 197, "property_numeric_value": 1.67935e-05, "property_unit": "cm^{2}(V s)", "property_value_descriptor": "to"}, "electron mobility": {}, "external quantum efficiency": {}}</t>
  </si>
  <si>
    <t xml:space="preserve">BT-BTPt</t>
  </si>
  <si>
    <t xml:space="preserve">[*]C#Cc4ccc(c2ccc(c1ccc(C#C[Pt]([*])([P+](CCCC)(CCCC)CCCC)[P+](CCCC)(CCCC)CCCC)s1)c3nsnc23)s4</t>
  </si>
  <si>
    <t xml:space="preserve">['poly[4-(5′-trans-bis(tributylphosphine)platinum ethynyl-thiophen-2′-yl)-7-(5′′-ethynyl-thiophen-2′′-yl)-benzo[1,2,5]thiadiazole]','BT-BTPt']</t>
  </si>
  <si>
    <t xml:space="preserve">10.1021/ma100943t</t>
  </si>
  <si>
    <t xml:space="preserve">[*]/C=C/c4cc(OCCCCCC)c(/C=C/c2cc(/C=C(C#N)/c1ccc(N(=O)=O)cc1)c([*])cc2/C=C(C#N)/c3ccc(N(=O)=O)cc3)cc4OCCCCCC</t>
  </si>
  <si>
    <t xml:space="preserve">{"power conversion efficiency": {"entity_name": "PCE", "entity_start": 168, "entity_end": 168, "property_value_start": 178, "property_value_end": 179, "property_numeric_value": 4.06,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</si>
  <si>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[*]/C=C/c5cc(OCCCCCC)c(/C=C/c4ccc(N(c1ccc([*])cc1)c3ccc(/C=C(C#N)/c2ccc(N(=O)=O)cc2)cc3)cc4)cc5OCCCCCC</t>
  </si>
  <si>
    <t xml:space="preserve">{"power conversion efficiency": {"entity_name": "PCE", "entity_start": 168, "entity_end": 168, "property_value_start": 181, "property_value_end": 182, "property_numeric_value": 3.35,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</si>
  <si>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10.1021/ma060662u</t>
  </si>
  <si>
    <t xml:space="preserve">biTV-PTV3</t>
  </si>
  <si>
    <t xml:space="preserve">{[*]/C=C/c1sc([*])cc1/C=C/c3ccc(/C=C/c2ccc(CCCCCCCCCCCC)s2)s3,[*]/C=C/c1sc([*])cc1CCCCCC}</t>
  </si>
  <si>
    <t xml:space="preserve">['biTV-PTV3']</t>
  </si>
  <si>
    <t xml:space="preserve">{"power conversion efficiency": {"entity_name": "power conversion efficiency", "entity_start": 282, "entity_end": 284, "property_value_start": 289, "property_value_end": 290, "property_numeric_value": 0.32,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</si>
  <si>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10.1021/ma2003097</t>
  </si>
  <si>
    <t xml:space="preserve">[*]c7cc6c(OCCCCCCCCCCCCC)c5sc(c1cc3c(s1)c2sc([*])cc2c4c(=O)n(CCCCCCCCCCCCC)c(=O)c34)cc5c(OCCCCCCCCCCCCC)c6s7</t>
  </si>
  <si>
    <t xml:space="preserve">{"power conversion efficiency": {"entity_name": "power conversion efficiency", "entity_start": 184, "entity_end": 186, "property_value_start": 188, "property_value_end": 189, "property_numeric_value": 0.3, "property_unit": "%", "property_value_descriptor": ""}, "open circuit voltage": {}, "short circuit current": {}, "fill factor": {}, "highest occupied molecular orbital": {"entity_name": "HOMOs", "entity_start": 138, "entity_end": 138, "property_value_start": 140, "property_value_end": 143, "property_numeric_value": -5.75, "property_unit": "eV", "property_value_descriptor": "to"}, "lowest unoccupied molecular orbital": {"entity_name": "LUMOs", "entity_start": 145, "entity_end": 145, "property_value_start": 147, "property_value_end": 150, "property_numeric_value": -3.0999999999999996, "property_unit": "eV", "property_value_descriptor": "to"}, "bandgap": {"entity_name": "optical bandgaps", "entity_start": 118, "entity_end": 119, "property_value_start": 121, "property_value_end": 124, "property_numeric_value": 2.065, "property_unit": "eV", "property_value_descriptor": "-"}, "hole mobility": {}, "electron mobility": {}, "external quantum efficiency": {}}</t>
  </si>
  <si>
    <t xml:space="preserve">10.1021/ma900416d</t>
  </si>
  <si>
    <t xml:space="preserve">[*]c7ccc(c6sc(c5nc(CCCCCC)c(c4ccc(c1cc3c(s1)c2sc([*])cc2C3(CC(CC)CCCC)CC(CC)CCCC)s4)s5)nc6CCCCCC)s7</t>
  </si>
  <si>
    <t xml:space="preserve">['P4']</t>
  </si>
  <si>
    <t xml:space="preserve">{"power conversion efficiency": {"entity_name": "PCE", "entity_start": 248, "entity_end": 248, "property_value_start": 251, "property_value_end": 252, "property_numeric_value": 3.04, "property_unit": "%", "property_value_descriptor": ""}, "open circuit voltage": {"entity_name": "open-circuit voltage", "entity_start": 255, "entity_end": 258, "property_value_start": 260, "property_value_end": 261, "property_numeric_value": 0.7, "property_unit": "V", "property_value_descriptor": ""}, "short circuit current": {"entity_name": "short-circuit current", "entity_start": 264, "entity_end": 267, "property_value_start": 269, "property_value_end": 273, "property_numeric_value": 8.0, "property_unit": "mA/cm^{2}", "property_value_descriptor": ""}, "fill factor": {"entity_name": "fill factor", "entity_start": 277, "entity_end": 278, "property_value_start": 280, "property_value_end": 281, "property_numeric_value": 53.7, "property_unit": "%", "property_value_descriptor": ""}, "highest occupied molecular orbital": {}, "lowest unoccupied molecular orbital": {}, "bandgap": {"entity_name": "optical band gaps", "entity_start": 59, "entity_end": 61, "property_value_start": 63, "property_value_end": 66, "property_numeric_value": 1.8199999999999998, "property_unit": "eV", "property_value_descriptor": "-"}, "hole mobility": {}, "electron mobility": {}, "external quantum efficiency": {}}</t>
  </si>
  <si>
    <t xml:space="preserve">10.1021/ma2009386</t>
  </si>
  <si>
    <t xml:space="preserve">P3HTT-DPP</t>
  </si>
  <si>
    <t xml:space="preserve">{[*]c1cc(CCCCCC)c([*])s1,[*]c1ccc([*])s1,[*]c4ccc(c3c2c(=O)n(CC(CC)CCCC)c(c1ccc([*])s1)c2c(=O)n3CC(CC)CCCC)s4}</t>
  </si>
  <si>
    <t xml:space="preserve">['P3HTT-DPP']</t>
  </si>
  <si>
    <t xml:space="preserve">9.57 - 13.87 mA/cm^{2}</t>
  </si>
  <si>
    <t xml:space="preserve">{"power conversion efficiency": {"entity_name": "power conversion efficiencies", "entity_start": 220, "entity_end": 222, "property_value_start": 235, "property_value_end": 236, "property_numeric_value": 3.4, "property_unit": "%", "property_value_descriptor": ""}, "open circuit voltage": {}, "short circuit current": {"entity_name": "J sc", "entity_start": 195, "entity_end": 197, "property_value_start": 210, "property_value_end": 214, "property_numeric_value": 9.49,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</si>
  <si>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9.49 mA/cm^{2}</t>
  </si>
  <si>
    <t xml:space="preserve">10.1021/ma201673m</t>
  </si>
  <si>
    <t xml:space="preserve">PDTS-DTBTA</t>
  </si>
  <si>
    <t xml:space="preserve">[*]c7ccc(c5ccc(c4ccc(c1cc3c(s1)c2sc([*])cc2[Si]3(CC(CC)CCCC)CC(CC)CCCC)s4)c6nn(CCCCCCCC)nc56)s7</t>
  </si>
  <si>
    <t xml:space="preserve">{"power conversion efficiency": {"entity_name": "power conversion efficiency", "entity_start": 125, "entity_end": 127, "property_value_start": 141, "property_value_end": 142, "property_numeric_value": 1.64,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</si>
  <si>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PDTS-BTA</t>
  </si>
  <si>
    <t xml:space="preserve">[*]c1cc5c(s1)c4sc(c2ccc([*])c3nn(CCCCCCCC)nc23)cc4[Si]5(CC(CC)CCCC)CC(CC)CCCC</t>
  </si>
  <si>
    <t xml:space="preserve">10.1021/ma201477b</t>
  </si>
  <si>
    <t xml:space="preserve">PAFDTBT</t>
  </si>
  <si>
    <t xml:space="preserve">[*]c1ccc7c(c1)c(=C(CCCCCC)CCCCCC)c6cc(c5ccc(c3c(OCCCCCCCCC)c(OCCCCCCCCC)c(c2ccc([*])s2)c4nsnc34)s5)ccc67</t>
  </si>
  <si>
    <t xml:space="preserve">["poly[9-(1'-hexylheptylidene)-2,7-fluorene-alt-5,5-(4',7'-di-2-thienyl-5',6'-dialkoxy-2',1',3'-benzothiadiazole)]", 'PAFDTBT']</t>
  </si>
  <si>
    <t xml:space="preserve">{"power conversion efficiency": {}, "open circuit voltage": {}, "short circuit current": {}, "fill factor": {}, "highest occupied molecular orbital": {"entity_name": "HOMO energy", "entity_start": 56, "entity_end": 57, "property_value_start": 60, "property_value_end": 61, "property_numeric_value": 5.32, "property_unit": "eV", "property_value_descriptor": ""}, "lowest unoccupied molecular orbital": {}, "bandgap": {"entity_name": "band gap", "entity_start": 46, "entity_end": 47, "property_value_start": 49, "property_value_end": 50, "property_numeric_value": 1.84, "property_unit": "eV", "property_value_descriptor": ""}, "hole mobility": {}, "electron mobility": {}, "external quantum efficiency": {}}</t>
  </si>
  <si>
    <t xml:space="preserve">10.1021/ma2019683</t>
  </si>
  <si>
    <t xml:space="preserve">PBDTTT-TIPS</t>
  </si>
  <si>
    <t xml:space="preserve">[*]c7cc(CCCCCCCCCCCC)c(c6nc5sc(c4sc(c3cc2c(C#C[Si](C(C)C)(C(C)C)C(C)C)c1sc([*])cc1c(C#C[Si](C(C)C)(C(C)C)C(C)C)c2s3)cc4CCCCCCCCCCCC)nc5s6)s7</t>
  </si>
  <si>
    <t xml:space="preserve">['PBDTTT-TIPS']</t>
  </si>
  <si>
    <t xml:space="preserve">{"power conversion efficiency": {}, "open circuit voltage": {}, "short circuit current": {}, "fill factor": {}, "highest occupied molecular orbital": {"entity_name": "HOMO level", "entity_start": 55, "entity_end": 56, "property_value_start": 58, "property_value_end": 59, "property_numeric_value": -5.3, "property_unit": "eV", "property_value_descriptor": ""}, "lowest unoccupied molecular orbital": {}, "bandgap": {}, "hole mobility": {"entity_name": "hole mobility", "entity_start": 62, "entity_end": 63, "property_value_start": 67, "property_value_end": 75, "property_numeric_value": 0.0012, "property_unit": "cm^{2} V^{-1} s^{-1}", "property_value_descriptor": ""}, "electron mobility": {}, "external quantum efficiency": {}}</t>
  </si>
  <si>
    <t xml:space="preserve">PBDTTT-C12</t>
  </si>
  <si>
    <t xml:space="preserve">[*]c7cc(CCCCCCCCCCCC)c(c6nc5sc(c4sc(c3cc2c(OCCCCCCCCCCCCC)c1sc([*])cc1c(OCCCCCCCCCCCCC)c2s3)cc4CCCCCCCCCCCC)nc5s6)s7</t>
  </si>
  <si>
    <t xml:space="preserve">['PBDTTT-C12']</t>
  </si>
  <si>
    <t xml:space="preserve">{"power conversion efficiency": {"entity_name": "power conversion efficiency", "entity_start": 97, "entity_end": 99, "property_value_start": 103, "property_value_end": 104, "property_numeric_value": 4.33,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</si>
  <si>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10.1021/ma101088f</t>
  </si>
  <si>
    <t xml:space="preserve">[*]/C=C/c7cc(CCCCCCCCCCCC)c(c5ccc(c4sc(/C=C/c3ccc2c1ccc([*])cc1C(CCCCCCCCCCCC)(CCCCCCCCCCCC)c2c3)cc4CCCCCCCCCCCC)c6nsnc56)s7</t>
  </si>
  <si>
    <t xml:space="preserve">{"power conversion efficiency": {"entity_name": "power conversion efficiency", "entity_start": 316, "entity_end": 318, "property_value_start": 321, "property_value_end": 322, "property_numeric_value": 1.42, "property_unit": "%", "property_value_descriptor": ""}, "open circuit voltage": {"entity_name": "V_{oc}", "entity_start": 333, "entity_end": 334, "property_value_start": 336, "property_value_end": 337, "property_numeric_value": 0.765, "property_unit": "V", "property_value_descriptor": ""}, "short circuit current": {"entity_name": "J_{sc}", "entity_start": 324, "entity_end": 325, "property_value_start": 327, "property_value_end": 331, "property_numeric_value": 5.82, "property_unit": "mA/cm^{2}", "property_value_descriptor": ""}, "fill factor": {"entity_name": "FF", "entity_start": 340, "entity_end": 340, "property_value_start": 342, "property_value_end": 342, "property_numeric_value": 32.0,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</si>
  <si>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[*]/C=C/c7cc(CCCCCCCCCCCC)c(c5ccc(c4sc(/C=C/c1cc3c(s1)c2sc([*])cc2C3(CCCCCCCCCCCC)CCCCCCCCCCCC)cc4CCCCCCCCCCCC)c6nsnc56)s7</t>
  </si>
  <si>
    <t xml:space="preserve">[*]/C=C/c4ccc(/C=C/c3ccc2c1ccc([*])cc1C(OCC(CC)CCCC)(OCC(CC)CCCC)c2c3)c5nsnc45</t>
  </si>
  <si>
    <t xml:space="preserve">[*]/C=C/c4ccc(/C=C/c3cc2c1sc([*])cc1C(OCC(CC)CCCC)(OCC(CC)CCCC)c2s3)c5nsnc45</t>
  </si>
  <si>
    <t xml:space="preserve">10.1021/ma101693d</t>
  </si>
  <si>
    <t xml:space="preserve">='PBB'</t>
  </si>
  <si>
    <t xml:space="preserve">{[*]C#Cc2c1oc(N(CCCCCC)CCCCCC)c(C#N)c1c(C#C[*])c3oc(N(CCCCCC)CCCCCC)c(C#N)c23,[*]c1ccc([*])c2nsnc12}</t>
  </si>
  <si>
    <t xml:space="preserve">['PBB']</t>
  </si>
  <si>
    <t xml:space="preserve">{"power conversion efficiency": {"entity_name": "power conversion efficiencies", "entity_start": 122, "entity_end": 124, "property_value_start": 126, "property_value_end": 129, "property_numeric_value": 0.38, "property_unit": "%", "property_value_descriptor": "-"}, "open circuit voltage": {}, "short circuit current": {}, "fill factor": {}, "highest occupied molecular orbital": {}, "lowest unoccupied molecular orbital": {}, "bandgap": {"entity_name": "optical band gaps", "entity_start": 43, "entity_end": 45, "property_value_start": 47, "property_value_end": 50, "property_numeric_value": 1.8599999999999999, "property_unit": "eV", "property_value_descriptor": "-"}, "hole mobility": {}, "electron mobility": {}, "external quantum efficiency": {}}</t>
  </si>
  <si>
    <t xml:space="preserve">10.1021/ma702864c</t>
  </si>
  <si>
    <t xml:space="preserve">tetrathiafulvalene- (TTF-) fused poly(aryleneethynylene)</t>
  </si>
  <si>
    <t xml:space="preserve">[*]C#Cc8ccc(C#Cc7ccc6c1ccc([*])cc1c5nc4cc3sc(=c2sc(SCCCCCCCCCCCCC)c(SCCCCCCCCCCCCC)s2)sc3cc4nc5c6c7)c9nsnc89</t>
  </si>
  <si>
    <t xml:space="preserve">['tetrathiafulvalene- (TTF-) fused poly(aryleneethynylene)']</t>
  </si>
  <si>
    <t xml:space="preserve">{"power conversion efficiency": {"entity_name": "power conversion efficiency", "entity_start": 130, "entity_end": 132, "property_value_start": 134, "property_value_end": 135, "property_numeric_value": 0.25, "property_unit": "%", "property_value_descriptor": ""}, "open circuit voltage": {}, "short circuit current": {}, "fill factor": {}, "highest occupied molecular orbital": {}, "lowest unoccupied molecular orbital": {}, "bandgap": {"entity_name": "band gaps", "entity_start": 58, "entity_end": 59, "property_value_start": 71, "property_value_end": 74, "property_numeric_value": 1.81, "property_unit": "eV", "property_value_descriptor": "and"}, "hole mobility": {}, "electron mobility": {}, "external quantum efficiency": {}}</t>
  </si>
  <si>
    <t xml:space="preserve">10.1021/ma1011182</t>
  </si>
  <si>
    <t xml:space="preserve">{"power conversion efficiency": {"entity_name": "power conversion efficiency", "entity_start": 45, "entity_end": 47, "property_value_start": 56, "property_value_end": 57, "property_numeric_value": 4.4,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</si>
  <si>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10.1021/ma102943g</t>
  </si>
  <si>
    <t xml:space="preserve">poly[N-9''-heptadecanyl-2,7-carbazole-alt-5,5-(5',8'-di-2-thienyl-2,3-bis(4-octyloxyl)phenyl)quinoxaline]</t>
  </si>
  <si>
    <t xml:space="preserve">[*]c9ccc8c7ccc(c6ccc(c4ccc(c1ccc([*])s1)c5nc(c2ccc(OCCCCCCCC)cc2)c(c3ccc(OCCCCCCCC)cc3)nc45)s6)cc7n(C(CCCCCCCC)CCCCCCCC)c8c9</t>
  </si>
  <si>
    <t xml:space="preserve">["poly[N-9''-heptadecanyl-2,7-carbazole-alt-5,5-(5',8'-di-2-thienyl-2,3-bis(4-octyloxyl)phenyl)quinoxaline]", 'P2']</t>
  </si>
  <si>
    <t xml:space="preserve">{"power conversion efficiency": {"entity_name": "power-conversion efficiency", "entity_start": 157, "entity_end": 160, "property_value_start": 162, "property_value_end": 163, "property_numeric_value": 4.0, "property_unit": "%", "property_value_descriptor": ""}, "open circuit voltage": {"entity_name": "V_{OC}", "entity_start": 122, "entity_end": 124, "property_value_start": 126, "property_value_end": 127, "property_numeric_value": 0.82, "property_unit": "V", "property_value_descriptor": ""}, "short circuit current": {"entity_name": "J_{SC}", "entity_start": 136, "entity_end": 138, "property_value_start": 140, "property_value_end": 144, "property_numeric_value": 9.96, "property_unit": "mA/cm^{2}", "property_value_descriptor": ""}, "fill factor": {"entity_name": "FF", "entity_start": 150, "entity_end": 150, "property_value_start": 153, "property_value_end": 153, "property_numeric_value": 49.0,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</si>
  <si>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10.1021/ma801407u</t>
  </si>
  <si>
    <t xml:space="preserve">IIb</t>
  </si>
  <si>
    <t xml:space="preserve">[*]C#CC%13CC%12CC%11CC(C#Cc3c7ccc8c(c1cc(OCCCCCCCCCCCCC)c(OCCCCCCCCCCCCC)c(OCCCCCCCCCCCCC)c1)c%10ccc9c([*])c5ccc6c(c2cc(OCCCCCCCCCCCCC)c(OCCCCCCCCCCCCC)c(OCCCCCCCCCCCCC)c2)c4ccc3[n+]4[Zn](n56)(n78)[n+]9%10)CC%11C%12C%13</t>
  </si>
  <si>
    <t xml:space="preserve">['IIb']</t>
  </si>
  <si>
    <t xml:space="preserve">{"power conversion efficiency": {"entity_name": "PCE", "entity_start": 251, "entity_end": 251, "property_value_start": 254, "property_value_end": 255, "property_numeric_value": 0.3,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</si>
  <si>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10.1021/ma800820r</t>
  </si>
  <si>
    <t xml:space="preserve">H6</t>
  </si>
  <si>
    <t xml:space="preserve">[*]c4ccc(c3cc2c(OCCCCCCCCCCCCC)c1sc([*])cc1c(OCCCCCCCCCCCCC)c2s3)s4</t>
  </si>
  <si>
    <t xml:space="preserve">['H6']</t>
  </si>
  <si>
    <t xml:space="preserve">0.75 V</t>
  </si>
  <si>
    <t xml:space="preserve">3.8 mA/cm^{2}</t>
  </si>
  <si>
    <t xml:space="preserve">{"power conversion efficiency": {"entity_name": "PCE", "entity_start": 323, "entity_end": 323, "property_value_start": 342, "property_value_end": 343, "property_numeric_value": 1.6, "property_unit": "%", "property_value_descriptor": ""}, "open circuit voltage": {}, "short circuit current": {}, "fill factor": {"entity_name": "FF", "entity_start": 353, "entity_end": 353, "property_value_start": 368, "property_value_end": 369, "property_numeric_value": 56.0, "property_unit": "%", "property_value_descriptor": ""}, "highest occupied molecular orbital": {}, "lowest unoccupied molecular orbital": {}, "bandgap": {"entity_name": "bandgaps", "entity_start": 94, "entity_end": 94, "property_value_start": 104, "property_value_end": 107, "property_numeric_value": 1.5, "property_unit": "eV", "property_value_descriptor": "-"}, "hole mobility": {}, "electron mobility": {}, "external quantum efficiency": {}}</t>
  </si>
  <si>
    <t xml:space="preserve">10.1021/ma902398q</t>
  </si>
  <si>
    <t xml:space="preserve">poly{N-[1-(2-ethylhexyl)-3-ethylheptanyl]-dithieno[3,2-b:2',3'-d]pyrrole-3,6-dithien-2-yl-2,5-dibutylpyrrolo[3,4-c]pyrrole-1,4-dione-5',5''-diyl}</t>
  </si>
  <si>
    <t xml:space="preserve">[*]c7ccc(c6c5c(=O)n(CCCC)c(c4ccc(c1cc3c(s1)c2sc([*])cc2n3C(CC(CC)CCCC)CC(CC)CCCC)s4)c5c(=O)n6CCCC)s7</t>
  </si>
  <si>
    <t xml:space="preserve">["poly{N-[1-(2-ethylhexyl)-3-ethylheptanyl]-dithieno[3,2-b:2',3'-d]pyrrole-3,6-dithien-2-yl-2,5-dibutylpyrrolo[3,4-c]pyrrole-1,4-dione-5',5''-diyl}",'PDTP-DTDPP(Bu)']</t>
  </si>
  <si>
    <t xml:space="preserve">{"power conversion efficiency": {"entity_name": "power conversion efficiency", "entity_start": 105, "entity_end": 107, "property_value_start": 109, "property_value_end": 110, "property_numeric_value": 2.71, "property_unit": "%", "property_value_descriptor": ""}, "open circuit voltage": {}, "short circuit current": {"entity_name": "short-circuit current", "entity_start": 93, "entity_end": 96, "property_value_start": 98, "property_value_end": 102, "property_numeric_value": 14.87,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</si>
  <si>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10.1021/ma101878w</t>
  </si>
  <si>
    <t xml:space="preserve">[*]c1cc5c(s1)c4sc(c2sc([*])c3c(=O)n(CCCCCCCCCCCCC)c(=O)c23)cc4C5(CCCCCCCC)CCCCCCCC</t>
  </si>
  <si>
    <t xml:space="preserve">['P3', 'P3-based']</t>
  </si>
  <si>
    <t xml:space="preserve">['(6,6)-phenyl-C71-butyric acid ester','PC_{71}BM']</t>
  </si>
  <si>
    <t xml:space="preserve">{"power conversion efficiency": {}, "open circuit voltage": {"entity_name": "V_{oc}", "entity_start": 202, "entity_end": 203, "property_value_start": 205, "property_value_end": 206, "property_numeric_value": 0.8, "property_unit": "V", "property_value_descriptor": "~"}, "short circuit current": {}, "fill factor": {}, "highest occupied molecular orbital": {"entity_name": "HOMO level", "entity_start": 100, "entity_end": 101, "property_value_start": 103, "property_value_end": 104, "property_numeric_value": -5.26, "property_unit": "eV", "property_value_descriptor": ""}, "lowest unoccupied molecular orbital": {}, "bandgap": {}, "hole mobility": {}, "electron mobility": {}, "external quantum efficiency": {}}</t>
  </si>
  <si>
    <t xml:space="preserve">[*]c4cc(OCCCCCCCCCCCCC)c(c3sc(c1sc([*])c2c(=O)n(CC(CCCC)CCCCCC)c(=O)c12)cc3OCCCCCCCCCCCCC)s4</t>
  </si>
  <si>
    <t xml:space="preserve">{"power conversion efficiency": {}, "open circuit voltage": {"entity_name": "V_{oc}", "entity_start": 168, "entity_end": 169, "property_value_start": 171, "property_value_end": 174, "property_numeric_value": 0.5, "property_unit": "V", "property_value_descriptor": "-"},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</si>
  <si>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10.1021/ma501078e</t>
  </si>
  <si>
    <t xml:space="preserve">PBDTC-TT</t>
  </si>
  <si>
    <t xml:space="preserve">[*]c5cc4c(C(=O)OCCCCCCCCCCCC(C)C)c3sc(c1sc([*])c2cc(CCCCCC)sc12)cc3c(C(=O)OCCCCCCCCCCCCC)c4s5</t>
  </si>
  <si>
    <t xml:space="preserve">12.54 mA cm^{-2}</t>
  </si>
  <si>
    <t xml:space="preserve">{"power conversion efficiency": {}, "open circuit voltage": {"entity_name": "open circuit voltage", "entity_start": 210, "entity_end": 212, "property_value_start": 214, "property_value_end": 215, "property_numeric_value": 0.51, "property_unit": "V", "property_value_descriptor": ""}, "short circuit current": {}, "fill factor": {"entity_name": "fill factor", "entity_start": 204, "entity_end": 205, "property_value_start": 207, "property_value_end": 207, "property_numeric_value": 48.0,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</si>
  <si>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10.1021/ma5001282</t>
  </si>
  <si>
    <t xml:space="preserve">{"power conversion efficiency": {"entity_name": "PCE", "entity_start": 175, "entity_end": 175, "property_value_start": 177, "property_value_end": 178, "property_numeric_value": 7.49,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</si>
  <si>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10.1021/ma500417r</t>
  </si>
  <si>
    <t xml:space="preserve">P-1a</t>
  </si>
  <si>
    <t xml:space="preserve">[*]c7ccc6c5ccc(c4ccc(c2c(OCCCCCCCC)c(F)c(c1ccc([*])s1)c3nsnc23)s4)cc5[Si](CCCCCCCCC)(CCCCCCCCC)c6c7</t>
  </si>
  <si>
    <t xml:space="preserve">['P-1a']</t>
  </si>
  <si>
    <t xml:space="preserve">{"power conversion efficiency": {"entity_name": "PCE", "entity_start": 191, "entity_end": 191, "property_value_start": 194, "property_value_end": 195, "property_numeric_value": 6.41,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150, "entity_end": 151, "property_value_start": 154, "property_value_end": 162, "property_numeric_value": 0.013600000000000001, "property_unit": "cm^{2} V^{-1} s^{-1}", "property_value_descriptor": ""}, "electron mobility": {}, "external quantum efficiency": {}}</t>
  </si>
  <si>
    <t xml:space="preserve">P-1b</t>
  </si>
  <si>
    <t xml:space="preserve">[*]c7ccc6c5ccc(c4ccc(c2c(OCC(CC)CCCC)c(F)c(c1ccc([*])s1)c3nsnc23)s4)cc5[Si](CCCCCCCCC)(CCCCCCCCC)c6c7</t>
  </si>
  <si>
    <t xml:space="preserve">['P-1b']</t>
  </si>
  <si>
    <t xml:space="preserve">{"power conversion efficiency": {}, "open circuit voltage": {"entity_name": "V_{oc}", "entity_start": 172, "entity_end": 173, "property_value_start": 176, "property_value_end": 177, "property_numeric_value": 0.98,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</si>
  <si>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P-1c</t>
  </si>
  <si>
    <t xml:space="preserve">[*]c7ccc6c5ccc(c4ccc(c2c(OCC(CCCCCC)CCCCCCCC)c(F)c(c1ccc([*])s1)c3nsnc23)s4)cc5[Si](CCCCCCCCC)(CCCCCCCCC)c6c7</t>
  </si>
  <si>
    <t xml:space="preserve">['P-1c']</t>
  </si>
  <si>
    <t xml:space="preserve">10.1021/ma500250j</t>
  </si>
  <si>
    <t xml:space="preserve">PDEHTT</t>
  </si>
  <si>
    <t xml:space="preserve">[*]c7cc(CCCCCCCCC)c(c6nc5sc(c4sc(c3cc2c(OCC(CCCC)CCCCCC)c1sc([*])cc1c(OCC(CCCC)CCCCCC)c2s3)cc4CCCCCCCCC)nc5s6)s7</t>
  </si>
  <si>
    <t xml:space="preserve">['PDEHTT']</t>
  </si>
  <si>
    <t xml:space="preserve">{"power conversion efficiency": {"entity_name": "power conversion efficiency", "entity_start": 184, "entity_end": 186, "property_value_start": 188, "property_value_end": 190, "property_numeric_value": 2.4, "property_unit": "%", "property_value_descriptor": "&lt;"}, "open circuit voltage": {}, "short circuit current": {}, "fill factor": {}, "highest occupied molecular orbital": {}, "lowest unoccupied molecular orbital": {}, "bandgap": {"entity_name": "optical band gap", "entity_start": 77, "entity_end": 79, "property_value_start": 81, "property_value_end": 84, "property_numeric_value": 1.9500000000000002, "property_unit": "eV", "property_value_descriptor": "-"}, "hole mobility": {"entity_name": "field-effect hole mobilities", "entity_start": 150, "entity_end": 154, "property_value_start": 156, "property_value_end": 164, "property_numeric_value": -0.013999999999999999, "property_unit": "cm^{2}(V s)", "property_value_descriptor": ""}, "electron mobility": {}, "external quantum efficiency": {}}</t>
  </si>
  <si>
    <t xml:space="preserve">10.1021/acs.macromol.7b02676</t>
  </si>
  <si>
    <t xml:space="preserve">PBDFS-fBz</t>
  </si>
  <si>
    <t xml:space="preserve">[*]c9cc8c(c1ccc(SCC(CC)CCCC)o1)c6oc(c5ccc(c3c(F)c(F)c(c2ccc([*])s2)c4nn(CC(CCCCCC)CCCCCCCC)nc34)s5)cc6c(c7ccc(SCC(CC)CCCC)o7)c8o9</t>
  </si>
  <si>
    <t xml:space="preserve">['PBDFS-fBz']</t>
  </si>
  <si>
    <t xml:space="preserve">{"power conversion efficiency": {}, "open circuit voltage": {"entity_name": "V_{oc}", "entity_start": 165, "entity_end": 166, "property_value_start": 168, "property_value_end": 169, "property_numeric_value": 0.82, "property_unit": "V", "property_value_descriptor": ""}, "short circuit current": {"entity_name": "J_{sc}", "entity_start": 215, "entity_end": 216, "property_value_start": 218, "property_value_end": 221, "property_numeric_value": 15.26, "property_unit": "mA cm^{-2}", "property_value_descriptor": ""}, "fill factor": {"entity_name": "FF", "entity_start": 225, "entity_end": 225, "property_value_start": 227, "property_value_end": 228, "property_numeric_value": 67.0, "property_unit": "%", "property_value_descriptor": ""}, "highest occupied molecular orbital": {"entity_name": "HOMO energy level", "entity_start": 106, "entity_end": 108, "property_value_start": 123, "property_value_end": 124, "property_numeric_value": -5.45, "property_unit": "eV", "property_value_descriptor": ""}, "lowest unoccupied molecular orbital": {}, "bandgap": {"entity_name": "bandgaps", "entity_start": 100, "entity_end": 100, "property_value_start": 102, "property_value_end": 103, "property_numeric_value": 1.88, "property_unit": "eV", "property_value_descriptor": "~"}, "hole mobility": {}, "electron mobility": {}, "external quantum efficiency": {}}</t>
  </si>
  <si>
    <t xml:space="preserve">PBDFS-Bz</t>
  </si>
  <si>
    <t xml:space="preserve">[*]c9cc8c(c1ccc(SCC(CC)CCCC)o1)c6oc(c5ccc(c3ccc(c2ccc([*])s2)c4nn(CC(CCCCCC)CCCCCCCC)nc34)s5)cc6c(c7ccc(SCC(CC)CCCC)o7)c8o9</t>
  </si>
  <si>
    <t xml:space="preserve">['PBDFS-Bz']</t>
  </si>
  <si>
    <t xml:space="preserve">15.14 mA cm^{-2}</t>
  </si>
  <si>
    <t xml:space="preserve">{"power conversion efficiency": {"entity_name": "PCE", "entity_start": 201, "entity_end": 201, "property_value_start": 203, "property_value_end": 204, "property_numeric_value": 9.0, "property_unit": "%", "property_value_descriptor": ""}, "open circuit voltage": {"entity_name": "V_{oc}", "entity_start": 208, "entity_end": 209, "property_value_start": 211, "property_value_end": 212, "property_numeric_value": 0.88, "property_unit": "V", "property_value_descriptor": ""}, "short circuit current": {}, "fill factor": {"entity_name": "FF", "entity_start": 182, "entity_end": 182, "property_value_start": 184, "property_value_end": 185, "property_numeric_value": 65.0,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</si>
  <si>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10.1021/acs.macromol.9b00484</t>
  </si>
  <si>
    <t xml:space="preserve">J71</t>
  </si>
  <si>
    <t xml:space="preserve">[*]c9ccc(c7c(F)c(F)c(c6ccc(c5cc4c(c1ccc([Si](CCC)(CCC)CCC)s1)c2sc([*])cc2c(c3ccc([Si](CCC)(CCC)CCC)s3)c4s5)s6)c8nn(CC(CCCCCC)CCCCCCCC)nc78)s9</t>
  </si>
  <si>
    <t xml:space="preserve">['J71', 'J71-based']</t>
  </si>
  <si>
    <t xml:space="preserve">{"power conversion efficiency": {"entity_name": "PCE", "entity_start": 232, "entity_end": 232, "property_value_start": 234, "property_value_end": 235, "property_numeric_value": 11.73,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</si>
  <si>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J76</t>
  </si>
  <si>
    <t xml:space="preserve">['J76', 'J76-based']</t>
  </si>
  <si>
    <t xml:space="preserve">{"power conversion efficiency": {"entity_name": "PCE", "entity_start": 167, "entity_end": 167, "property_value_start": 169, "property_value_end": 170, "property_numeric_value": 6.79,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</si>
  <si>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10.1021/acs.macromol.9b00682</t>
  </si>
  <si>
    <t xml:space="preserve">PffBB-14</t>
  </si>
  <si>
    <t xml:space="preserve">[*]c7cc6c(OCC(CC)CCCC)c(OCC(CC)CCCC)c5cc(c4sc(c2c(F)c(F)c(c1cc(CCCCCCCCCCCCCC)c([*])s1)c3nsnc23)cc4CCCCCCCCCCCCCC)sc5c6s7</t>
  </si>
  <si>
    <t xml:space="preserve">['PffBB-14', 'PffBB-14-based']</t>
  </si>
  <si>
    <t xml:space="preserve">{"power conversion efficiency": {"entity_name": "PCE", "entity_start": 270, "entity_end": 270, "property_value_start": 272, "property_value_end": 273, "property_numeric_value": 9.93, "property_unit": "%", "property_value_descriptor": ""}, "open circuit voltage": {}, "short circuit current": {"entity_name": "J_{sc}", "entity_start": 283, "entity_end": 284, "property_value_start": 286, "property_value_end": 289, "property_numeric_value": 16.77, "property_unit": "mA cm^{-2}", "property_value_descriptor": ""}, "fill factor": {"entity_name": "FF", "entity_start": 293, "entity_end": 293, "property_value_start": 295, "property_value_end": 296, "property_numeric_value": 64.36,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</si>
  <si>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10.1021/acs.macromol.8b00326</t>
  </si>
  <si>
    <t xml:space="preserve">{"power conversion efficiency": {"entity_name": "PCE", "entity_start": 202, "entity_end": 202, "property_value_start": 204, "property_value_end": 205, "property_numeric_value": 9.6, "property_unit": "%", "property_value_descriptor": ""}, "open circuit voltage": {"entity_name": "V_{oc}", "entity_start": 150, "entity_end": 151, "property_value_start": 154, "property_value_end": 155, "property_numeric_value": 0.9, "property_unit": "V", "property_value_descriptor": ""}, "short circuit current": {"entity_name": "J_{sc}", "entity_start": 162, "entity_end": 163, "property_value_start": 166, "property_value_end": 169, "property_numeric_value": 14.0, "property_unit": "mA cm^{-2}", "property_value_descriptor": ""}, "fill factor": {"entity_name": "FF", "entity_start": 176, "entity_end": 176, "property_value_start": 179, "property_value_end": 179, "property_numeric_value": 74.0,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</si>
  <si>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10.1021/ma400257q</t>
  </si>
  <si>
    <t xml:space="preserve">POBDTPD</t>
  </si>
  <si>
    <t xml:space="preserve">[*]c6cc5c(OCCCCCCCC)c4sc(c2sc([*])c3sc1c(=O)n(CCCCCCCCC)c(=O)c1c23)cc4c(OCCCCCCCC)c5s6</t>
  </si>
  <si>
    <t xml:space="preserve">['POBDTPD']</t>
  </si>
  <si>
    <t xml:space="preserve">{"power conversion efficiency": {"entity_name": "PCE", "entity_start": 155, "entity_end": 155, "property_value_start": 157, "property_value_end": 158, "property_numeric_value": 4.7, "property_unit": "%", "property_value_descriptor": ""}, "open circuit voltage": {}, "short circuit current": {"entity_name": "J_{sc}", "entity_start": 168, "entity_end": 169, "property_value_start": 171, "property_value_end": 175, "property_numeric_value": 10.6,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</si>
  <si>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PEBDTPD</t>
  </si>
  <si>
    <t xml:space="preserve">[*]c6cc5c(OCC(CC)CCCC)c4sc(c2sc([*])c3sc1c(=O)n(CCCCCCCCC)c(=O)c1c23)cc4c(OCC(CC)CCCC)c5s6</t>
  </si>
  <si>
    <t xml:space="preserve">['PEBDTPD']</t>
  </si>
  <si>
    <t xml:space="preserve">{"power conversion efficiency": {}, "open circuit voltage": {"entity_name": "V_{oc}", "entity_start": 195, "entity_end": 196, "property_value_start": 198, "property_value_end": 199, "property_numeric_value": 0.72, "property_unit": "V", "property_value_descriptor": ""}, "short circuit current": {"entity_name": "J_{sc}", "entity_start": 202, "entity_end": 203, "property_value_start": 205, "property_value_end": 209, "property_numeric_value": 13.5, "property_unit": "mA/cm^{2}", "property_value_descriptor": ""}, "fill factor": {"entity_name": "FF", "entity_start": 179, "entity_end": 179, "property_value_start": 181, "property_value_end": 181, "property_numeric_value": 64.0,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</si>
  <si>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10.1021/ma300839c</t>
  </si>
  <si>
    <t xml:space="preserve">PSiFDCTBT</t>
  </si>
  <si>
    <t xml:space="preserve">[*]c1cc3c(s1)c2cc7c(cc2C3(c4ccc(CCCCCC)cc4)c5ccc(CCCCCC)cc5)c6cc%11c(cc6[Si]7(CCCCCCCCC)CCCCCCCCC)c%10sc(c8ccc([*])c9nsnc89)cc%10C%11(c%12ccc(CCCCCC)cc%12)c%13ccc(CCCCCC)cc%13</t>
  </si>
  <si>
    <t xml:space="preserve">['PSiFDCTBT']</t>
  </si>
  <si>
    <t xml:space="preserve">{"power conversion efficiency": {"entity_name": "PCE", "entity_start": 111, "entity_end": 111, "property_value_start": 113, "property_value_end": 114, "property_numeric_value": 4.2, "property_unit": "%", "property_value_descriptor": ""}, "open circuit voltage": {"entity_name": "V_{oc}", "entity_start": 87, "entity_end": 88, "property_value_start": 90, "property_value_end": 91, "property_numeric_value": 0.86, "property_unit": "V", "property_value_descriptor": ""}, "short circuit current": {"entity_name": "J_{sc}", "entity_start": 94, "entity_end": 95, "property_value_start": 97, "property_value_end": 101, "property_numeric_value": 8.8, "property_unit": "mA/cm^{2}", "property_value_descriptor": ""}, "fill factor": {"entity_name": "FF", "entity_start": 104, "entity_end": 104, "property_value_start": 106, "property_value_end": 107, "property_numeric_value": 56.0,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</si>
  <si>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10.1021/ma202712r</t>
  </si>
  <si>
    <t xml:space="preserve">PFDTB</t>
  </si>
  <si>
    <t xml:space="preserve">[*]c7ccc6c5ccc(c4ccc(c2ccc(c1ccc([*])s1)c3nsnc23)s4)cc5C(CCCCCCCCC)(CCCCCCCCC)c6c7</t>
  </si>
  <si>
    <t xml:space="preserve">['PFDTB','poly[2,7-(9,9′-dioctylfluorene)-alt-5,5′-(4′,7′-di-2-thienyl-2′,1′,3′-benzothiadiazole)]']</t>
  </si>
  <si>
    <t xml:space="preserve">{"power conversion efficiency": {"entity_name": "power conversion efficiency", "entity_start": 226, "entity_end": 228, "property_value_start": 230, "property_value_end": 231, "property_numeric_value": 3.16, "property_unit": "%", "property_value_descriptor": ""}, "open circuit voltage": {"entity_name": "open circuit voltage", "entity_start": 246, "entity_end": 248, "property_value_start": 250, "property_value_end": 251, "property_numeric_value": 0.81, "property_unit": "V", "property_value_descriptor": ""}, "short circuit current": {"entity_name": "short circuit current density", "entity_start": 235, "entity_end": 238, "property_value_start": 240, "property_value_end": 244, "property_numeric_value": 9.61, "property_unit": "mA/cm^{2}", "property_value_descriptor": ""}, "fill factor": {"entity_name": "fill factor", "entity_start": 254, "entity_end": 255, "property_value_start": 257, "property_value_end": 258, "property_numeric_value": 41.0,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</si>
  <si>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10.1021/ma401709r</t>
  </si>
  <si>
    <t xml:space="preserve">='PFBT-T20TT'</t>
  </si>
  <si>
    <t xml:space="preserve">[*]c6cc5sc(c4sc(c2c(F)c(F)c(c1cc(CCC(CCCCCCCC)CCCCCCCCCC)c([*])s1)c3nsnc23)cc4CCC(CCCCCCCC)CCCCCCCCCC)cc5s6</t>
  </si>
  <si>
    <t xml:space="preserve">{"power conversion efficiency": {"entity_name": "power conversion efficiency", "entity_start": 95, "entity_end": 97, "property_value_start": 100, "property_value_end": 101, "property_numeric_value": 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</si>
  <si>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10.1021/acs.macromol.6b01566</t>
  </si>
  <si>
    <t xml:space="preserve">NDI-Th-PDI30</t>
  </si>
  <si>
    <t xml:space="preserve">{[*]c7cc6c(c1ccc(CC(CC)CCCC)s1)c4sc(c2sc([*])c3sc(C(=O)OCC(CC)CCCC)c(F)c23)cc4c(c5ccc(CC(CC)CCCC)s5)c6s7},{[*]c9ccc(c8ccc(c1cc3c5ccc6c(=O)n(CC(CC)CCCC)c(=O)c7ccc(c4c([*])cc2c(=O)n(CC(CC)CCCC)c(=O)c1c2c34)c5c67)s8)s9}</t>
  </si>
  <si>
    <t xml:space="preserve">['NDI-Th-PDI30']</t>
  </si>
  <si>
    <t xml:space="preserve">{"power conversion efficiency": {"entity_name": "PCE", "entity_start": 194, "entity_end": 194, "property_value_start": 196, "property_value_end": 197, "property_numeric_value": 5.03,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mobility", "entity_start": 278, "entity_end": 279, "property_value_start": 286, "property_value_end": 292, "property_numeric_value": 0.00015000000000000001, "property_unit": "cm^{2}(V s)", "property_value_descriptor": ""}, "external quantum efficiency": {}}</t>
  </si>
  <si>
    <t xml:space="preserve">10.1021/acs.macromol.8b02360</t>
  </si>
  <si>
    <t xml:space="preserve">2TC-TT-BDTFT</t>
  </si>
  <si>
    <t xml:space="preserve">[*]c9cc(C(=O)OCC(CCCC)CCCCCC)c(c8cc7sc(c6sc(c5cc4c(c1cc(F)c(CC(CC)CCCC)s1)c2sc([*])cc2c(c3cc(F)c(CC(CC)CCCC)s3)c4s5)cc6C(=O)OCC(CCCC)CCCCCC)cc7s8)s9</t>
  </si>
  <si>
    <t xml:space="preserve">['2TC-TT-BDTFT']</t>
  </si>
  <si>
    <t xml:space="preserve">{"power conversion efficiency": {"entity_name": "PCE", "entity_start": 259, "entity_end": 259, "property_value_start": 261, "property_value_end": 262, "property_numeric_value": 9.65, "property_unit": "%", "property_value_descriptor": ""}, "open circuit voltage": {}, "short circuit current": {}, "fill factor": {"entity_name": "FF", "entity_start": 264, "entity_end": 264, "property_value_start": 266, "property_value_end": 267, "property_numeric_value": 59.31,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</si>
  <si>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2T-TTC-BDTFT</t>
  </si>
  <si>
    <t xml:space="preserve">[*]c9ccc(c8sc7c(C(=O)OCC(CCCC)CCCCCC)c(c6ccc(c5cc4c(c1cc(F)c(CC(CC)CCCC)s1)c2sc([*])cc2c(c3cc(F)c(CC(CC)CCCC)s3)c4s5)s6)sc7c8C(=O)CCC(CCCC)CCCCCC)s9</t>
  </si>
  <si>
    <t xml:space="preserve">['2T-TTC-BDTFT']</t>
  </si>
  <si>
    <t xml:space="preserve">{"power conversion efficiency": {}, "open circuit voltage": {}, "short circuit current": {}, "fill factor": {"entity_name": "FF", "entity_start": 237, "entity_end": 237, "property_value_start": 240, "property_value_end": 241, "property_numeric_value": 70.0, "property_unit": "%", "property_value_descriptor": "~"}, "highest occupied molecular orbital": {}, "lowest unoccupied molecular orbital": {}, "bandgap": {}, "hole mobility": {}, "electron mobility": {}, "external quantum efficiency": {}}</t>
  </si>
  <si>
    <t xml:space="preserve">10.1021/ma501720k</t>
  </si>
  <si>
    <t xml:space="preserve">PBDTSTBO</t>
  </si>
  <si>
    <t xml:space="preserve">[*]c9ccc(c7c(OCCCCCCCC)c(OCCCCCCCC)c(c6ccc(c5cc4c(c1ccc(CC(CC)CCCC)[se]1)c2sc([*])cc2c(c3ccc(CC(CC)CCCC)[se]3)c4s5)s6)c8nsnc78)s9</t>
  </si>
  <si>
    <t xml:space="preserve">['PBDTSTBO', 'PBDTSTBS', 'PBDTSSBO']</t>
  </si>
  <si>
    <t xml:space="preserve">{"power conversion efficiency": {"entity_name": "power conversion efficiency", "entity_start": 262, "entity_end": 264, "property_value_start": 266, "property_value_end": 267, "property_numeric_value": 7.6, "property_unit": "%", "property_value_descriptor": ""}, "open circuit voltage": {"entity_name": "open-circuit voltages", "entity_start": 238, "entity_end": 241, "property_value_start": 245, "property_value_end": 246, "property_numeric_value": 0.86,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</si>
  <si>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10.1021/ma5010875</t>
  </si>
  <si>
    <t xml:space="preserve">[*]c%11ccc(c9sc(c8ccc(c7cc6c(c2ccc(c1cccc(OCCC(CC)CCCC)c1)s2)c3sc([*])cc3c(c5ccc(c4cccc(OCCC(CC)CCCC)c4)s5)c6s7)s8)c%10c(=O)n(CC(CC)CCCC)c(=O)c9%10)s%11</t>
  </si>
  <si>
    <t xml:space="preserve">{"power conversion efficiency": {"entity_name": "PCE", "entity_start": 298, "entity_end": 298, "property_value_start": 308, "property_value_end": 309, "property_numeric_value": 7.14, "property_unit": "%", "property_value_descriptor": ""}, "open circuit voltage": {"entity_name": "V_{oc}", "entity_start": 233, "entity_end": 234, "property_value_start": 237, "property_value_end": 238, "property_numeric_value": 0.91,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</si>
  <si>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[*]c%11ccc(c9c(OCCCCCCCCC)c(OCCCCCCCCC)c(c8ccc(c7cc6c(c2ccc(c1cccc(OCCC(CC)CCCC)c1)s2)c3sc([*])cc3c(c5ccc(c4cccc(OCCC(CC)CCCC)c4)s5)c6s7)s8)c%10nsnc9%10)s%11</t>
  </si>
  <si>
    <t xml:space="preserve">{"power conversion efficiency": {"entity_name": "PCE", "entity_start": 315, "entity_end": 315, "property_value_start": 325, "property_value_end": 326, "property_numeric_value": 1.82, "property_unit": "%", "property_value_descriptor": ""}, "open circuit voltage": {"entity_name": "V_{oc}", "entity_start": 255, "entity_end": 256, "property_value_start": 258, "property_value_end": 259, "property_numeric_value": 0.71,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</si>
  <si>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10.1021/acs.macromol.5b01676</t>
  </si>
  <si>
    <t xml:space="preserve">benzo[1,2-b;4,5-b′]dithiophene</t>
  </si>
  <si>
    <t xml:space="preserve">{[*]c5cc4c(OCC(CC)CCCC)c3sc(c1ccc([*])c2nsnc12)cc3c(OCC(CC)CCCC)c4s5,[*]c5cc4c(OCC(CC)CCCC)c3sc(c1ccc([*])c2nn(C(CC)CC)nc12)cc3c(OCC(CC)CCCC)c4s5}</t>
  </si>
  <si>
    <t xml:space="preserve">['benzo[1,2-b;4,5-b′]dithiophene']</t>
  </si>
  <si>
    <t xml:space="preserve">{"power conversion efficiency": {"entity_name": "Power conversion efficiencies", "entity_start": 205, "entity_end": 207, "property_value_start": 211, "property_value_end": 212, "property_numeric_value": 2.8,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</si>
  <si>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10.1021/ma400177w</t>
  </si>
  <si>
    <t xml:space="preserve">PzNDTDTBO</t>
  </si>
  <si>
    <t xml:space="preserve">[*]c8ccc(c6c(OCCCCCCCCCCCC)c(OCCCCCCCCCCCC)c(c5ccc(c4cc3cc(OCC(CC)CCCC)c2c1sc([*])cc1cc(OCC(CC)CCCC)c2c3s4)s5)c7nonc67)s8</t>
  </si>
  <si>
    <t xml:space="preserve">['PzNDTDTBO']</t>
  </si>
  <si>
    <t xml:space="preserve">{"power conversion efficiency": {"entity_name": "power conversion efficiency", "entity_start": 144, "entity_end": 146, "property_value_start": 151, "property_value_end": 152, "property_numeric_value": 5.07,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mobilities", "entity_start": 105, "entity_end": 106, "property_value_start": 110, "property_value_end": 116, "property_numeric_value": 0.34, "property_unit": "cm^{2} V^{-1} s^{-1}", "property_value_descriptor": ""}, "electron mobility": {}, "external quantum efficiency": {}}</t>
  </si>
  <si>
    <t xml:space="preserve">PzNDTDTBT</t>
  </si>
  <si>
    <t xml:space="preserve">[*]c8ccc(c6c(OCCCCCCCCCCCC)c(OCCCCCCCCCCCC)c(c5ccc(c4cc3cc(OCC(CC)CCCC)c2c1sc([*])cc1cc(OCC(CC)CCCC)c2c3s4)s5)c7nsnc67)s8</t>
  </si>
  <si>
    <t xml:space="preserve">['PzNDTDTBT']</t>
  </si>
  <si>
    <t xml:space="preserve">10.1021/ma400355w</t>
  </si>
  <si>
    <t xml:space="preserve">PIDT-C12NT</t>
  </si>
  <si>
    <t xml:space="preserve">[*]c%17cc(CCCCCCCCCCCC)c(c%16ccc(c%14cc%12c(cc(c%11ccc(c%10sc(c1cc3c(s1)c2cc7c(cc2C3(c4ccc(CCCCCCCC)cc4)c5ccc(CCCCCCCC)cc5)c6sc([*])cc6C7(c8ccc(CCCCCCCC)cc8)c9ccc(CCCCCCCC)cc9)cc%10CCCCCCCCCCCC)s%11)c%13nsnc%12%13)c%15nsnc%14%15)s%16)s%17</t>
  </si>
  <si>
    <t xml:space="preserve">['PIDT-C12NT']</t>
  </si>
  <si>
    <t xml:space="preserve">['PC_{71}BM', '(6,6)-phenyl-C71-butyric acid methyl ester']</t>
  </si>
  <si>
    <t xml:space="preserve">{"power conversion efficiency": {"entity_name": "power conversion efficiency", "entity_start": 123, "entity_end": 125, "property_value_start": 127, "property_value_end": 128, "property_numeric_value": 5.05,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</si>
  <si>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10.1021/ma401274r</t>
  </si>
  <si>
    <t xml:space="preserve">PBDTT-DPP75-TPD25</t>
  </si>
  <si>
    <t xml:space="preserve">{[*]c9ccc(c8c7c(=O)n(CC(CCCC)CCCCCC)c(c6ccc(c5cc4c(c1ccc(CC(CC)CCCC)s1)c2sc([*])cc2c(c3ccc(CC(CC)CCCC)s3)c4s5)s6)c7c(=O)n8CC(CCCC)CCCCCC)s9,[*]c7cc6c(c1ccc(CC(CC)CCCC)s1)c4sc(c2sc([*])c3c(=O)n(CCCCCCCC)c(=O)c23)cc4c(c5ccc(CC(CC)CCCC)s5)c6s7}</t>
  </si>
  <si>
    <t xml:space="preserve">['PBDTT-DPP75-TPD25']</t>
  </si>
  <si>
    <t xml:space="preserve">{"power conversion efficiency": {"entity_name": "PCE", "entity_start": 124, "entity_end": 124, "property_value_start": 127, "property_value_end": 128, "property_numeric_value": 6.33,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</si>
  <si>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10.1021/ma401873s</t>
  </si>
  <si>
    <t xml:space="preserve">='PDEBOC8-7-3'</t>
  </si>
  <si>
    <t xml:space="preserve">{[*]/C=C/c4ccc(c3c2c(=O)n(CC(CCCCCCCC)CCCCCCCCCC)c(c1ccc([*])s1)c2c(=O)n3CC(CCCCCCCC)CCCCCCCCCC)s4, [*]/C=C/c4ccc(c2c(OCCCCCCCC)c(OCCCCCCCC)c(c1ccc([*])s1)c3nsnc23)s4}</t>
  </si>
  <si>
    <t xml:space="preserve">{"power conversion efficiency": {"entity_name": "power conversion efficiency", "entity_start": 144, "entity_end": 146, "property_value_start": 155, "property_value_end": 156, "property_numeric_value": 0.5,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mobilities", "entity_start": 95, "entity_end": 96, "property_value_start": 103, "property_value_end": 109, "property_numeric_value": 0.4, "property_unit": "cm^{2} V^{-1} s^{-1}", "property_value_descriptor": ""}, "electron mobility": {}, "external quantum efficiency": {}}</t>
  </si>
  <si>
    <t xml:space="preserve">10.1021/ma401886a</t>
  </si>
  <si>
    <t xml:space="preserve">P(BDT-TBTF)</t>
  </si>
  <si>
    <t xml:space="preserve">[*]c8cc7c(OCC(CC)CCCC)c6sc(c5cc(/C=C/c4sc(c2c(F)c(F)c(c1ccc(CCC(CC)CCCC)s1)c3nsnc23)cc4CCC(CC)CCCC)c([*])s5)cc6c(OCC(CC)CCCC)c7s8</t>
  </si>
  <si>
    <t xml:space="preserve">['P(BDT-TBTF)']</t>
  </si>
  <si>
    <t xml:space="preserve">='PC_{70}BM'</t>
  </si>
  <si>
    <t xml:space="preserve">13.21 mA cm^{-2)</t>
  </si>
  <si>
    <t xml:space="preserve">{"power conversion efficiency": {"entity_name": "PCE", "entity_start": 277, "entity_end": 277, "property_value_start": 280, "property_value_end": 281, "property_numeric_value": 5.66,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</si>
  <si>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P(BDT-TBTF/DDP)</t>
  </si>
  <si>
    <t xml:space="preserve">{[*]c8cc7c(OCC(CC)CCCC)c6sc(c5cc(/C=C/c4sc(c2c(F)c(F)c(c1ccc(CCC(CC)CCCC)s1)c3nsnc23)cc4CCC(CC)CCCC)c([*])s5)cc6c(OCC(CC)CCCC)c7s8,[*]c7ccc(c6c5c(=O)n(CCC(CC)CCCC)c(c4ccc(c3cc2c(OCC(CC)CCCC)c1sc([*])cc1c(OCC(CC)CCCC)c2s3)s4)c5c(=O)n6CCC(CC)CCCC)s7}</t>
  </si>
  <si>
    <t xml:space="preserve">['P(BDT-TBTF/DDP)']</t>
  </si>
  <si>
    <t xml:space="preserve">14.56 mA cm^{-2}</t>
  </si>
  <si>
    <t xml:space="preserve">{"power conversion efficiency": {"entity_name": "PCE", "entity_start": 311, "entity_end": 311, "property_value_start": 313, "property_value_end": 314, "property_numeric_value": 3.51, "property_unit": "%", "property_value_descriptor": ""}, "open circuit voltage": {"entity_name": "V_{oc}", "entity_start": 285, "entity_end": 286, "property_value_start": 288, "property_value_end": 289, "property_numeric_value": 0.88, "property_unit": "V", "property_value_descriptor": ""}, "short circuit current": {"entity_name": "J_{sc}", "entity_start": 319, "entity_end": 320, "property_value_start": 322, "property_value_end": 324, "property_numeric_value": 13.15,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</si>
  <si>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10.1021/acs.macromol.6b00507</t>
  </si>
  <si>
    <t xml:space="preserve">P(BT-DPP)-QPZn</t>
  </si>
  <si>
    <t xml:space="preserve">[*]c6ccc(c5ccc(c4ccc(c3c2c(=O)n(CC(CCCCCCCCCC)CCCCCCCCCCCC)c(c1ccc([*])s1)c2c(=O)n3C(CCCCCCCCCC)CCCCCCCCCCCC)s4)s5)s6</t>
  </si>
  <si>
    <t xml:space="preserve">['P(BT-DPP)-QP', 'P(BT-DPP)-QPZn']</t>
  </si>
  <si>
    <t xml:space="preserve">{"power conversion efficiency": {"entity_name": "PCE", "entity_start": 171, "entity_end": 171, "property_value_start": 187, "property_value_end": 188, "property_numeric_value": 4.45,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</si>
  <si>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10.1021/ma2020112</t>
  </si>
  <si>
    <t xml:space="preserve">P3TDTQ</t>
  </si>
  <si>
    <t xml:space="preserve">[*]c9ccc(c7ccc(c4ccc(c3cc(CCCC(C)CCCC(C)C)c(c2ccc(c1sc([*])cc1CCCC(C)CCCC(C)C)s2)s3)s4)c8nc(c5ccc(OCCC(C)CCCC(C)C)cc5)c(c6ccc(OCCC(C)CCCC(C)C)cc6)nc78)s9</t>
  </si>
  <si>
    <t xml:space="preserve">['P3TDTQ']</t>
  </si>
  <si>
    <t xml:space="preserve">='0.56 %'</t>
  </si>
  <si>
    <t xml:space="preserve">{"power conversion efficiency": {}, "open circuit voltage": {}, "short circuit current": {}, "fill factor": {}, "highest occupied molecular orbital": {}, "lowest unoccupied molecular orbital": {}, "bandgap": {"entity_name": "bandgaps", "entity_start": 123, "entity_end": 123, "property_value_start": 141, "property_value_end": 142, "property_numeric_value": 1.25, "property_unit": "eV", "property_value_descriptor": ""}, "hole mobility": {}, "electron mobility": {}, "external quantum efficiency": {}}</t>
  </si>
  <si>
    <t xml:space="preserve">P3SDTQ</t>
  </si>
  <si>
    <t xml:space="preserve">[*]c9ccc(c7ccc(c4ccc(c3cc(CCCC(C)CCCC(C)C)c(c2ccc(c1[se]c([*])cc1CCCC(C)CCCC(C)C)[se]2)[se]3)s4)c8nc(c5ccc(OCCC(C)CCCC(C)C)cc5)c(c6ccc(OCCC(C)CCCC(C)C)cc6)nc78)s9</t>
  </si>
  <si>
    <t xml:space="preserve">['P3SDTQ']</t>
  </si>
  <si>
    <t xml:space="preserve">='0.67 %'</t>
  </si>
  <si>
    <t xml:space="preserve">P3TDTDPP</t>
  </si>
  <si>
    <t xml:space="preserve">[*]c7ccc(c6c5c(=O)n(CCC(CC)CCCC)c(c4ccc(c3cc(CCCC(C)CCCC(C)C)c(c2ccc(c1sc([*])cc1CCCC(C)CCCC(C)C)s2)s3)s4)c5c(=O)n6CCC(CC)CCCC)s7</t>
  </si>
  <si>
    <t xml:space="preserve">['P3TDTDPP']</t>
  </si>
  <si>
    <t xml:space="preserve">='1.88 %'</t>
  </si>
  <si>
    <t xml:space="preserve">P3SDTDPP</t>
  </si>
  <si>
    <t xml:space="preserve">[*]c7ccc(c6c5c(=O)n(CCC(CC)CCCC)c(c4ccc(c3cc(CCCC(C)CCCC(C)C)c(c2ccc(c1[se]c([*])cc1CCCC(C)CCCC(C)C)[se]2)[se]3)s4)c5c(=O)n6CCC(CC)CCCC)s7</t>
  </si>
  <si>
    <t xml:space="preserve">['P3SDTDPP']</t>
  </si>
  <si>
    <t xml:space="preserve">='1.85 %'</t>
  </si>
  <si>
    <t xml:space="preserve">10.1021/ma202656b</t>
  </si>
  <si>
    <t xml:space="preserve">P(BDT-T-BT)</t>
  </si>
  <si>
    <t xml:space="preserve">[*]c7ccc(c5c(CCCCCCCCC)c(CCCCCCCCC)c(c4ccc(c3cc2c(CCC(CC)CCCC)c1sc([*])cc1c(CCC(CC)CCCC)c2s3)s4)c6nsnc56)s7</t>
  </si>
  <si>
    <t xml:space="preserve">['P(BDT-T-BT)']</t>
  </si>
  <si>
    <t xml:space="preserve">{"power conversion efficiency": {"entity_name": "power conversion efficiency", "entity_start": 235, "entity_end": 237, "property_value_start": 250, "property_value_end": 251, "property_numeric_value": 3.72,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</si>
  <si>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P(BDT-TT-BT)</t>
  </si>
  <si>
    <t xml:space="preserve">[*]c9cc8sc(c6c(CCCCCCCCC)c(CCCCCCCCC)c(c5cc4sc(c3cc2c(CCC(CCCCCCCC)CCCCCCCCCC)c1sc([*])cc1c(CCC(CCCCCCCC)CCCCCCCCCC)c2s3)cc4s5)c7nsnc67)cc8s9</t>
  </si>
  <si>
    <t xml:space="preserve">['P(BDT-TT-BT)']</t>
  </si>
  <si>
    <t xml:space="preserve">{"power conversion efficiency": {"entity_name": "power conversion efficiency", "entity_start": 235, "entity_end": 237, "property_value_start": 261, "property_value_end": 262, "property_numeric_value": 4.93,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</si>
  <si>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P(BDT-F-BT)</t>
  </si>
  <si>
    <t xml:space="preserve">[*]c7ccc(c5c(CCCCCCCCC)c(CCCCCCCCC)c(c4ccc(c3cc2c(CCC(CC)CCCC)c1sc([*])cc1c(CCC(CC)CCCC)c2s3)o4)c6nsnc56)o7</t>
  </si>
  <si>
    <t xml:space="preserve">['P(BDT-F-BT)']</t>
  </si>
  <si>
    <t xml:space="preserve">10.1021/ma202752h</t>
  </si>
  <si>
    <t xml:space="preserve">PSFDTBT</t>
  </si>
  <si>
    <t xml:space="preserve">[*]c%10ccc9c5ccc(c4ccc(c2c(OCCCCCCCC)c(OCCCCCCCC)c(c1ccc([*])s1)c3nsnc23)s4)cc5C8(c6ccc(OCCCCCCCC)cc6c7cc(OCCCCCCCC)ccc78)c9c%10</t>
  </si>
  <si>
    <t xml:space="preserve">['PSFDTBT']</t>
  </si>
  <si>
    <t xml:space="preserve">{"power conversion efficiency": {}, "open circuit voltage": {}, "short circuit current": {}, "fill factor": {}, "highest occupied molecular orbital": {"entity_name": "HOMO energy level", "entity_start": 34, "entity_end": 36, "property_value_start": 38, "property_value_end": 39, "property_numeric_value": -5.4, "property_unit": "eV", "property_value_descriptor": ""}, "lowest unoccupied molecular orbital": {}, "bandgap": {"entity_name": "optical band gap", "entity_start": 23, "entity_end": 25, "property_value_start": 27, "property_value_end": 28, "property_numeric_value": 1.97, "property_unit": "eV", "property_value_descriptor": ""}, "hole mobility": {"entity_name": "hole mobility", "entity_start": 42, "entity_end": 43, "property_value_start": 61, "property_value_end": 70, "property_numeric_value": 0.00726, "property_unit": "cm^{2} V^{-1} s^{-1}", "property_value_descriptor": ""}, "electron mobility": {}, "external quantum efficiency": {}}</t>
  </si>
  <si>
    <t xml:space="preserve">10.1021/ma301163p</t>
  </si>
  <si>
    <t xml:space="preserve">{[*]/C=C/c5ccc(c4ccc3c2ccc(c1ccc([*])s1)cc2C(CCCCCCCC)(CCCCCCCC)c3c4)s5, [*]/C=C/c1ccc([*])c2nsnc12}</t>
  </si>
  <si>
    <t xml:space="preserve">{"power conversion efficiency": {"entity_name": "PCE", "entity_start": 228, "entity_end": 228, "property_value_start": 231, "property_value_end": 232, "property_numeric_value": 0.6,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</si>
  <si>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10.1021/ma302005j</t>
  </si>
  <si>
    <t xml:space="preserve">[*]c4ccc(c3sc(c2nnc(c1sc([*])c(CCCCCCC)c1CCCCCCC)s2)c(CCCCCCC)c3CCCCCCC)s4</t>
  </si>
  <si>
    <t xml:space="preserve">{"power conversion efficiency": {"entity_name": "PCE", "entity_start": 221, "entity_end": 221, "property_value_start": 239, "property_value_end": 240, "property_numeric_value": 3.04, "property_unit": "%", "property_value_descriptor": ""}, "open circuit voltage": {"entity_name": "V_{oc}", "entity_start": 261, "entity_end": 262, "property_value_start": 265, "property_value_end": 266, "property_numeric_value": 0.8, "property_unit": "V", "property_value_descriptor": ""}, "short circuit current": {"entity_name": "J_{sc}", "entity_start": 249, "entity_end": 250, "property_value_start": 254, "property_value_end": 258, "property_numeric_value": 6.6, "property_unit": "mA/cm^{2}", "property_value_descriptor": ""}, "fill factor": {"entity_name": "FF", "entity_start": 273, "entity_end": 273, "property_value_start": 277, "property_value_end": 277, "property_numeric_value": 57.599999999999994,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</si>
  <si>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10.1021/ma301660j</t>
  </si>
  <si>
    <t xml:space="preserve">PDPTT</t>
  </si>
  <si>
    <t xml:space="preserve">[*]c8ccc(c7c6c(=O)n(CC(CCCCCC)CCCCCCCC)c(c5ccc(c4cc(CC(CC)CCCC)c(c3nc2sc(c1sc([*])cc1CC(CC)CCCC)nc2s3)s4)s5)c6c(=O)n7CC(CCCCCC)CCCCCCCC)s8</t>
  </si>
  <si>
    <t xml:space="preserve">['PDPTT']</t>
  </si>
  <si>
    <t xml:space="preserve">{"power conversion efficiency": {"entity_name": "power conversion efficiency", "entity_start": 177, "entity_end": 179, "property_value_start": 181, "property_value_end": 182, "property_numeric_value": 3.4, "property_unit": "%", "property_value_descriptor": ""}, "open circuit voltage": {}, "short circuit current": {}, "fill factor": {}, "highest occupied molecular orbital": {}, "lowest unoccupied molecular orbital": {}, "bandgap": {"entity_name": "optical band gaps", "entity_start": 63, "entity_end": 65, "property_value_start": 67, "property_value_end": 70, "property_numeric_value": 1.2999999999999998, "property_unit": "eV", "property_value_descriptor": "-"}, "hole mobility": {"entity_name": "hole mobilities", "entity_start": 95, "entity_end": 96, "property_value_start": 98, "property_value_end": 103, "property_numeric_value": 0.85, "property_unit": "cm^{2}(V s)", "property_value_descriptor": "and"}, "electron mobility": {}, "external quantum efficiency": {}}</t>
  </si>
  <si>
    <t xml:space="preserve">PDPTTOx</t>
  </si>
  <si>
    <t xml:space="preserve">[*]c8ccc(c7c6c(=O)n(CC(CCCCCCC)CCCCCCCCC)c(c5ccc(c4cc(CCCCCCCCC)c(c3nc2sc(c1sc([*])cc1CCCCCCCCC)nc2s3)s4)s5)c6c(=O)n7CC(CCCCCCC)CCCCCCCCC)s8</t>
  </si>
  <si>
    <t xml:space="preserve">PDPBT</t>
  </si>
  <si>
    <t xml:space="preserve">[*]c9ccc(c8c7c(=O)n(CC(CCCCCC)CCCCCCCC)c(c6ccc(c5cc(CCCCCCCCCCCC)c(c4nc3cc2sc(c1sc([*])cc1CCCCCCCCCCCC)nc2cc3s4)s5)s6)c7c(=O)n8CC(CCCCCC)CCCCCCCC)s9</t>
  </si>
  <si>
    <t xml:space="preserve">*c9ccc(c8c7c(=O)n(CC(CCCCCC)CCCCCCCC)c(c6ccc(c5cc(CCCCCCCCCCCC)c(c4nc3cc2sc(c1sc(*)cc1CCCCCCCCCCCC)nc2cc3s4)s5)s6)c7c(=O)n8CC(CCCCCC)CCCCCCCC)s9</t>
  </si>
  <si>
    <t xml:space="preserve">10.1021/ma301269f</t>
  </si>
  <si>
    <t xml:space="preserve">PTTBTz</t>
  </si>
  <si>
    <t xml:space="preserve">[*]c6ccc(c5sc(c4nc(CCCCCC)c(c3ccc(c2sc1c(CCCCCC)c([*])sc1c2CCCCCC)s3)s4)nc5CCCCCC)s6</t>
  </si>
  <si>
    <t xml:space="preserve">['poly(thieno[3,2-b]thiophene-alt-bithiazole)', 'PTTBTz']</t>
  </si>
  <si>
    <t xml:space="preserve">{"power conversion efficiency": {"entity_name": "PCE", "entity_start": 186, "entity_end": 186, "property_value_start": 202, "property_value_end": 203, "property_numeric_value": 4.57, "property_unit": "%", "property_value_descriptor": ""}, "open circuit voltage": {"entity_name": "V_{oc}", "entity_start": 206, "entity_end": 207, "property_value_start": 209, "property_value_end": 210, "property_numeric_value": 0.82, "property_unit": "V", "property_value_descriptor": ""}, "short circuit current": {"entity_name": "J_{sc}", "entity_start": 213, "entity_end": 214, "property_value_start": 216, "property_value_end": 220, "property_numeric_value": 9.89, "property_unit": "mA/cm^{2}", "property_value_descriptor": ""}, "fill factor": {"entity_name": "FF", "entity_start": 224, "entity_end": 224, "property_value_start": 226, "property_value_end": 226, "property_numeric_value": 56.3, "property_unit": "%", "property_value_descriptor": ""}, "highest occupied molecular orbital": {"entity_name": "HOMO energy", "entity_start": 74, "entity_end": 75, "property_value_start": 78, "property_value_end": 79, "property_numeric_value": -5.2, "property_unit": "eV", "property_value_descriptor": ""}, "lowest unoccupied molecular orbital": {}, "bandgap": {}, "hole mobility": {"entity_name": "hole mobility", "entity_start": 83, "entity_end": 84, "property_value_start": 86, "property_value_end": 91, "property_numeric_value": 0.00645, "property_unit": "cm^{2}(V s)", "property_value_descriptor": ""}, "electron mobility": {}, "external quantum efficiency": {}}</t>
  </si>
  <si>
    <t xml:space="preserve">['indene-C_{60} bisadduct','ICBA']</t>
  </si>
  <si>
    <t xml:space="preserve">1.03 V</t>
  </si>
  <si>
    <t xml:space="preserve">8.55 mA/cm^{2}</t>
  </si>
  <si>
    <t xml:space="preserve">10.1021/ma3020239</t>
  </si>
  <si>
    <t xml:space="preserve">PNDIBS</t>
  </si>
  <si>
    <t xml:space="preserve">[*]c6ccc(c5ccc(c1cc3c(=O)n(CC(CCCCCCCCCC)CCCCCCCCCCCC)c(=O)c4c([*])cc2c(=O)n(CC(CCCCCCCCCC)CCCCCCCCCCCC)c(=O)c1c2c34)[se]5)[se]6</t>
  </si>
  <si>
    <t xml:space="preserve">['poly(naphthalene diimide-alt-biselenophene)', 'PNDIBS']</t>
  </si>
  <si>
    <t xml:space="preserve">{"power conversion efficiency": {"entity_name": "photovoltaic power conversion efficiency", "entity_start": 94, "entity_end": 97, "property_value_start": 99, "property_value_end": 100, "property_numeric_value": 0.9, "property_unit": "%", "property_value_descriptor": ""}, "open circuit voltage": {}, "short circuit current": {}, "fill factor": {}, "highest occupied molecular orbital": {}, "lowest unoccupied molecular orbital": {}, "bandgap": {"entity_name": "optical band gap", "entity_start": 70, "entity_end": 72, "property_value_start": 74, "property_value_end": 75, "property_numeric_value": 1.4, "property_unit": "eV", "property_value_descriptor": ""}, "hole mobility": {}, "electron mobility": {"entity_name": "electron mobility", "entity_start": 51, "entity_end": 52, "property_value_start": 54, "property_value_end": 57, "property_numeric_value": 0.07, "property_unit": "cm^{2}(V s)", "property_value_descriptor": ""}, "external quantum efficiency": {}}</t>
  </si>
  <si>
    <t xml:space="preserve">10.1021/ma302170e</t>
  </si>
  <si>
    <t xml:space="preserve">P3HT-PNBI-P3HT</t>
  </si>
  <si>
    <t xml:space="preserve">{[*]c1cc(CCCCCC)c([*])s1,[*]c6sc(c2cc4c(=O)n(CC(CCCCCCCCCC)CCCCCCCCCCCC)c(=O)c5c(c1cc(CCCCCC)c([*])s1)cc3c(=O)n(CC(CCCCCCCCCC)CCCCCCCCCCCC)c(=O)c2c3c45)cc6CCCCCC}</t>
  </si>
  <si>
    <t xml:space="preserve">['P3HT-PNBI-P3HT', 'P3HT-PNBI-P3HTs']</t>
  </si>
  <si>
    <t xml:space="preserve">{"power conversion efficiency": {"entity_name": "power conversion efficiency", "entity_start": 216, "entity_end": 218, "property_value_start": 220, "property_value_end": 221, "property_numeric_value": 1.28, "property_unit": "%", "property_value_descriptor": ""}, "open circuit voltage": {"entity_name": "open-circuit voltage", "entity_start": 223, "entity_end": 226, "property_value_start": 228, "property_value_end": 229, "property_numeric_value": 0.56, "property_unit": "V", "property_value_descriptor": ""}, "short circuit current": {}, "fill factor": {"entity_name": "fill factor", "entity_start": 242, "entity_end": 243, "property_value_start": 245, "property_value_end": 245, "property_numeric_value": 50.0, "property_unit": "%", "property_value_descriptor": ""}, "highest occupied molecular orbital": {}, "lowest unoccupied molecular orbital": {"entity_name": "LUMO levels", "entity_start": 178, "entity_end": 179, "property_value_start": 189, "property_value_end": 192, "property_numeric_value": 4.244999999999999, "property_unit": "eV", "property_value_descriptor": "-"}, "bandgap": {"entity_name": "optical band gap", "entity_start": 76, "entity_end": 78, "property_value_start": 112, "property_value_end": 115, "property_numeric_value": 1.7000000000000002, "property_unit": "eV", "property_value_descriptor": "-"}, "hole mobility": {}, "electron mobility": {}, "external quantum efficiency": {}}</t>
  </si>
  <si>
    <t xml:space="preserve">10.1021/ma302243r</t>
  </si>
  <si>
    <t xml:space="preserve">PBDT-TDPP-S</t>
  </si>
  <si>
    <t xml:space="preserve">[*]c9cc8c(OCC(CC)CCCC)c7sc(c6cc(/C=C/c5ccc(c4ccc(c3c2c(=O)n(CC(CC)CCCCC)c(c1cccs1)c2c(=O)n3CC(CC)CCCCC)s4)s5)c([*])s6)cc7c(OCC(CC)CCCC)c8s9</t>
  </si>
  <si>
    <t xml:space="preserve">['PBDT-TDPP-S']</t>
  </si>
  <si>
    <t xml:space="preserve">{"power conversion efficiency": {"entity_name": "power conversion efficiency", "entity_start": 114, "entity_end": 116, "property_value_start": 118, "property_value_end": 119, "property_numeric_value": 4.89, "property_unit": "%", "property_value_descriptor": ""}, "open circuit voltage": {}, "short circuit current": {"entity_name": "short-circuit current", "entity_start": 131, "entity_end": 134, "property_value_start": 136, "property_value_end": 139, "property_numeric_value": 10.04, "property_unit": "mA cm^{-2}", "property_value_descriptor": ""}, "fill factor": {}, "highest occupied molecular orbital": {"entity_name": "HOMO", "entity_start": 54, "entity_end": 54, "property_value_start": 57, "property_value_end": 58, "property_numeric_value": -5.34, "property_unit": "eV", "property_value_descriptor": ""}, "lowest unoccupied molecular orbital": {}, "bandgap": {}, "hole mobility": {}, "electron mobility": {}, "external quantum efficiency": {}}</t>
  </si>
  <si>
    <t xml:space="preserve">10.1021/ma302596k</t>
  </si>
  <si>
    <t xml:space="preserve">PBDT-DTBSe</t>
  </si>
  <si>
    <t xml:space="preserve">[*]c7ccc(c5ccc(c4ccc(c3cc2c(OCC(CCCCCCCC)CCCCCCCCCC)c1sc([*])cc1c(OCC(CCCCCCCC)CCCCCCCCCC)c2s3)s4)c6n[se]nc56)s7</t>
  </si>
  <si>
    <t xml:space="preserve">['PBDT-DTBSe']</t>
  </si>
  <si>
    <t xml:space="preserve">{"power conversion efficiency": {"entity_name": "power conversion efficiency", "entity_start": 63, "entity_end": 65, "property_value_start": 96, "property_value_end": 97, "property_numeric_value": 5.01, "property_unit": "%", "property_value_descriptor": ""}, "open circuit voltage": {}, "short circuit current": {}, "fill factor": {}, "highest occupied molecular orbital": {}, "lowest unoccupied molecular orbital": {}, "bandgap": {"entity_name": "E_{g}", "entity_start": 10, "entity_end": 11, "property_value_start": 13, "property_value_end": 14, "property_numeric_value": 1.55, "property_unit": "eV", "property_value_descriptor": ""}, "hole mobility": {}, "electron mobility": {}, "external quantum efficiency": {}}</t>
  </si>
  <si>
    <t xml:space="preserve">10.1021/ma202399n</t>
  </si>
  <si>
    <t xml:space="preserve">PT-DTBTID</t>
  </si>
  <si>
    <t xml:space="preserve">[*]c%10cc9c(OCC(CC)CCCC)c8sc(c7cc(/C=C/c6sc(c4ccc(c3cc(CCCCCC)c(C=c2c(=O)c1ccccc1c2=O)s3)c5nsnc45)cc6CCCCCC)c([*])s7)cc8c(OCC(CC)CCCC)c9s%10</t>
  </si>
  <si>
    <t xml:space="preserve">['PT-DTBTID']</t>
  </si>
  <si>
    <t xml:space="preserve">{"power conversion efficiency": {"entity_name": "power conversion efficiencies", "entity_start": 168, "entity_end": 170, "property_value_start": 178, "property_value_end": 179, "property_numeric_value": 1.16,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</si>
  <si>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PT-DTBT</t>
  </si>
  <si>
    <t xml:space="preserve">[*]c8cc7c(OCC(CC)CCCC)c6sc(c5cc(/C=C/c4sc(c2ccc(c1cc(CCCCCC)cs1)c3nsnc23)cc4CCCCCC)c([*])s5)cc6c(OCC(CC)CCCC)c7s8</t>
  </si>
  <si>
    <t xml:space="preserve">['PT-DTBT']</t>
  </si>
  <si>
    <t xml:space="preserve">PT-ID</t>
  </si>
  <si>
    <t xml:space="preserve">[*]c6cc5c(OCC(CC)CCCC)c4sc(c3cc(C=c2c(=O)c1ccccc1c2=O)c([*])s3)cc4c(OCC(CC)CCCC)c5s6</t>
  </si>
  <si>
    <t xml:space="preserve">['PT-ID']</t>
  </si>
  <si>
    <t xml:space="preserve">10.1021/ma301622g</t>
  </si>
  <si>
    <t xml:space="preserve">[*]c7ccc(c5c(OCCCCCCCC)c(OCCCCCCCC)c(c4ccc(c3cc2sc1cc([*])c(OCCCCCCCC)cc1c2cc3OCCCCCCCC)s4)c6nsnc56)s7</t>
  </si>
  <si>
    <t xml:space="preserve">0.83 V</t>
  </si>
  <si>
    <t xml:space="preserve">9.30 mA/cm^{2}</t>
  </si>
  <si>
    <t xml:space="preserve">{"power conversion efficiency": {"entity_name": "PCEs", "entity_start": 228, "entity_end": 228, "property_value_start": 234, "property_value_end": 235, "property_numeric_value": 1.71, "property_unit": "%", "property_value_descriptor": ""}, "open circuit voltage": {}, "short circuit current": {}, "fill factor": {"entity_name": "FF", "entity_start": 194, "entity_end": 194, "property_value_start": 231, "property_value_end": 232, "property_numeric_value": 1.02, "property_unit": "%", "property_value_descriptor": ""}, "highest occupied molecular orbital": {}, "lowest unoccupied molecular orbital": {}, "bandgap": {"entity_name": "band gaps", "entity_start": 88, "entity_end": 89, "property_value_start": 91, "property_value_end": 92, "property_numeric_value": 2.0, "property_unit": "eV", "property_value_descriptor": ""}, "hole mobility": {"entity_name": "hole mobilities", "entity_start": 107, "entity_end": 108, "property_value_start": 133, "property_value_end": 142, "property_numeric_value": 0.0023, "property_unit": "cm^{2} V^{-1} s^{-1}", "property_value_descriptor": ""}, "electron mobility": {}, "external quantum efficiency": {}}</t>
  </si>
  <si>
    <t xml:space="preserve">[*]c7ccc(c5ccc(c4ccc(c3cc2sc1cc([*])c(OCC(CC)CCCC)cc1c2cc3OCC(CC)CCCC)s4)c6nsnc56)s7</t>
  </si>
  <si>
    <t xml:space="preserve">[*]c7ccc(c5ccc(c4ccc(c3cc2sc1cc([*])c(OCCCCCCCCCCCC)cc1c2cc3OCCCCCCCCCCCC)s4)c6nsnc56)s7</t>
  </si>
  <si>
    <t xml:space="preserve">10.1021/ma3014367</t>
  </si>
  <si>
    <t xml:space="preserve">P(C-TT-QP-Zn)</t>
  </si>
  <si>
    <t xml:space="preserve">{[*]c%17ccc(c%16ccc(c%15ccc(c1ccc([*])c2nc7c(nc12)c8c(c3ccc(C(C)(C)C)cc3)c%12ccc%11c(c4ccc(C(C)(C)C)cc4)c%14ccc%13c(c5ccc(C(C)(C)C)cc5)c9ccc%10c(c6ccc(C(C)(C)C)cc6)c7[n+]8[Zn](n9%10)(n%11%12)[n+]%13%14)s%15)s%16)s%17,[*]c6ccc5c4ccc(c3ccc(c2ccc(c1ccc([*])s1)s2)s3)cc4n(CCCCCCCCCCCC)c5c6}</t>
  </si>
  <si>
    <t xml:space="preserve">['P(C-TT-QP-Zn)']</t>
  </si>
  <si>
    <t xml:space="preserve">{"power conversion efficiency": {"entity_name": "PCEs", "entity_start": 302, "entity_end": 302, "property_value_start": 335, "property_value_end": 336, "property_numeric_value": 1.45, "property_unit": "%", "property_value_descriptor": ""}, "open circuit voltage": {}, "short circuit current": {}, "fill factor": {}, "highest occupied molecular orbital": {}, "lowest unoccupied molecular orbital": {}, "bandgap": {"entity_name": "bandgap", "entity_start": 173, "entity_end": 173, "property_value_start": 176, "property_value_end": 179, "property_numeric_value": 1.6949999999999998, "property_unit": "eV", "property_value_descriptor": "to"}, "hole mobility": {}, "electron mobility": {}, "external quantum efficiency": {}}</t>
  </si>
  <si>
    <t xml:space="preserve">P(C-TT-QP)</t>
  </si>
  <si>
    <t xml:space="preserve">{[*]c%14ccc(c%13ccc(c%12ccc(c%10ccc([*])c%11nc9c7nc(c(c1ccc(C(C)(C)C)cc1)c2ccc([nH]2)c(c3ccc(C(C)(C)C)cc3)c4ccc(n4)c(c5ccc(C(C)(C)C)cc5)c6ccc([nH]6)c7c8ccc(C(C)(C)C)cc8)c9nc%10%11)s%12)s%13)s%14,[*]c6ccc5c4ccc(c3ccc(c2ccc(c1ccc([*])s1)s2)s3)cc4n(CCCCCCCCCCCC)c5c6}</t>
  </si>
  <si>
    <t xml:space="preserve">['P(C-TT-QP)']</t>
  </si>
  <si>
    <t xml:space="preserve">P(C-BT-QP)</t>
  </si>
  <si>
    <t xml:space="preserve">{[*]c%13ccc(c%12ccc(c%10ccc([*])c%11nc9c7nc(c(c1ccc(C(C)(C)C)cc1)c2ccc([nH]2)c(c3ccc(C(C)(C)C)cc3)c4ccc(n4)c(c5ccc(C(C)(C)C)cc5)c6ccc([nH]6)c7c8ccc(C(C)(C)C)cc8)c9nc%10%11)s%12)s%13,[*]c5ccc4c3ccc(c2ccc(c1ccc([*])s1)s2)cc3n(CCCCCCCCCCCC)c4c5}</t>
  </si>
  <si>
    <t xml:space="preserve">['P(C-BT-QP)']</t>
  </si>
  <si>
    <t xml:space="preserve">P(C-T-QP)</t>
  </si>
  <si>
    <t xml:space="preserve">{[*]c%12ccc(c%10ccc([*])c%11nc9c7nc(c(c1ccc(C(C)(C)C)cc1)c2ccc([nH]2)c(c3ccc(C(C)(C)C)cc3)c4ccc(n4)c(c5ccc(C(C)(C)C)cc5)c6ccc([nH]6)c7c8ccc(C(C)(C)C)cc8)c9nc%10%11)s%12,[*]c4ccc3c2ccc(c1ccc([*])s1)cc2n(CCCCCCCCCCCC)c3c4}</t>
  </si>
  <si>
    <t xml:space="preserve">['P(C-T-QP)']</t>
  </si>
  <si>
    <t xml:space="preserve">10.1021/ma3019552</t>
  </si>
  <si>
    <t xml:space="preserve">PDITTBT</t>
  </si>
  <si>
    <t xml:space="preserve">[*]c1ccc2c(c1)C(CCCCCCCC)(CCCCCCCC)c3c2sc4c8c(sc34)c7ccc(c5ccc([*])c6nsnc56)cc7C8(CCCCCCCC)CCCCCCCC</t>
  </si>
  <si>
    <t xml:space="preserve">['PDITTBT']</t>
  </si>
  <si>
    <t xml:space="preserve">{"power conversion efficiency": {"entity_name": "PCE", "entity_start": 145, "entity_end": 145, "property_value_start": 148, "property_value_end": 149, "property_numeric_value": 3.8, "property_unit": "%", "property_value_descriptor": ""}, "open circuit voltage": {}, "short circuit current": {"entity_name": "J_{sc}", "entity_start": 179, "entity_end": 180, "property_value_start": 182, "property_value_end": 186, "property_numeric_value": 10.08,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</si>
  <si>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PIDTTFBT</t>
  </si>
  <si>
    <t xml:space="preserve">[*]c4cc3sc2c1cc9c(cc1C(CCCCCCCC)(CCCCCCCC)c2c3s4)c8sc7cc(c5c(F)c(F)c([*])c6nsnc56)sc7c8C9(CCCCCCCC)CCCCCCCC</t>
  </si>
  <si>
    <t xml:space="preserve">['PIDTTFBT']</t>
  </si>
  <si>
    <t xml:space="preserve">{"power conversion efficiency": {"entity_name": "PCE", "entity_start": 190, "entity_end": 190, "property_value_start": 192, "property_value_end": 193, "property_numeric_value": 4.2, "property_unit": "%", "property_value_descriptor": ""}, "open circuit voltage": {"entity_name": "V_{oc}", "entity_start": 170, "entity_end": 171, "property_value_start": 174, "property_value_end": 175, "property_numeric_value": 0.9,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</si>
  <si>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PIDTTTPD</t>
  </si>
  <si>
    <t xml:space="preserve">[*]c4cc3sc2c1cc9c(cc1C(CCCCCCCC)(CCCCCCCC)c2c3s4)c8sc7cc(c5sc([*])c6c(=O)n(CCCCCCCC)c(=O)c56)sc7c8C9(CCCCCCCC)CCCCCCCC</t>
  </si>
  <si>
    <t xml:space="preserve">['PIDTTTPD']</t>
  </si>
  <si>
    <t xml:space="preserve">{"power conversion efficiency": {"entity_name": "PCE", "entity_start": 226, "entity_end": 226, "property_value_start": 228, "property_value_end": 229, "property_numeric_value": 4.3,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</si>
  <si>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10.1021/ma400696e</t>
  </si>
  <si>
    <t xml:space="preserve">PDTNBT</t>
  </si>
  <si>
    <t xml:space="preserve">[*]c1cc4c(s1)c3ccc2c8c(ccc2c3C4(CC(CC)CCCC)CC(CC)CCCC)c7sc(c5ccc([*])c6nsnc56)cc7C8(CC(CC)CCCC)CC(CC)CCCC</t>
  </si>
  <si>
    <t xml:space="preserve">['PDTNBT']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</si>
  <si>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139, "entity_end": 140, "property_value_start": 142, "property_value_end": 151, "property_numeric_value": 2.13e-05, "property_unit": "cm^{2} V^{-1} s^{-1}", "property_value_descriptor": ""}, "electron mobility": {}, "external quantum efficiency": {}}</t>
  </si>
  <si>
    <t xml:space="preserve">PDTNTBT</t>
  </si>
  <si>
    <t xml:space="preserve">[*]c%10ccc(c8c(OCCCCCC)c(OCCCCCC)c(c7ccc(c1cc4c(s1)c3ccc2c6c(ccc2c3C4(CC(CC)CCCC)CC(CC)CCCC)c5sc([*])cc5C6(CC(CC)CCCC)CC(CC)CCCC)s7)c9nsnc89)s%10</t>
  </si>
  <si>
    <t xml:space="preserve">['PDTNTBT']</t>
  </si>
  <si>
    <t xml:space="preserve">{"power conversion efficiency": {"entity_name": "PCE", "entity_start": 201, "entity_end": 201, "property_value_start": 204, "property_value_end": 205, "property_numeric_value": 4.8, "property_unit": "%", "property_value_descriptor": ""}, "open circuit voltage": {"entity_name": "open-circuit voltage", "entity_start": 217, "entity_end": 220, "property_value_start": 222, "property_value_end": 223, "property_numeric_value": 0.86, "property_unit": "V", "property_value_descriptor": ""}, "short circuit current": {}, "fill factor": {"entity_name": "fill factor", "entity_start": 227, "entity_end": 228, "property_value_start": 230, "property_value_end": 231, "property_numeric_value": 54.0,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</si>
  <si>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PDTNTDPP</t>
  </si>
  <si>
    <t xml:space="preserve">[*]c%10ccc(c9c8c(=O)n(CC(CC)CCCC)c(c7ccc(c1cc4c(s1)c3ccc2c6c(ccc2c3C4(CC(CC)CCCC)CC(CC)CCCC)c5sc([*])cc5C6(CC(CC)CCCC)CC(CC)CCCC)s7)c8c(=O)n9CC(CC)CCCC)s%10</t>
  </si>
  <si>
    <t xml:space="preserve">['PDTNTDPP']</t>
  </si>
  <si>
    <t xml:space="preserve">10.1021/ma502546b</t>
  </si>
  <si>
    <t xml:space="preserve">PTBDCB25</t>
  </si>
  <si>
    <t xml:space="preserve">{[*]c6cc5c(OCC(CC)CCCC)c4sc(c2sc([*])c3sc(C(=O)OCCCCOCc1ccc(Cl)c(Cl)c1)c(F)c23)cc4c(OCC(CC)CCCC)c5s6,[*]c5cc4c(OCC(CC)CCCC)c3sc(c1sc([*])c2sc(C(=O)OCC(CCCC)CCCCCC)c(F)c12)cc3c(OCC(CC)CCCC)c4s5}</t>
  </si>
  <si>
    <t xml:space="preserve">['PTBDCB25']</t>
  </si>
  <si>
    <t xml:space="preserve">{"power conversion efficiency": {"entity_name": "PCE", "entity_start": 212, "entity_end": 212, "property_value_start": 214, "property_value_end": 215, "property_numeric_value": 8.3,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</si>
  <si>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PTBBO</t>
  </si>
  <si>
    <t xml:space="preserve">['PTBBO']</t>
  </si>
  <si>
    <t xml:space="preserve">{"power conversion efficiency": {"entity_name": "PCE", "entity_start": 219, "entity_end": 219, "property_value_start": 223, "property_value_end": 224, "property_numeric_value": 6.9,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</si>
  <si>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10.1021/acs.macromol.5b01826</t>
  </si>
  <si>
    <t xml:space="preserve">PPyDPP2T</t>
  </si>
  <si>
    <t xml:space="preserve">[*]c6ccc(c5c4c(=O)n(CC(CCCCCCCCCC)CCCCCCCCCCCC)c(c3ccc(c2ccc(c1ccc([*])s1)s2)cn3)c4c(=O)n5C(CCCCCCCCCC)CCCCCCCCCCCC)nc6</t>
  </si>
  <si>
    <t xml:space="preserve">['PPyDPP2 T']</t>
  </si>
  <si>
    <t xml:space="preserve">["PC_{71}BM"]</t>
  </si>
  <si>
    <t xml:space="preserve">{"power conversion efficiency": {"entity_name": "PCE", "entity_start": 186, "entity_end": 186, "property_value_start": 208, "property_value_end": 209, "property_numeric_value": 4.14,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</si>
  <si>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PTDPP2T</t>
  </si>
  <si>
    <t xml:space="preserve">[*]c6ccc(c5ccc(c4ccc(c3c2c(=O)n(C(CCCCCCCCCCC)CCCCCCCCCCCC)c(c1ccc([*])s1)c2c(=O)n3CC(CCCCCCCCCC)CCCCCCCCCCCC)s4)s5)s6</t>
  </si>
  <si>
    <t xml:space="preserve">['PTDPP2T']</t>
  </si>
  <si>
    <t xml:space="preserve">TDPP:PyDPP</t>
  </si>
  <si>
    <t xml:space="preserve">{[*]c6ccc(c5ccc(c4ccc(c3c2c(=O)n(C(CCCCCCCCCCC)CCCCCCCCCCCC)c(c1ccc([*])s1)c2c(=O)n3CC(CCCCCCCCCC)CCCCCCCCCCCC)s4)s5)s6,[*]c6ccc(c5c4c(=O)n(CC(CCCCCCCCCC)CCCCCCCCCCCC)c(c3ccc(c2ccc(c1ccc([*])s1)s2)cn3)c4c(=O)n5C(CCCCCCCCCC)CCCCCCCCCCCC)nc6}</t>
  </si>
  <si>
    <t xml:space="preserve">['TDPP:PyDPP']</t>
  </si>
  <si>
    <t xml:space="preserve">10.1021/acs.macromol.5b02780</t>
  </si>
  <si>
    <t xml:space="preserve">PTEI-T</t>
  </si>
  <si>
    <t xml:space="preserve">[*]c4ccc3c(=Cc2ccc(c1ccc([*])s1)s2)c(=O)n(CC(CCCCCCCC)CCCCCCCCCC)c3c4</t>
  </si>
  <si>
    <t xml:space="preserve">['PTEI-T']</t>
  </si>
  <si>
    <t xml:space="preserve">{"power conversion efficiency": {"entity_name": "PCE", "entity_start": 182, "entity_end": 182, "property_value_start": 185, "property_value_end": 186, "property_numeric_value": 7.32, "property_unit": "%", "property_value_descriptor": ""}, "open circuit voltage": {"entity_name": "V_{oc}", "entity_start": 169, "entity_end": 171, "property_value_start": 173, "property_value_end": 174, "property_numeric_value": 0.85, "property_unit": "V", "property_value_descriptor": ""}, "short circuit current": {"entity_name": "J_{sc}", "entity_start": 145, "entity_end": 146, "property_value_start": 150, "property_value_end": 153, "property_numeric_value": 13.4, "property_unit": "mA cm^{-2}", "property_value_descriptor": ""}, "fill factor": {"entity_name": "FF", "entity_start": 159, "entity_end": 159, "property_value_start": 162, "property_value_end": 162, "property_numeric_value": 65.0, "property_unit": "%", "property_value_descriptor": ""}, "highest occupied molecular orbital": {"entity_name": "HOMO energy", "entity_start": 62, "entity_end": 63, "property_value_start": 66, "property_value_end": 69, "property_numeric_value": -5.34, "property_unit": "eV", "property_value_descriptor": "to"}, "lowest unoccupied molecular orbital": {"entity_name": "LUMO energy levels", "entity_start": 73, "entity_end": 75, "property_value_start": 77, "property_value_end": 80, "property_numeric_value": -3.645, "property_unit": "eV", "property_value_descriptor": "to"}, "bandgap": {}, "hole mobility": {}, "electron mobility": {}, "external quantum efficiency": {}}</t>
  </si>
  <si>
    <t xml:space="preserve">10.1021/ma201718x</t>
  </si>
  <si>
    <t xml:space="preserve">PT5TPA</t>
  </si>
  <si>
    <t xml:space="preserve">[*]c8ccc(c7ccc(c6ccc(c2sc(c1ccc([*])s1)cc2/C=C/c5ccc(N(c3ccc(OCC(CC)CCCC)cc3)c4ccc(OCC(CC)CCCC)cc4)cc5)s6)s7)s8</t>
  </si>
  <si>
    <t xml:space="preserve">['PT5TPA']</t>
  </si>
  <si>
    <t xml:space="preserve">indene-C_{60}</t>
  </si>
  <si>
    <t xml:space="preserve">['indene-C_{60}']</t>
  </si>
  <si>
    <t xml:space="preserve">{"power conversion efficiency": {"entity_name": "power conversion efficiency", "entity_start": 140, "entity_end": 142, "property_value_start": 144, "property_value_end": 145, "property_numeric_value": 3.6, "property_unit": "%", "property_value_descriptor": ""}, "open circuit voltage": {"entity_name": "open circuit voltage", "entity_start": 149, "entity_end": 151, "property_value_start": 153, "property_value_end": 154, "property_numeric_value": 0.94,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</si>
  <si>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10.1021/ma502042k</t>
  </si>
  <si>
    <t xml:space="preserve">PSEHTT</t>
  </si>
  <si>
    <t xml:space="preserve">[*]c7cc(CC(CC)CCCC)c(c6nc5sc(c4sc(c1cc3c(s1)c2sc([*])cc2[Si]3(CC(CC)CCCC)CC(CC)CCCC)cc4CC(CC)CCCC)nc5s6)s7</t>
  </si>
  <si>
    <t xml:space="preserve">['PSEHTT']</t>
  </si>
  <si>
    <t xml:space="preserve">PBFI-T</t>
  </si>
  <si>
    <t xml:space="preserve">[*]c%12ccc(c4c2nc1c9ccc%11c(=O)n(CC(CCCCCCCCCC)CCCCCCCCCCCC)c(=O)c%10ccc(c1nc2c([*])c5nc3c6ccc7c(=O)n(CC(CCCCCCCCCC)CCCCCCCCCCCC)c(=O)c8ccc(c3nc45)c6c78)c9c%10%11)s%12</t>
  </si>
  <si>
    <t xml:space="preserve">['PBFI-T']</t>
  </si>
  <si>
    <t xml:space="preserve">7.34 mA/cm^{2}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</si>
  <si>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 gap", "entity_start": 51, "entity_end": 53, "property_value_start": 67, "property_value_end": 68, "property_numeric_value": 1.38, "property_unit": "eV", "property_value_descriptor": ""}, "hole mobility": {}, "electron mobility": {}, "external quantum efficiency": {}}</t>
  </si>
  <si>
    <t xml:space="preserve">PBFI-S</t>
  </si>
  <si>
    <t xml:space="preserve">[*]c%12ccc(c4c2nc1c9ccc%11c(=O)n(CC(CCCCCCCCCC)CCCCCCCCCCCC)c(=O)c%10ccc(c1nc2c([*])c5nc3c6ccc7c(=O)n(CC(CCCCCCCCCC)CCCCCCCCCCCC)c(=O)c8ccc(c3nc45)c6c78)c9c%10%11)[se]%12</t>
  </si>
  <si>
    <t xml:space="preserve">['PBFI-S']</t>
  </si>
  <si>
    <t xml:space="preserve">10.1021/acs.macromol.9b00411</t>
  </si>
  <si>
    <t xml:space="preserve">['J71']</t>
  </si>
  <si>
    <t xml:space="preserve">PNDI-2T-TR(5)</t>
  </si>
  <si>
    <t xml:space="preserve">{[*]c6ccc(c5ccc(c1cc3c(=O)n(CC(CCCCCCCC)CCCCCCCCCC)c(=O)c4c([*])cc2c(=O)n(CC(CCCCCCCC)CCCCCCCCCC)c(=O)c1c2c34)s5)s6,[*]c4ccc(c3ccc(c1sc([*])cc1C=c2sc(=C(C#N)C#N)n(CC)c2=O)s3)s4}</t>
  </si>
  <si>
    <t xml:space="preserve">['PNDI-2T-TR(5)']</t>
  </si>
  <si>
    <t xml:space="preserve">{"power conversion efficiency": {"entity_name": "power conversion efficiency", "entity_start": 64, "entity_end": 66, "property_value_start": 68, "property_value_end": 69, "property_numeric_value": 9.12,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</si>
  <si>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10.1021/acs.macromol.7b01539</t>
  </si>
  <si>
    <t xml:space="preserve">PFPDI-2T</t>
  </si>
  <si>
    <t xml:space="preserve">[*]c%18ccc(c%17ccc(c2cc3c(=O)n(CC(CCCCCCCC)CCCCCCCCCC)c(=O)c4cc5c1c%13cc%16c(=O)n(CC(CCCCCCCC)CCCCCCCCCC)c(=O)c%15ccc%14c%10c([*])cc%11C(=O)N(CC(CCCCCCCC)CCCCCCCCCC)C(=O)C%12Cc(c1c6cc9c(=O)n(CC(CCCCCCCC)CCCCCCCCCC)c(=O)c8ccc7c2c(c34)c5c6c7c89)c(c%10c%11%12)c%13c%14c%15%16)s%17)s%18</t>
  </si>
  <si>
    <t xml:space="preserve">['PFPDI-2T']</t>
  </si>
  <si>
    <t xml:space="preserve">{"power conversion efficiency": {"entity_name": "Power conversion efficiency", "entity_start": 124, "entity_end": 126, "property_value_start": 131, "property_value_end": 132, "property_numeric_value": 6.39, "property_unit": "%", "property_value_descriptor": ""}, "open circuit voltage": {}, "short circuit current": {}, "fill factor": {}, "highest occupied molecular orbital": {}, "lowest unoccupied molecular orbital": {"entity_name": "LUMO energy levels", "entity_start": 70, "entity_end": 72, "property_value_start": 75, "property_value_end": 78, "property_numeric_value": -4.135, "property_unit": "eV", "property_value_descriptor": "to"}, "bandgap": {}, "hole mobility": {}, "electron mobility": {}, "external quantum efficiency": {}}</t>
  </si>
  <si>
    <t xml:space="preserve">10.1021/acs.macromol.6b01680</t>
  </si>
  <si>
    <t xml:space="preserve">P(NTDT-BDT)</t>
  </si>
  <si>
    <t xml:space="preserve">[*]c7ccc(c6cc5c(cc(c4ccc(c3cc2c(OCC(CCCCCCCC)CCCCCCCCCC)c1sc([*])cc1c(OCC(CCCCCCCC)CCCCCCCCCC)c2s3)s4)c(=O)n5CCCCCCCCC)n(CCCCCCCCC)c6=O)s7</t>
  </si>
  <si>
    <t xml:space="preserve">['P(NTDT-BDT)']</t>
  </si>
  <si>
    <t xml:space="preserve">{"power conversion efficiency": {"entity_name": "power conversion efficiency", "entity_start": 139, "entity_end": 141, "property_value_start": 145, "property_value_end": 146, "property_numeric_value": 8.16, "property_unit": "%", "property_value_descriptor": ""}, "open circuit voltage": {}, "short circuit current": {"entity_name": "J_{sc}", "entity_start": 153, "entity_end": 155, "property_value_start": 157, "property_value_end": 160, "property_numeric_value": 18.51,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</si>
  <si>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10.1021/ma500831z</t>
  </si>
  <si>
    <t xml:space="preserve">PDTG-BDD</t>
  </si>
  <si>
    <t xml:space="preserve">[*]c1cc6c(s1)c5sc(c3sc([*])c4c(=O)c2c(CC(CC)CCCC)sc(CC(CC)CCCC)c2c(=O)c34)cc5[Ge]6(CC(CC)CCCC)CC(CC)CCCC</t>
  </si>
  <si>
    <t xml:space="preserve">['PDTG-BDD']</t>
  </si>
  <si>
    <t xml:space="preserve">10.3 mA/cm^{2}</t>
  </si>
  <si>
    <t xml:space="preserve">{"power conversion efficiency": {"entity_name": "PCE", "entity_start": 172, "entity_end": 172, "property_value_start": 174, "property_value_end": 175, "property_numeric_value": 6.3, "property_unit": "%", "property_value_descriptor": ""}, "open circuit voltage": {"entity_name": "V_{oc}", "entity_start": 179, "entity_end": 180, "property_value_start": 182, "property_value_end": 183, "property_numeric_value": 0.935, "property_unit": "V", "property_value_descriptor": ""}, "short circuit current": {}, "fill factor": {"entity_name": "FF", "entity_start": 186, "entity_end": 186, "property_value_start": 188, "property_value_end": 189, "property_numeric_value": 65.0,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</si>
  <si>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PDTG-DPP</t>
  </si>
  <si>
    <t xml:space="preserve">[*]c7ccc(c6c5c(=O)n(CC(CC)CCCC)c(c4ccc(c1cc3c(s1)c2sc([*])cc2[Ge]3(CC(CC)CCCC)CC(CC)CCCC)s4)c5c(=O)n6CC(CC)CCCC)s7</t>
  </si>
  <si>
    <t xml:space="preserve">['PDTG-DPP']</t>
  </si>
  <si>
    <t xml:space="preserve">{"power conversion efficiency": {}, "open circuit voltage": {}, "short circuit current": {"entity_name": "J_{sc}", "entity_start": 222, "entity_end": 223, "property_value_start": 225, "property_value_end": 229, "property_numeric_value": 3.19,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</si>
  <si>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10.1021/acs.macromol.7b01432</t>
  </si>
  <si>
    <t xml:space="preserve">PTzBI-O</t>
  </si>
  <si>
    <t xml:space="preserve">[*]c%10ccc(c8c1nn(CCCCCCCC)nc1c(c7ccc(c6cc5c(c2ccc(CC(CC)CCCC)s2)c3sc([*])cc3c(c4ccc(CC(CC)CCCC)s4)c5s6)s7)c9c(=O)n(OCCCCCCCC)c(=O)c89)s%10</t>
  </si>
  <si>
    <t xml:space="preserve">['TzBI-O', 'PTzBI-O']</t>
  </si>
  <si>
    <t xml:space="preserve">{"power conversion efficiency": {"entity_name": "power conversion efficiency", "entity_start": 135, "entity_end": 137, "property_value_start": 139, "property_value_end": 140, "property_numeric_value": 7.91, "property_unit": "%", "property_value_descriptor": ""}, "open circuit voltage": {}, "short circuit current": {}, "fill factor": {}, "highest occupied molecular orbital": {}, "lowest unoccupied molecular orbital": {}, "bandgap": {"entity_name": "bandgap", "entity_start": 75, "entity_end": 75, "property_value_start": 77, "property_value_end": 78, "property_numeric_value": 1.75, "property_unit": "eV", "property_value_descriptor": ""}, "hole mobility": {}, "electron mobility": {}, "external quantum efficiency": {}}</t>
  </si>
  <si>
    <t xml:space="preserve">10.1021/ma301466m</t>
  </si>
  <si>
    <t xml:space="preserve">poly[quinacridone-alt-benzothiadiazole]</t>
  </si>
  <si>
    <t xml:space="preserve">[*]c1ccc3c(c1)c(=O)c2cc9c(cc2n3CC(CCCCCCCC)CCCCCCCCCC)c(=O)c8cc(c7ccc(c5c(OCCCCCCCC)c(OCCCCCCCC)c(c4ccc([*])s4)c6nsnc56)s7)ccc8n9CC(CCCCCCCC)CCCCCCCCCC</t>
  </si>
  <si>
    <t xml:space="preserve">['poly[quinacridone-alt-benzothiadiazole]', 'PQCDTB']</t>
  </si>
  <si>
    <t xml:space="preserve">{"power conversion efficiency": {"entity_name": "PCE", "entity_start": 182, "entity_end": 182, "property_value_start": 196, "property_value_end": 197, "property_numeric_value": 2.5, "property_unit": "%", "property_value_descriptor": ""}, "open circuit voltage": {"entity_name": "V_{OC}", "entity_start": 158, "entity_end": 159, "property_value_start": 185, "property_value_end": 186, "property_numeric_value": 0.79, "property_unit": "V", "property_value_descriptor": ""}, "short circuit current": {"entity_name": "J_{SC}", "entity_start": 167, "entity_end": 168, "property_value_start": 188, "property_value_end": 191, "property_numeric_value": 5.6, "property_unit": "mA cm^{-2}", "property_value_descriptor": ""}, "fill factor": {"entity_name": "FF", "entity_start": 174, "entity_end": 174, "property_value_start": 193, "property_value_end": 194, "property_numeric_value": 55.8, "property_unit": "%", "property_value_descriptor": ""}, "highest occupied molecular orbital": {"entity_name": "HOMO", "entity_start": 66, "entity_end": 66, "property_value_start": 73, "property_value_end": 74, "property_numeric_value": -5.24, "property_unit": "eV", "property_value_descriptor": ""}, "lowest unoccupied molecular orbital": {"entity_name": "LUMO levels", "entity_start": 68, "entity_end": 69, "property_value_start": 76, "property_value_end": 77, "property_numeric_value": -3.32, "property_unit": "eV", "property_value_descriptor": ""}, "bandgap": {"entity_name": "optical band gap energy", "entity_start": 47, "entity_end": 50, "property_value_start": 52, "property_value_end": 53, "property_numeric_value": 1.92, "property_unit": "eV", "property_value_descriptor": ""}, "hole mobility": {}, "electron mobility": {}, "external quantum efficiency": {}}</t>
  </si>
  <si>
    <t xml:space="preserve">10.1021/ma502050b</t>
  </si>
  <si>
    <t xml:space="preserve">P(QP1-BT-DPP4)</t>
  </si>
  <si>
    <t xml:space="preserve">{[*]c%16ccc(c%15ccc(c1ccc([*])c2nc7c(nc12)c8c(c3ccc(C(C)(C)C)cc3)c%12ccc%11c(c4ccc(C(C)(C)C)cc4)c%14ccc%13c(c5ccc(C(C)(C)C)cc5)c9ccc%10c(c6ccc(C(C)(C)C)cc6)c7[n+]8[Zn](n9%10)(n%11%12)[n+]%13%14)s%15)s%16,[*]c6ccc(c5ccc(c4ccc(c3c2c(=O)n(CC(CCCCCCCC)CCCCCCCCCC)c(c1ccc([*])s1)c2c(=O)n3CC(CCCCCCCC)CCCCCCCCCC)s4)s5)s6}</t>
  </si>
  <si>
    <t xml:space="preserve">['P(QP1-BT-DPP4)']</t>
  </si>
  <si>
    <t xml:space="preserve">{"power conversion efficiency": {"entity_name": "power conversion efficiency", "entity_start": 295, "entity_end": 297, "property_value_start": 299, "property_value_end": 300, "property_numeric_value": 5.07, "property_unit": "%", "property_value_descriptor": ""}, "open circuit voltage": {}, "short circuit current": {"entity_name": "J_{sc}", "entity_start": 260, "entity_end": 261, "property_value_start": 263, "property_value_end": 267, "property_numeric_value": 11.85,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</si>
  <si>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10.1021/ma302133h</t>
  </si>
  <si>
    <t xml:space="preserve">PCDSeBT</t>
  </si>
  <si>
    <t xml:space="preserve">[*]c7ccc6c5ccc(c4ccc(c2ccc(c1ccc([*])[se]1)c3nsnc23)[se]4)cc5n(C(CCCCCCCC)CCCCCCCC)c6c7</t>
  </si>
  <si>
    <t xml:space="preserve">['PCDSeBT']</t>
  </si>
  <si>
    <t xml:space="preserve">11.7 mA/cm^{2}</t>
  </si>
  <si>
    <t xml:space="preserve">{"power conversion efficiency": {"entity_name": "PCE", "entity_start": 262, "entity_end": 262, "property_value_start": 265, "property_value_end": 266, "property_numeric_value": 4.12, "property_unit": "%", "property_value_descriptor": ""}, "open circuit voltage": {"entity_name": "V OC", "entity_start": 249, "entity_end": 250, "property_value_start": 253, "property_value_end": 254, "property_numeric_value": 0.79, "property_unit": "V", "property_value_descriptor": ""}, "short circuit current": {}, "fill factor": {"entity_name": "FF", "entity_start": 236, "entity_end": 236, "property_value_start": 239, "property_value_end": 240, "property_numeric_value": 45.0, "property_unit": "%", "property_value_descriptor": ""}, "highest occupied molecular orbital": {"entity_name": "HOMO", "entity_start": 143, "entity_end": 143, "property_value_start": 148, "property_value_end": 149, "property_numeric_value": -5.4, "property_unit": "eV", "property_value_descriptor": ""}, "lowest unoccupied molecular orbital": {}, "bandgap": {"entity_name": "bandgap", "entity_start": 153, "entity_end": 153, "property_value_start": 155, "property_value_end": 156, "property_numeric_value": 1.7, "property_unit": "eV", "property_value_descriptor": ""}, "hole mobility": {}, "electron mobility": {}, "external quantum efficiency": {}}</t>
  </si>
  <si>
    <t xml:space="preserve">10.1021/acs.macromol.7b00998</t>
  </si>
  <si>
    <t xml:space="preserve">PFBDT-DTffBT</t>
  </si>
  <si>
    <t xml:space="preserve">[*]c%13ccc(c%11c(F)c(F)c(c%10ccc(c9cc8c(c3ccc2c1ccccc1C(CC(CC)CCCC)(CC(CC)CCCC)c2c3)c4sc([*])cc4c(c7ccc6c5ccccc5C(CC(CC)CCCC)(CC(CC)CCCC)c6c7)c8s9)s%10)c%12nsnc%11%12)s%13</t>
  </si>
  <si>
    <t xml:space="preserve">['PFBDT-DTffBT']</t>
  </si>
  <si>
    <t xml:space="preserve">{"power conversion efficiency": {"entity_name": "PCE", "entity_start": 80, "entity_end": 80, "property_value_start": 96, "property_value_end": 97, "property_numeric_value": 7.13, "property_unit": "%", "property_value_descriptor": ""}, "open circuit voltage": {"entity_name": "V_{OC}", "entity_start": 122, "entity_end": 123, "property_value_start": 125, "property_value_end": 126, "property_numeric_value": 0.96, "property_unit": "V", "property_value_descriptor": ""}, "short circuit current": {"entity_name": "J_{SC}", "entity_start": 128, "entity_end": 129, "property_value_start": 131, "property_value_end": 134, "property_numeric_value": 13.24, "property_unit": "mA cm^{-2}", "property_value_descriptor": ""}, "fill factor": {"entity_name": "FF", "entity_start": 137, "entity_end": 137, "property_value_start": 139, "property_value_end": 139, "property_numeric_value": 57.699999999999996,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</si>
  <si>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PFBDT-DTBT</t>
  </si>
  <si>
    <t xml:space="preserve">[*]c%13ccc(c%11ccc(c%10ccc(c9cc8c(c3ccc2c1ccccc1C(CC(CC)CCCC)(CC(CC)CCCC)c2c3)c4sc([*])cc4c(c7ccc6c5ccccc5C(CC(CC)CCCC)(CC(CC)CCCC)c6c7)c8s9)s%10)c%12nsnc%11%12)s%13</t>
  </si>
  <si>
    <t xml:space="preserve">['PFBDT-DTBT']</t>
  </si>
  <si>
    <t xml:space="preserve">{"power conversion efficiency": {}, "open circuit voltage": {"entity_name": "V_{OC}", "entity_start": 99, "entity_end": 100, "property_value_start": 102, "property_value_end": 103, "property_numeric_value": 0.9, "property_unit": "V", "property_value_descriptor": ""}, "short circuit current": {"entity_name": "J_{SC}", "entity_start": 105, "entity_end": 106, "property_value_start": 108, "property_value_end": 111, "property_numeric_value": 13.26, "property_unit": "mA cm^{-2}", "property_value_descriptor": ""}, "fill factor": {"entity_name": "FF", "entity_start": 114, "entity_end": 114, "property_value_start": 119, "property_value_end": 120, "property_numeric_value": 7.33,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</si>
  <si>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10.1021/acs.macromol.5b02754</t>
  </si>
  <si>
    <t xml:space="preserve">='reg-P2'</t>
  </si>
  <si>
    <t xml:space="preserve">[*]c6ccc(c5sc4c(CCC(CCCCCCCC)CCCCCCCCCC)c(c3ccc(c1c(F)c(F)c([*])c2nsnc12)s3)sc4c5CCC(CCCCCCCC)CCCCCCCCCC)s6</t>
  </si>
  <si>
    <t xml:space="preserve">['reg-P2']</t>
  </si>
  <si>
    <t xml:space="preserve">{"power conversion efficiency": {"entity_name": "power conversion efficiency", "entity_start": 136, "entity_end": 138, "property_value_start": 141, "property_value_end": 142, "property_numeric_value": 7.6,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</si>
  <si>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10.1021/acs.macromol.5b00098</t>
  </si>
  <si>
    <t xml:space="preserve">PaNDTDTFBT</t>
  </si>
  <si>
    <t xml:space="preserve">[*]c8cc7cc(CC(CCCCCCCC)CCCCCCCCCC)c6c5sc(c4sc(c2c(F)c(F)c(c1cc(CCCCCCCC)c([*])s1)c3nsnc23)cc4CCCCCCCC)cc5cc(CC(CCCCCCCC)CCCCCCCCCC)c6c7s8</t>
  </si>
  <si>
    <t xml:space="preserve">['PaNDTDTFBT']</t>
  </si>
  <si>
    <t xml:space="preserve">{"power conversion efficiency": {"entity_name": "PCE", "entity_start": 189, "entity_end": 189, "property_value_start": 191, "property_value_end": 192, "property_numeric_value": 6.86,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</si>
  <si>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10.1021/acs.macromol.7b02734</t>
  </si>
  <si>
    <t xml:space="preserve">[*]c9cc8cc(CCCCCCCC)c1c(ccc7c1cc(CCCCCCCC)c6cc(c5sc(c3c(F)c(F)c(c2cc(CC(CCCCCC)CCCCCCCC)c([*])s2)c4nsnc34)cc5CC(CCCCCC)CCCCCCCC)sc67)c8s9</t>
  </si>
  <si>
    <t xml:space="preserve">{"power conversion efficiency": {"entity_name": "PCE", "entity_start": 192, "entity_end": 192, "property_value_start": 194, "property_value_end": 195, "property_numeric_value": 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</si>
  <si>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10.1021/ma9012972</t>
  </si>
  <si>
    <t xml:space="preserve">PDPP-BDP</t>
  </si>
  <si>
    <t xml:space="preserve">[*]c7ccc(c6c5c(=O)n(CC(CC)CCCC)c(c4ccc(c3cc2c(CC(CC)CCCC)c(CC(CC)CCCC)c1c([*])csc1c2s3)s4)c5c(=O)n6CC(CC)CCCC)s7</t>
  </si>
  <si>
    <t xml:space="preserve">['PDPP-BDP']</t>
  </si>
  <si>
    <t xml:space="preserve">10.0 mA/cm^{2}</t>
  </si>
  <si>
    <t xml:space="preserve">{"power conversion efficiency": {"entity_name": "PCE", "entity_start": 216, "entity_end": 216, "property_value_start": 218, "property_value_end": 219, "property_numeric_value": 4.45, "property_unit": "%", "property_value_descriptor": ""}, "open circuit voltage": {"entity_name": "V_{oc}", "entity_start": 227, "entity_end": 228, "property_value_start": 231, "property_value_end": 232, "property_numeric_value": 0.72,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</si>
  <si>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10.1021/acs.macromol.7b00785</t>
  </si>
  <si>
    <t xml:space="preserve">PBTCl25</t>
  </si>
  <si>
    <t xml:space="preserve">{[*]c7cc6c(c1ccc(CC(CC)CCCC)s1)c4sc(c2sc([*])c3sc(C(=O)OCC(CC)CCCC)c(Cl)c23)cc4c(c5ccc(CC(CC)CCCC)s5)c6s7,[*]c7cc6c(c1ccc(CC(CC)CCCC)s1)c4sc(c2sc([*])c3sc(C(=O)OCC(CC)CCCC)c(F)c23)cc4c(c5ccc(CC(CC)CCCC)s5)c6s7}</t>
  </si>
  <si>
    <t xml:space="preserve">['PBTCl25']</t>
  </si>
  <si>
    <t xml:space="preserve">{"power conversion efficiency": {"entity_name": "power conversion efficiency", "entity_start": 145, "entity_end": 147, "property_value_start": 149, "property_value_end": 150, "property_numeric_value": 8.31, "property_unit": "%", "property_value_descriptor": ""}, "open circuit voltage": {"entity_name": "V_{oc}", "entity_start": 175, "entity_end": 176, "property_value_start": 181, "property_value_end": 182, "property_numeric_value": 0.82, "property_unit": "V", "property_value_descriptor": ""}, "short circuit current": {}, "fill factor": {}, "highest occupied molecular orbital": {}, "lowest unoccupied molecular orbital": {}, "bandgap": {"entity_name": "band gap", "entity_start": 79, "entity_end": 80, "property_value_start": 85, "property_value_end": 86, "property_numeric_value": 2.04, "property_unit": "eV", "property_value_descriptor": ""}, "hole mobility": {}, "electron mobility": {}, "external quantum efficiency": {}}</t>
  </si>
  <si>
    <t xml:space="preserve">10.1021/acs.macromol.5b01137</t>
  </si>
  <si>
    <t xml:space="preserve">['PC_{71}BM', '(6,6)-phenyl-C_{71}-butyric acid methyl ester']</t>
  </si>
  <si>
    <t xml:space="preserve">{"power conversion efficiency": {"entity_name": "PCE", "entity_start": 189, "entity_end": 189, "property_value_start": 191, "property_value_end": 192, "property_numeric_value": 8.02,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</si>
  <si>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['PC_{61}BM', '(6,6)-phenyl-C_{61} butyric acid methyl ester']</t>
  </si>
  <si>
    <t xml:space="preserve">10.1021/acs.macromol.7b01958</t>
  </si>
  <si>
    <t xml:space="preserve">TPhI-BDT</t>
  </si>
  <si>
    <t xml:space="preserve">[*]c9ccc(c7ccc(c6ccc(c5cc4c(c1ccc(CC(CC)CCCC)s1)c2sc([*])cc2c(c3ccc(CC(CC)CCCC)s3)c4s5)s6)c8c(=O)n(CC(CC)CCCC)c(=O)c78)s9</t>
  </si>
  <si>
    <t xml:space="preserve">['TPhI-BDT']</t>
  </si>
  <si>
    <t xml:space="preserve">='IDIC'</t>
  </si>
  <si>
    <t xml:space="preserve">{"power conversion efficiency": {"entity_name": "PCE", "entity_start": 155, "entity_end": 155, "property_value_start": 157, "property_value_end": 158, "property_numeric_value": 8.31, "property_unit": "%", "property_value_descriptor": ""}, "open circuit voltage": {"entity_name": "V_{oc}", "entity_start": 161, "entity_end": 162, "property_value_start": 164, "property_value_end": 165, "property_numeric_value": 0.9, "property_unit": "V", "property_value_descriptor": ""}, "short circuit current": {"entity_name": "J_{sc}", "entity_start": 168, "entity_end": 169, "property_value_start": 171, "property_value_end": 174, "property_numeric_value": 14.07, "property_unit": "mA cm^{-2}", "property_value_descriptor": ""}, "fill factor": {"entity_name": "FF", "entity_start": 178, "entity_end": 178, "property_value_start": 180, "property_value_end": 181, "property_numeric_value": 66.0,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</si>
  <si>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TffPhI-BDT</t>
  </si>
  <si>
    <t xml:space="preserve">[*]c9ccc(c7c(F)c(F)c(c6ccc(c5cc4c(c1ccc(CC(CC)CCCC)s1)c2sc([*])cc2c(c3ccc(CC(CC)CCCC)s3)c4s5)s6)c8c(=O)n(CC(CC)CCCC)c(=O)c78)s9</t>
  </si>
  <si>
    <t xml:space="preserve">['TffPhI-BDT']</t>
  </si>
  <si>
    <t xml:space="preserve">{"power conversion efficiency": {"entity_name": "PCE", "entity_start": 195, "entity_end": 195, "property_value_start": 197, "property_value_end": 198, "property_numeric_value": 9.48, "property_unit": "%", "property_value_descriptor": ""}, "open circuit voltage": {"entity_name": "V_{oc}", "entity_start": 202, "entity_end": 203, "property_value_start": 205, "property_value_end": 206, "property_numeric_value": 0.93, "property_unit": "V", "property_value_descriptor": ""}, "short circuit current": {"entity_name": "J_{sc}", "entity_start": 209, "entity_end": 210, "property_value_start": 212, "property_value_end": 215, "property_numeric_value": 15.92, "property_unit": "mA cm^{-2}", "property_value_descriptor": ""}, "fill factor": {"entity_name": "FF", "entity_start": 219, "entity_end": 219, "property_value_start": 221, "property_value_end": 222, "property_numeric_value": 63.9,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</si>
  <si>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10.1021/ma201128x</t>
  </si>
  <si>
    <t xml:space="preserve">['PBTHDDT']</t>
  </si>
  <si>
    <t xml:space="preserve">{"power conversion efficiency": {"entity_name": "power conversion efficiency", "entity_start": 188, "entity_end": 190, "property_value_start": 194, "property_value_end": 195, "property_numeric_value": 3.0, "property_unit": "%", "property_value_descriptor": ""}, "open circuit voltage": {}, "short circuit current": {}, "fill factor": {}, "highest occupied molecular orbital": {"entity_name": "HOMO energy level", "entity_start": 75, "entity_end": 77, "property_value_start": 86, "property_value_end": 87, "property_numeric_value": -5.71, "property_unit": "eV", "property_value_descriptor": ""}, "lowest unoccupied molecular orbital": {}, "bandgap": {"entity_name": "optical band gaps", "entity_start": 53, "entity_end": 55, "property_value_start": 57, "property_value_end": 60, "property_numeric_value": 2.005, "property_unit": "eV", "property_value_descriptor": "-"}, "hole mobility": {}, "electron mobility": {}, "external quantum efficiency": {}}</t>
  </si>
  <si>
    <t xml:space="preserve">PBTDTP</t>
  </si>
  <si>
    <t xml:space="preserve">[*]c8cc(CCCCCCCCCCCC)c(c7nc6cc5sc(c4sc(c1cc3c(s1)c2sc([*])cc2n3CC(CCCCCC)CCCCCCCC)cc4CCCCCCCCCCCC)nc5cc6s7)s8</t>
  </si>
  <si>
    <t xml:space="preserve">['PBTDTP']</t>
  </si>
  <si>
    <t xml:space="preserve">{"power conversion efficiency": {}, "open circuit voltage": {}, "short circuit current": {}, "fill factor": {}, "highest occupied molecular orbital": {}, "lowest unoccupied molecular orbital": {"entity_name": "LUMO energy levels", "entity_start": 64, "entity_end": 66, "property_value_start": 68, "property_value_end": 69, "property_numeric_value": -3.3, "property_unit": "eV", "property_value_descriptor": "~"}, "bandgap": {}, "hole mobility": {}, "electron mobility": {}, "external quantum efficiency": {}}</t>
  </si>
  <si>
    <t xml:space="preserve">10.1021/acs.macromol.8b02337</t>
  </si>
  <si>
    <t xml:space="preserve">Ra-(D_{1}-A-D_{2}-A)</t>
  </si>
  <si>
    <t xml:space="preserve">{[*]c7cc6c(c1ccc(SCC(CC)CCCC)s1)c4sc(c2sc([*])c3c(F)c(C(=O)OCC(CC)CCCC)sc23)cc4c(c5ccc(SCC(CC)CCCC)s5)c6s7,[*]c7cc6c(c1ccc(CC(CC)CCCC)s1)c4sc(c2sc([*])c3c(F)c(C(=O)OCC(CC)CCCC)sc23)cc4c(c5ccc(CC(CC)CCCC)s5)c6s7}</t>
  </si>
  <si>
    <t xml:space="preserve">P(NDI2HD-DTAN)</t>
  </si>
  <si>
    <t xml:space="preserve">[*]c6ccc(/C=C(C#N)/c5ccc(c1cc3c(=O)n(CC(CCCCCC)CCCCCCCC)c(=O)c4c([*])cc2c(=O)n(CC(CCCCCC)CCCCCCCC)c(=O)c1c2c34)s5)s6</t>
  </si>
  <si>
    <t xml:space="preserve">['P(NDI2HD-DTAN)']</t>
  </si>
  <si>
    <t xml:space="preserve">{"power conversion efficiency": {"entity_name": "PCE", "entity_start": 229, "entity_end": 229, "property_value_start": 259, "property_value_end": 260, "property_numeric_value": 4.93,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</si>
  <si>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D_{1}-A</t>
  </si>
  <si>
    <t xml:space="preserve">[*]c7cc6c(c1ccc(SCC(CC)CCCC)s1)c4sc(c2sc([*])c3c(F)c(C(=O)OCC(CC)CCCC)sc23)cc4c(c5ccc(SCC(CC)CCCC)s5)c6s7</t>
  </si>
  <si>
    <t xml:space="preserve">RR-(D_{1}-A-D_{2}-A)</t>
  </si>
  <si>
    <t xml:space="preserve">[*]c%14cc%13c(c1ccc(CC(CC)CCCC)s1)c%11sc(c9sc(c8cc7c(c2ccc(SCC(CC)CCCC)s2)c5sc(c3sc([*])c4c(F)c(C(=O)OCC(CC)CCCC)sc34)cc5c(c6ccc(SCC(CC)CCCC)s6)c7s8)c%10c(F)c(C(=O)OCC(CC)CCCC)sc9%10)cc%11c(c%12ccc(CC(CC)CCCC)s%12)c%13s%14</t>
  </si>
  <si>
    <t xml:space="preserve">10.1021/ma801504e</t>
  </si>
  <si>
    <t xml:space="preserve">poly(perylene diimide acrylate)</t>
  </si>
  <si>
    <t xml:space="preserve">[*]N=Nc1ccc([*])cc1</t>
  </si>
  <si>
    <t xml:space="preserve">['poly(perylene diimide acrylate)', 'PPDA']</t>
  </si>
  <si>
    <t xml:space="preserve">PPDA</t>
  </si>
  <si>
    <t xml:space="preserve">{"power conversion efficiency": {"entity_name": "power conversion efficiency", "entity_start": 138, "entity_end": 140, "property_value_start": 142, "property_value_end": 143, "property_numeric_value": 0.49,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</si>
  <si>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10.1039/c3py00148b</t>
  </si>
  <si>
    <t xml:space="preserve">PCTTQx-m</t>
  </si>
  <si>
    <t xml:space="preserve">[*]c9ccc8c7ccc(c6ccc(c4ccc(c1ccc([*])s1)c5nc3sc(c2cccc(OC(CC)CCCC)c2)cc3nc45)s6)cc7n(C(CCCCCCCC)CCCCCCCC)c8c9</t>
  </si>
  <si>
    <t xml:space="preserve">['PCTTQx-m']</t>
  </si>
  <si>
    <t xml:space="preserve">{"power conversion efficiency": {"entity_name": "PCE", "entity_start": 190, "entity_end": 190, "property_value_start": 211, "property_value_end": 212, "property_numeric_value": 5.31, "property_unit": "%", "property_value_descriptor": ""}, "open circuit voltage": {"entity_name": "open circuit voltage", "entity_start": 146, "entity_end": 148, "property_value_start": 150, "property_value_end": 151, "property_numeric_value": 0.89, "property_unit": "V", "property_value_descriptor": ""}, "short circuit current": {"entity_name": "short circuit current", "entity_start": 154, "entity_end": 156, "property_value_start": 158, "property_value_end": 161, "property_numeric_value": 9.03, "property_unit": "mA cm^{-2}", "property_value_descriptor": ""}, "fill factor": {"entity_name": "fill factor", "entity_start": 164, "entity_end": 165, "property_value_start": 179, "property_value_end": 180, "property_numeric_value": 3.45, "property_unit": "%", "property_value_descriptor": ""}, "highest occupied molecular orbital": {"entity_name": "HOMO energy", "entity_start": 102, "entity_end": 103, "property_value_start": 106, "property_value_end": 107, "property_numeric_value": -5.3, "property_unit": "eV", "property_value_descriptor": "~"}, "lowest unoccupied molecular orbital": {}, "bandgap": {"entity_name": "bandgaps", "entity_start": 93, "entity_end": 93, "property_value_start": 95, "property_value_end": 96, "property_numeric_value": 1.8, "property_unit": "eV", "property_value_descriptor": "~"}, "hole mobility": {}, "electron mobility": {}, "external quantum efficiency": {}}</t>
  </si>
  <si>
    <t xml:space="preserve">PCTTQx-p</t>
  </si>
  <si>
    <t xml:space="preserve">[*]c9ccc8c7ccc(c6ccc(c4ccc(c1ccc([*])s1)c5nc3sc(c2ccc(OC(CC)CCCC)cc2)cc3nc45)s6)cc7n(C(CCCCCCCC)CCCCCCCC)c8c9</t>
  </si>
  <si>
    <t xml:space="preserve">['PCTTQx-p']</t>
  </si>
  <si>
    <t xml:space="preserve">10.1039/c3py00121k</t>
  </si>
  <si>
    <t xml:space="preserve">PIDTT-TzTz</t>
  </si>
  <si>
    <t xml:space="preserve">[*]c%15ccc(c%14nc%13sc(c%12ccc(c6cc5sc4c1cc9c(cc1C(c2ccc(CCCCCC)cc2)(c3ccc(CCCCCC)cc3)c4c5s6)c8sc7cc([*])sc7c8C9(c%10ccc(CCCCCC)cc%10)c%11ccc(CCCCCC)cc%11)s%12)nc%13s%14)s%15</t>
  </si>
  <si>
    <t xml:space="preserve">['PIDTT-TzTz', "poly{(indacenodithieno[3,2-b]thiophene)-alt-[2,5-bis(thiophen-2-yl)thiazolo[5,4-d]thiazole-5,5'-diyl]}"]</t>
  </si>
  <si>
    <t xml:space="preserve">{"power conversion efficiency": {"entity_name": "PCEs", "entity_start": 84, "entity_end": 84, "property_value_start": 91, "property_value_end": 92, "property_numeric_value": 5.9, "property_unit": "%", "property_value_descriptor": ""}, "open circuit voltage": {}, "short circuit current": {}, "fill factor": {}, "highest occupied molecular orbital": {}, "lowest unoccupied molecular orbital": {}, "bandgap": {}, "hole mobility": {"entity_name": "hole-mobilities", "entity_start": 48, "entity_end": 50, "property_value_start": 53, "property_value_end": 59, "property_numeric_value": 0.0001, "property_unit": "cm^{2} V^{-1} s^{-1}", "property_value_descriptor": "~"}, "electron mobility": {}, "external quantum efficiency": {}}</t>
  </si>
  <si>
    <t xml:space="preserve">10.1039/c3py00235g</t>
  </si>
  <si>
    <t xml:space="preserve">PBDTT-TTFQ</t>
  </si>
  <si>
    <t xml:space="preserve">[*]c%11ccc(c9c(F)c(F)c(c6ccc(c5cc4c(c1ccc(CC(CC)CCCC)s1)c2sc([*])cc2c(c3ccc(CC(CC)CCCC)s3)c4s5)s6)c%10nc(c7ccc(CCCCCC)s7)c(c8ccc(CCCCCC)s8)nc9%10)s%11</t>
  </si>
  <si>
    <t xml:space="preserve">['PBDTT-TTFQ']</t>
  </si>
  <si>
    <t xml:space="preserve">{"power conversion efficiency": {"entity_name": "power conversion efficiency", "entity_start": 185, "entity_end": 187, "property_value_start": 189, "property_value_end": 190, "property_numeric_value": 6.1, "property_unit": "%", "property_value_descriptor": ""}, "open circuit voltage": {"entity_name": "open circuit voltage", "entity_start": 157, "entity_end": 159, "property_value_start": 161, "property_value_end": 162, "property_numeric_value": 0.75, "property_unit": "V", "property_value_descriptor": ""}, "short circuit current": {"entity_name": "short circuit current density", "entity_start": 165, "entity_end": 168, "property_value_start": 170, "property_value_end": 173, "property_numeric_value": 14.6, "property_unit": "mA cm^{-2}", "property_value_descriptor": ""}, "fill factor": {"entity_name": "fill factor", "entity_start": 177, "entity_end": 178, "property_value_start": 180, "property_value_end": 181, "property_numeric_value": 56.1, "property_unit": "%", "property_value_descriptor": ""}, "highest occupied molecular orbital": {"entity_name": "HOMO level", "entity_start": 94, "entity_end": 95, "property_value_start": 97, "property_value_end": 98, "property_numeric_value": -5.34, "property_unit": "eV", "property_value_descriptor": ""}, "lowest unoccupied molecular orbital": {}, "bandgap": {"entity_name": "optical bandgap", "entity_start": 82, "entity_end": 83, "property_value_start": 85, "property_value_end": 86, "property_numeric_value": 1.67, "property_unit": "eV", "property_value_descriptor": ""}, "hole mobility": {}, "electron mobility": {}, "external quantum efficiency": {}}</t>
  </si>
  <si>
    <t xml:space="preserve">10.1039/c3py00119a</t>
  </si>
  <si>
    <t xml:space="preserve">PCeIe</t>
  </si>
  <si>
    <t xml:space="preserve">[*]c7ccc6c(=c4c(=O)n(CC(CC)CCCC)c5cc(c1cc3c(s1)c2sc([*])cc2C3(CC(CC)CCCC)CC(CC)CCCC)ccc45)c(=O)n(CC(CC)CCCC)c6c7</t>
  </si>
  <si>
    <t xml:space="preserve">['PCeIe']</t>
  </si>
  <si>
    <t xml:space="preserve">{"power conversion efficiency": {"entity_name": "power conversion efficiency", "entity_start": 274, "entity_end": 276, "property_value_start": 278, "property_value_end": 279, "property_numeric_value": 4.0, "property_unit": "%", "property_value_descriptor": ""}, "open circuit voltage": {}, "short circuit current": {"entity_name": "J_{sc}", "entity_start": 260, "entity_end": 261, "property_value_start": 263, "property_value_end": 266, "property_numeric_value": 11.6,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</si>
  <si>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10.1039/c3py00614j</t>
  </si>
  <si>
    <t xml:space="preserve">PT-Tz-DTffBT</t>
  </si>
  <si>
    <t xml:space="preserve">[*]c8cc7c(OCC(CC)CCCC)c6sc(c5nc(/C=C/c4sc(c2c(F)c(F)c(c1cc(CCCCCC)cs1)c3nsnc23)cc4CCCCCC)c([*])s5)cc6c(OCC(CC)CCCC)c7s8</t>
  </si>
  <si>
    <t xml:space="preserve">['PT-Tz-DTffBT']</t>
  </si>
  <si>
    <t xml:space="preserve">{"power conversion efficiency": {"entity_name": "PCE", "entity_start": 167, "entity_end": 167, "property_value_start": 172, "property_value_end": 173, "property_numeric_value": 4.42, "property_unit": "%", "property_value_descriptor": ""}, "open circuit voltage": {}, "short circuit current": {}, "fill factor": {}, "highest occupied molecular orbital": {"entity_name": "HOMO energy levels", "entity_start": 73, "entity_end": 75, "property_value_start": 86, "property_value_end": 87, "property_numeric_value": -5.59, "property_unit": "eV", "property_value_descriptor": ""}, "lowest unoccupied molecular orbital": {}, "bandgap": {}, "hole mobility": {}, "electron mobility": {}, "external quantum efficiency": {}}</t>
  </si>
  <si>
    <t xml:space="preserve">PT-Tz-DTBT</t>
  </si>
  <si>
    <t xml:space="preserve">[*]c8cc7c(OCC(CC)CCCC)c6sc(c5nc(/C=C/c4sc(c2ccc(c1cc(CCCCCC)cs1)c3nsnc23)cc4CCCCCC)c([*])s5)cc6c(OCC(CC)CCCC)c7s8</t>
  </si>
  <si>
    <t xml:space="preserve">['PT-Tz-DTBT']</t>
  </si>
  <si>
    <t xml:space="preserve">10.1039/c3py01529g</t>
  </si>
  <si>
    <t xml:space="preserve">P3TBDTDTBT</t>
  </si>
  <si>
    <t xml:space="preserve">[*]c%13ccc(c%11ccc(c%10ccc(c9cc8c(c3cc(c1ccc(CCCCCCCCCCCC)s1)c(c2ccc(CCCCCCCCCCCC)s2)s3)c4sc([*])cc4c(c7cc(c5ccc(CCCCCCCCCCCC)s5)c(c6ccc(CCCCCCCCCCCC)s6)s7)c8s9)s%10)c%12nsnc%11%12)s%13</t>
  </si>
  <si>
    <t xml:space="preserve">['P3TBDTDTBT']</t>
  </si>
  <si>
    <t xml:space="preserve">{"power conversion efficiency": {"entity_name": "PCE", "entity_start": 132, "entity_end": 132, "property_value_start": 135, "property_value_end": 136, "property_numeric_value": 3.57, "property_unit": "%", "property_value_descriptor": ""}, "open circuit voltage": {"entity_name": "V_{oc}", "entity_start": 144, "entity_end": 145, "property_value_start": 148, "property_value_end": 149, "property_numeric_value": 0.78, "property_unit": "V", "property_value_descriptor": ""}, "short circuit current": {"entity_name": "J_{sc}", "entity_start": 158, "entity_end": 159, "property_value_start": 162, "property_value_end": 165, "property_numeric_value": 8.83, "property_unit": "mA cm^{-2}", "property_value_descriptor": ""}, "fill factor": {"entity_name": "FF", "entity_start": 171, "entity_end": 171, "property_value_start": 174, "property_value_end": 175, "property_numeric_value": 53.0, "property_unit": "%", "property_value_descriptor": ""}, "highest occupied molecular orbital": {"entity_name": "HOMO) energy leve", "entity_start": 92, "entity_end": 95, "property_value_start": 97, "property_value_end": 98, "property_numeric_value": -5.26, "property_unit": "eV", "property_value_descriptor": ""}, "lowest unoccupied molecular orbital": {}, "bandgap": {"entity_name": "band-gap", "entity_start": 66, "entity_end": 68, "property_value_start": 70, "property_value_end": 71, "property_numeric_value": 1.67, "property_unit": "eV", "property_value_descriptor": ""}, "hole mobility": {}, "electron mobility": {}, "external quantum efficiency": {}}</t>
  </si>
  <si>
    <t xml:space="preserve">10.1039/c3py01458d</t>
  </si>
  <si>
    <t xml:space="preserve">PNDFT-DTBT</t>
  </si>
  <si>
    <t xml:space="preserve">[*]c%10cc9cc(c1cc(CCCCCCCCCC)c(CCCCCCCCCC)s1)c8c6oc(c5sc(c3ccc(c2cc(CCCCCC)c([*])s2)c4nsnc34)cc5CCCCCC)cc6cc(c7cc(CCCCCCCCCC)c(CCCCCCCCCC)s7)c8c9o%10</t>
  </si>
  <si>
    <t xml:space="preserve">['PNDFT-DTBT']</t>
  </si>
  <si>
    <t xml:space="preserve">{"power conversion efficiency": {"entity_name": "PCE", "entity_start": 189, "entity_end": 189, "property_value_start": 192, "property_value_end": 193, "property_numeric_value": 5.22, "property_unit": "%", "property_value_descriptor": ""}, "open circuit voltage": {"entity_name": "V_{oc}", "entity_start": 151, "entity_end": 153, "property_value_start": 155, "property_value_end": 156, "property_numeric_value": 0.89, "property_unit": "V", "property_value_descriptor": ""}, "short circuit current": {"entity_name": "J_{sc}", "entity_start": 174, "entity_end": 175, "property_value_start": 178, "property_value_end": 181, "property_numeric_value": 8.21, "property_unit": "mA cm^{-2}", "property_value_descriptor": ""}, "fill factor": {"entity_name": "FF", "entity_start": 162, "entity_end": 162, "property_value_start": 165, "property_value_end": 165, "property_numeric_value": 72.0,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</si>
  <si>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10.1039/c3py01664a</t>
  </si>
  <si>
    <t xml:space="preserve">P5</t>
  </si>
  <si>
    <t xml:space="preserve">{[*]c9ccc(c8c7c(=O)n(CC(CC)CCCC)c(c6ccc(c5cc4c(c1ccc(CC(CC)CCCC)s1)c2sc([*])cc2c(c3ccc(CC(CC)CCCC)s3)c4s5)s6)c7c(=O)n8CC(CC)CCCC)s9,[*]c%11cc%10c(c1ccc(CC(CC)CCCC)s1)c8sc(c7cc(/C=C/c6ccc(c5ccc4c(=c2c(=O)n(CC(CC)CCCC)c3ccccc23)c(=O)n(CC(CC)CCCC)c4c5)s6)c([*])s7)cc8c(c9ccc(CC(CC)CCCC)s9)c%10s%11}</t>
  </si>
  <si>
    <t xml:space="preserve">['P5']</t>
  </si>
  <si>
    <t xml:space="preserve">{"power conversion efficiency": {"entity_name": "PCE", "entity_start": 200, "entity_end": 200, "property_value_start": 203, "property_value_end": 204, "property_numeric_value": 5.62, "property_unit": "%", "property_value_descriptor": ""}, "open circuit voltage": {}, "short circuit current": {"entity_name": "J_{sc}", "entity_start": 226, "entity_end": 227, "property_value_start": 230, "property_value_end": 233, "property_numeric_value": 15.0,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</si>
  <si>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10.1039/c4py00004h</t>
  </si>
  <si>
    <t xml:space="preserve">[*]c8ccc7c(=c5c(=O)n(CCCCCCCCCCCC)c6cc(c4sc(c2ccc(c1cc(CCCCCCCC)c([*])s1)c3nsnc23)cc4CCCCCCCC)ccc56)c(=O)n(CCCCCCCCCCCC)c7c8</t>
  </si>
  <si>
    <t xml:space="preserve">{"power conversion efficiency": {"entity_name": "PCE", "entity_start": 135, "entity_end": 135, "property_value_start": 138, "property_value_end": 139, "property_numeric_value": 3.41, "property_unit": "%", "property_value_descriptor": ""}, "open circuit voltage": {"entity_name": "V_{oc}", "entity_start": 163, "entity_end": 164, "property_value_start": 167, "property_value_end": 168, "property_numeric_value": 0.85, "property_unit": "V", "property_value_descriptor": ""}, "short circuit current": {"entity_name": "J_{sc}", "entity_start": 148, "entity_end": 149, "property_value_start": 152, "property_value_end": 155, "property_numeric_value": 7.57, "property_unit": "mA cm^{-2}", "property_value_descriptor": ""}, "fill factor": {"entity_name": "FF", "entity_start": 175, "entity_end": 175, "property_value_start": 178, "property_value_end": 179, "property_numeric_value": 53.0,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</si>
  <si>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[*]c8ccc7c(=c5c(=O)n(CCCCCCCCCCCC)c6cc(c4ccc(c2c(OCCCCCCCC)c(OCCCCCCCC)c(c1ccc([*])s1)c3nsnc23)s4)ccc56)c(=O)n(CCCCCCCCCCCC)c7c8</t>
  </si>
  <si>
    <t xml:space="preserve">[*]c8ccc7c(=c5c(=O)n(CCCCCCCCCCCC)c6cc(c4sc(c2c(F)c(F)c(c1cc(CCCCCCCC)c([*])s1)c3nsnc23)cc4CCCCCCCC)ccc56)c(=O)n(CCCCCCCCCCCC)c7c8</t>
  </si>
  <si>
    <t xml:space="preserve">10.1039/c4py00777h</t>
  </si>
  <si>
    <t xml:space="preserve">P(FBT-alt-Se_{2}Th_{2})</t>
  </si>
  <si>
    <t xml:space="preserve">[*]c6ccc(c5sc(c4cc(CC(CCCCCCCC)CCCCCCCCCC)c(c3ccc(c1c(F)c(F)c([*])c2nsnc12)[se]3)s4)cc5CC(CCCCCCCC)CCCCCCCCCC)[se]6</t>
  </si>
  <si>
    <t xml:space="preserve">['P(FBT-alt-Se_{2}Th_{2})']</t>
  </si>
  <si>
    <t xml:space="preserve">{"power conversion efficiency": {"entity_name": "PCE", "entity_start": 258, "entity_end": 258, "property_value_start": 260, "property_value_end": 261, "property_numeric_value": 7.34, "property_unit": "%", "property_value_descriptor": ""}, "open circuit voltage": {}, "short circuit current": {"entity_name": "J_{sc}", "entity_start": 271, "entity_end": 272, "property_value_start": 274, "property_value_end": 277, "property_numeric_value": 15.8, "property_unit": "mA cm^{-2}", "property_value_descriptor": ""}, "fill factor": {"entity_name": "FF", "entity_start": 281, "entity_end": 281, "property_value_start": 283, "property_value_end": 284, "property_numeric_value": 66.4, "property_unit": "%", "property_value_descriptor": ""}, "highest occupied molecular orbital": {}, "lowest unoccupied molecular orbital": {}, "bandgap": {}, "hole mobility": {"entity_name": "\u03bc_{h}", "entity_start": 154, "entity_end": 156, "property_value_start": 158, "property_value_end": 164, "property_numeric_value": 0.36, "property_unit": "cm^{2} V^{-1} s^{-1}", "property_value_descriptor": ""}, "electron mobility": {}, "external quantum efficiency": {}}</t>
  </si>
  <si>
    <t xml:space="preserve">10.1039/c4py00975d</t>
  </si>
  <si>
    <t xml:space="preserve">='PPDTP-DT2BT'</t>
  </si>
  <si>
    <t xml:space="preserve">[*]c9ccc(c8ccc(c6ccc(c5ccc(c4ccc(c1cc3c(s1)c2sc([*])cc2n3C(CC(CC)CCCC)CC(CC)CCCC)s4)s5)c7nsnc67)s8)s9</t>
  </si>
  <si>
    <t xml:space="preserve">['PPDTP-DT2BT']</t>
  </si>
  <si>
    <t xml:space="preserve">{"power conversion efficiency": {"entity_name": "PCE", "entity_start": 123, "entity_end": 123, "property_value_start": 138, "property_value_end": 139, "property_numeric_value": 3.12, "property_unit": "%", "property_value_descriptor": ""}, "open circuit voltage": {}, "short circuit current": {}, "fill factor": {}, "highest occupied molecular orbital": {}, "lowest unoccupied molecular orbital": {}, "bandgap": {"entity_name": "optical band gaps", "entity_start": 68, "entity_end": 70, "property_value_start": 81, "property_value_end": 82, "property_numeric_value": 1.61, "property_unit": "eV", "property_value_descriptor": ""}, "hole mobility": {}, "electron mobility": {}, "external quantum efficiency": {}}</t>
  </si>
  <si>
    <t xml:space="preserve">10.1039/c4py01519c</t>
  </si>
  <si>
    <t xml:space="preserve">PBDSe-DTBT</t>
  </si>
  <si>
    <t xml:space="preserve">[*]c7cc6c(OCC(CC)CCCC)c(OCC(CC)CCCC)c5cc(c4sc(c2ccc(c1cc(CC(CC)CCCC)c([*])s1)c3nsnc23)cc4CC(CC)CCCC)[se]c5c6[se]7</t>
  </si>
  <si>
    <t xml:space="preserve">['PBDSe-DTBT']</t>
  </si>
  <si>
    <t xml:space="preserve">{"power conversion efficiency": {"entity_name": "PCE", "entity_start": 116, "entity_end": 116, "property_value_start": 119, "property_value_end": 120, "property_numeric_value": 5.6, "property_unit": "%", "property_value_descriptor": ""}, "open circuit voltage": {"entity_name": "V_{oc}", "entity_start": 128, "entity_end": 129, "property_value_start": 132, "property_value_end": 133, "property_numeric_value": 0.8, "property_unit": "V", "property_value_descriptor": ""}, "short circuit current": {"entity_name": "J_{sc}", "entity_start": 140, "entity_end": 141, "property_value_start": 144, "property_value_end": 147, "property_numeric_value": 12.3, "property_unit": "mA cm^{-2}", "property_value_descriptor": ""}, "fill factor": {"entity_name": "FF", "entity_start": 153, "entity_end": 153, "property_value_start": 156, "property_value_end": 156, "property_numeric_value": 56.99999999999999, "property_unit": "%", "property_value_descriptor": ""}, "highest occupied molecular orbital": {"entity_name": "HOMO level", "entity_start": 64, "entity_end": 65, "property_value_start": 67, "property_value_end": 68, "property_numeric_value": -5.4, "property_unit": "eV", "property_value_descriptor": ""}, "lowest unoccupied molecular orbital": {}, "bandgap": {"entity_name": "optical band gap", "entity_start": 55, "entity_end": 57, "property_value_start": 59, "property_value_end": 60, "property_numeric_value": 1.71, "property_unit": "eV", "property_value_descriptor": ""}, "hole mobility": {}, "electron mobility": {}, "external quantum efficiency": {}}</t>
  </si>
  <si>
    <t xml:space="preserve">10.1039/c5py00103j</t>
  </si>
  <si>
    <t xml:space="preserve">PQTE</t>
  </si>
  <si>
    <t xml:space="preserve">[*]c1ccc3c(c1)c(=O)c2cc7c(cc2n3CC(CCCCCCCCCC)CCCCCCCCCCCC)c(=O)c6cc(c5ccc(/C=C\c4ccc([*])s4)s5)ccc6n7CC(CCCCCCCCCC)CCCCCCCCCCCC</t>
  </si>
  <si>
    <t xml:space="preserve">['PQTE']</t>
  </si>
  <si>
    <t xml:space="preserve">{"power conversion efficiency": {"entity_name": "power conversion efficiency", "entity_start": 125, "entity_end": 127, "property_value_start": 129, "property_value_end": 130, "property_numeric_value": 3.9,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</si>
  <si>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10.1039/c5py00201j</t>
  </si>
  <si>
    <t xml:space="preserve">PBDT-O-ADA</t>
  </si>
  <si>
    <t xml:space="preserve">[*]c%10cc9c(OCC(CCCCCC)CCCCCCCC)c8sc(c6ccc(c1cc5c(s1)c4sc(c2ccc([*])c3nsnc23)cc4[Si]5(CCCCCCCC)CCCCCCCC)c7nsnc67)cc8c(OCC(CCCCCC)CCCCCCCC)c9s%10</t>
  </si>
  <si>
    <t xml:space="preserve">['PBDT-O-ADA']</t>
  </si>
  <si>
    <t xml:space="preserve">{"power conversion efficiency": {"entity_name": "power conversion efficiency", "entity_start": 158, "entity_end": 160, "property_value_start": 162, "property_value_end": 163, "property_numeric_value": 4.11,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</si>
  <si>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10.1039/c5py01761k</t>
  </si>
  <si>
    <t xml:space="preserve">PBDTTTP</t>
  </si>
  <si>
    <t xml:space="preserve">[*]c%10cc9sc8c7cc6c(=O)n(CC(CCCCCCCC)CCCCCCCCCC)c5c4sc(c3cc2c(OCC(CC)CCCC)c1sc([*])cc1c(OCC(CC)CCCC)c2s3)cc4sc5c6cc7c(=O)n(CC(CCCCCCCC)CCCCCCCCCC)c8c9s%10</t>
  </si>
  <si>
    <t xml:space="preserve">['PBDTTTP']</t>
  </si>
  <si>
    <t xml:space="preserve">{"power conversion efficiency": {"entity_name": "PCE", "entity_start": 68, "entity_end": 68, "property_value_start": 70, "property_value_end": 71, "property_numeric_value": 5.53, "property_unit": "%", "property_value_descriptor": ""}, "open circuit voltage": {"entity_name": "V_{oc}", "entity_start": 76, "entity_end": 77, "property_value_start": 79, "property_value_end": 80, "property_numeric_value": 1.0, "property_unit": "V", "property_value_descriptor": ""}, "short circuit current": {}, "fill factor": {}, "highest occupied molecular orbital": {"entity_name": "HOMO level", "entity_start": 51, "entity_end": 52, "property_value_start": 54, "property_value_end": 55, "property_numeric_value": -5.43, "property_unit": "eV", "property_value_descriptor": ""}, "lowest unoccupied molecular orbital": {}, "bandgap": {"entity_name": "optical bandgap", "entity_start": 43, "entity_end": 44, "property_value_start": 46, "property_value_end": 47, "property_numeric_value": 2.11, "property_unit": "eV", "property_value_descriptor": ""}, "hole mobility": {}, "electron mobility": {}, "external quantum efficiency": {}}</t>
  </si>
  <si>
    <t xml:space="preserve">10.1039/c5py01632k</t>
  </si>
  <si>
    <t xml:space="preserve">PBDTTs-fBT</t>
  </si>
  <si>
    <t xml:space="preserve">[*]c9ccc(c7c(F)cc(c6ccc(c5cc4c(c1cc(SCCCCCCCC)c(SCCCCCCCC)s1)c2sc([*])cc2c(c3cc(SCCCCCCCC)c(SCCCCCCCC)s3)c4s5)s6)c8nsnc78)s9</t>
  </si>
  <si>
    <t xml:space="preserve">['PBDTTs-fBT']</t>
  </si>
  <si>
    <t xml:space="preserve">['(6,6)-phenyl C_{71}-butyric acid methyl ester', 'PC_{71}BM']</t>
  </si>
  <si>
    <t xml:space="preserve">{"power conversion efficiency": {"entity_name": "power conversion efficiency", "entity_start": 69, "entity_end": 71, "property_value_start": 73, "property_value_end": 74, "property_numeric_value": 6.27,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</si>
  <si>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10.1039/c1py00192b</t>
  </si>
  <si>
    <t xml:space="preserve">POTBTV</t>
  </si>
  <si>
    <t xml:space="preserve">[*]/C=C/c4ccc(c2c(OCCCCCCCC)c(OCCCCCCCC)c(C1=CC=C([*])C1)c3nsnc23)s4</t>
  </si>
  <si>
    <t xml:space="preserve">['POTBTV']</t>
  </si>
  <si>
    <t xml:space="preserve">{"power conversion efficiency": {"entity_name": "PCE", "entity_start": 91, "entity_end": 91, "property_value_start": 107, "property_value_end": 108, "property_numeric_value": 1.53, "property_unit": "%", "property_value_descriptor": ""}, "open circuit voltage": {"entity_name": "open circuit voltage", "entity_start": 122, "entity_end": 124, "property_value_start": 126, "property_value_end": 126, "property_numeric_value": 0.6, "property_unit": "V", "property_value_descriptor": ""}, "short circuit current": {"entity_name": "short circuit current density", "entity_start": 111, "entity_end": 114, "property_value_start": 116, "property_value_end": 119, "property_numeric_value": 6.83, "property_unit": "mA cm^{-2}", "property_value_descriptor": ""}, "fill factor": {"entity_name": "fill factor", "entity_start": 129, "entity_end": 130, "property_value_start": 132, "property_value_end": 132, "property_numeric_value": 37.4, "property_unit": "%", "property_value_descriptor": ""}, "highest occupied molecular orbital": {"entity_name": "HOMO", "entity_start": 70, "entity_end": 70, "property_value_start": 78, "property_value_end": 79, "property_numeric_value": -4.97, "property_unit": "eV", "property_value_descriptor": ""}, "lowest unoccupied molecular orbital": {"entity_name": "LUMO energy levels", "entity_start": 72, "entity_end": 74, "property_value_start": 81, "property_value_end": 82, "property_numeric_value": -2.99, "property_unit": "eV", "property_value_descriptor": ""}, "bandgap": {"entity_name": "band gap", "entity_start": 63, "entity_end": 64, "property_value_start": 66, "property_value_end": 67, "property_numeric_value": 1.65, "property_unit": "eV", "property_value_descriptor": ""}, "hole mobility": {}, "electron mobility": {}, "external quantum efficiency": {}}</t>
  </si>
  <si>
    <t xml:space="preserve">10.1039/c1py00376c</t>
  </si>
  <si>
    <t xml:space="preserve">PBDTNTDO-1</t>
  </si>
  <si>
    <t xml:space="preserve">[*]c6cc5c(OCC(CC)CCCC)c4sc(c2sc([*])c3c(=O)c1ccc(CCCCCC)cc1c(=O)c23)cc4c(OCC(CC)CCCC)c5s6</t>
  </si>
  <si>
    <t xml:space="preserve">['PBDTNTDO-1']</t>
  </si>
  <si>
    <t xml:space="preserve">{"power conversion efficiency": {}, "open circuit voltage": {"entity_name": "open circuit voltage", "entity_start": 109, "entity_end": 111, "property_value_start": 113, "property_value_end": 114, "property_numeric_value": 0.88, "property_unit": "V", "property_value_descriptor": ""}, "short circuit current": {}, "fill factor": {}, "highest occupied molecular orbital": {"entity_name": "HOMO energy", "entity_start": 75, "entity_end": 76, "property_value_start": 79, "property_value_end": 80, "property_numeric_value": -5.14, "property_unit": "eV", "property_value_descriptor": ""}, "lowest unoccupied molecular orbital": {}, "bandgap": {}, "hole mobility": {}, "electron mobility": {}, "external quantum efficiency": {}}</t>
  </si>
  <si>
    <t xml:space="preserve">PBDTNTDO-2</t>
  </si>
  <si>
    <t xml:space="preserve">[*]c6cc5c(OCC(CC)CCCC)c4sc(c2sc([*])c3c(=O)c1ccc(C(C)(C)C)cc1c(=O)c23)cc4c(OCC(CC)CCCC)c5s6</t>
  </si>
  <si>
    <t xml:space="preserve">['PBDTNTDO-2']</t>
  </si>
  <si>
    <t xml:space="preserve">{"power conversion efficiency": {"entity_name": "power conversion efficiency", "entity_start": 101, "entity_end": 103, "property_value_start": 105, "property_value_end": 106, "property_numeric_value": 1.52, "property_unit": "%", "property_value_descriptor": ""}, "open circuit voltage": {}, "short circuit current": {"entity_name": "short circuit current", "entity_start": 117, "entity_end": 119, "property_value_start": 121, "property_value_end": 124, "property_numeric_value": 5.67, "property_unit": "mA cm^{-2}", "property_value_descriptor": ""}, "fill factor": {}, "highest occupied molecular orbital": {"entity_name": "HOMO energy", "entity_start": 75, "entity_end": 76, "property_value_start": 84, "property_value_end": 85, "property_numeric_value": -5.19, "property_unit": "eV", "property_value_descriptor": ""}, "lowest unoccupied molecular orbital": {}, "bandgap": {}, "hole mobility": {}, "electron mobility": {}, "external quantum efficiency": {}}</t>
  </si>
  <si>
    <t xml:space="preserve">10.1039/c2py20460f</t>
  </si>
  <si>
    <t xml:space="preserve">PQTTST</t>
  </si>
  <si>
    <t xml:space="preserve">[*]c9ccc(C8=C(c1ccccc1)C(c2ccccc2)=C(c7ccc(c6cc(CCCCCCCCCCCC)c(c5ccc(c4ccc(c3sc([*])cc3CCCCCCCCCCCC)s4)s5)s6)s7)[Si]8(C)C)s9</t>
  </si>
  <si>
    <t xml:space="preserve">['PQTTST']</t>
  </si>
  <si>
    <t xml:space="preserve">PC60BM</t>
  </si>
  <si>
    <t xml:space="preserve">['PC60BM']</t>
  </si>
  <si>
    <t xml:space="preserve">{"power conversion efficiency": {"entity_name": "PCE", "entity_start": 161, "entity_end": 161, "property_value_start": 164, "property_value_end": 165, "property_numeric_value": 1.49, "property_unit": "%", "property_value_descriptor": ""}, "open circuit voltage": {"entity_name": "V_{oc}", "entity_start": 186, "entity_end": 187, "property_value_start": 190, "property_value_end": 191, "property_numeric_value": 0.72, "property_unit": "V", "property_value_descriptor": ""}, "short circuit current": {"entity_name": "J_{sc}", "entity_start": 172, "entity_end": 173, "property_value_start": 176, "property_value_end": 179, "property_numeric_value": 4.77, "property_unit": "mA cm^{-2}", "property_value_descriptor": ""}, "fill factor": {}, "highest occupied molecular orbital": {}, "lowest unoccupied molecular orbital": {"entity_name": "LUMO", "entity_start": 112, "entity_end": 112, "property_value_start": 116, "property_value_end": 117, "property_numeric_value": -3.59, "property_unit": "eV", "property_value_descriptor": ""}, "bandgap": {}, "hole mobility": {}, "electron mobility": {}, "external quantum efficiency": {}}</t>
  </si>
  <si>
    <t xml:space="preserve">10.1039/c2py20982a</t>
  </si>
  <si>
    <t xml:space="preserve">PDTS-DTFBTA</t>
  </si>
  <si>
    <t xml:space="preserve">[*]c7ccc(c5c(F)c(F)c(c4ccc(c1cc3c(s1)c2sc([*])cc2[Si]3(CC(CC)CCCC)CC(CC)CCCC)s4)c6nn(CCCCCCCC)nc56)s7</t>
  </si>
  <si>
    <t xml:space="preserve">['PDTS-DTFBTA']</t>
  </si>
  <si>
    <t xml:space="preserve">{"power conversion efficiency": {"entity_name": "PCE", "entity_start": 130, "entity_end": 130, "property_value_start": 134, "property_value_end": 135, "property_numeric_value": 4.99, "property_unit": "%", "property_value_descriptor": ""}, "open circuit voltage": {"entity_name": "V_{oc}", "entity_start": 139, "entity_end": 140, "property_value_start": 142, "property_value_end": 143, "property_numeric_value": 0.85,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</si>
  <si>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0.64 V</t>
  </si>
  <si>
    <t xml:space="preserve">10.1039/c7py01521f</t>
  </si>
  <si>
    <t xml:space="preserve">["poly[4,8-bis(2-ethylhexyloxyl)benzo[1,2-b:4,5-b']dithiophene-2,6-diyl-alt-ethylhexyl-3-fluorothieno[3,4-b]thiophene-2-carboxylate-4,6-diyl]", 'PTB7']</t>
  </si>
  <si>
    <t xml:space="preserve">{"power conversion efficiency": {"entity_name": "PCE", "entity_start": 223, "entity_end": 223, "property_value_start": 233, "property_value_end": 234, "property_numeric_value": 4.25,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</si>
  <si>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174, "entity_end": 174, "property_value_start": 185, "property_value_end": 186, "property_numeric_value": 5.5,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</si>
  <si>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10.1039/c0py00022a</t>
  </si>
  <si>
    <t xml:space="preserve">DPAV-PT</t>
  </si>
  <si>
    <t xml:space="preserve">[*]c4ccc(c1sc([*])cc1/C=C/c3ccc(N(CCCCCCCC)c2ccccc2)cc3)s4</t>
  </si>
  <si>
    <t xml:space="preserve">['DPAV-PT']</t>
  </si>
  <si>
    <t xml:space="preserve">{"power conversion efficiency": {"entity_name": "power conversion efficiency", "entity_start": 160, "entity_end": 162, "property_value_start": 164, "property_value_end": 165, "property_numeric_value": 0.7, "property_unit": "%", "property_value_descriptor": ""}, "open circuit voltage": {}, "short circuit current": {}, "fill factor": {}, "highest occupied molecular orbital": {"entity_name": "HOMO energy level", "entity_start": 98, "entity_end": 100, "property_value_start": 102, "property_value_end": 103, "property_numeric_value": -5.01, "property_unit": "eV", "property_value_descriptor": ""}, "lowest unoccupied molecular orbital": {}, "bandgap": {"entity_name": "optical bandgap", "entity_start": 87, "entity_end": 88, "property_value_start": 90, "property_value_end": 91, "property_numeric_value": 1.85, "property_unit": "eV", "property_value_descriptor": ""}, "hole mobility": {"entity_name": "hole mobility", "entity_start": 178, "entity_end": 179, "property_value_start": 184, "property_value_end": 193, "property_numeric_value": 0.00061, "property_unit": "cm^{2} V^{-1} s^{-1}", "property_value_descriptor": ""}, "electron mobility": {}, "external quantum efficiency": {}}</t>
  </si>
  <si>
    <t xml:space="preserve">10.1039/c0py00152j</t>
  </si>
  <si>
    <t xml:space="preserve">APFO-Green15</t>
  </si>
  <si>
    <t xml:space="preserve">[*]c9ccc8c7ccc(c6ccc(c4sc(c1ccc([*])s1)c5nc(c2cccc(OCCCCCCCC)c2)c(c3cccc(OCCCCCCCC)c3)nc45)s6)cc7C(CCCCCCCC)(CCCCCCCC)c8c9</t>
  </si>
  <si>
    <t xml:space="preserve">['APFO-Green15']</t>
  </si>
  <si>
    <t xml:space="preserve">{"power conversion efficiency": {"entity_name": "PCE", "entity_start": 176, "entity_end": 176, "property_value_start": 178, "property_value_end": 179, "property_numeric_value": 1.7, "property_unit": "%", "property_value_descriptor": ""}, "open circuit voltage": {"entity_name": "V_{oc}", "entity_start": 162, "entity_end": 163, "property_value_start": 165, "property_value_end": 166, "property_numeric_value": 0.73, "property_unit": "V", "property_value_descriptor": ""}, "short circuit current": {"entity_name": "J_{sc}", "entity_start": 153, "entity_end": 154, "property_value_start": 156, "property_value_end": 159, "property_numeric_value": 4.2, "property_unit": "mA cm^{-2}", "property_value_descriptor": ""}, "fill factor": {"entity_name": "FF", "entity_start": 170, "entity_end": 170, "property_value_start": 172, "property_value_end": 172, "property_numeric_value": 54.0,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</si>
  <si>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10.1039/c7py01089c</t>
  </si>
  <si>
    <t xml:space="preserve">P-OEG</t>
  </si>
  <si>
    <t xml:space="preserve">[*]c5ccc4c(=c2c(=O)n(CC(COCCOC)COCCOC)c3cc(c1ccc([*])s1)ccc23)c(=O)n(CC(COCCOC)COCCOC)c4c5</t>
  </si>
  <si>
    <t xml:space="preserve">['P-OEG']</t>
  </si>
  <si>
    <t xml:space="preserve">0.73 V</t>
  </si>
  <si>
    <t xml:space="preserve">{"power conversion efficiency": {}, "open circuit voltage": {}, "short circuit current": {"entity_name": "J_{SC}", "entity_start": 140, "entity_end": 141, "property_value_start": 144, "property_value_end": 147, "property_numeric_value": 13.92, "property_unit": "mA cm^{-2}", "property_value_descriptor": ""}, "fill factor": {"entity_name": "FF", "entity_start": 153, "entity_end": 153, "property_value_start": 156, "property_value_end": 156, "property_numeric_value": 50.0,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</si>
  <si>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10.1039/c7py01060e</t>
  </si>
  <si>
    <t xml:space="preserve">PBDT-DFQX-TTSEH</t>
  </si>
  <si>
    <t xml:space="preserve">[*]c%11ccc(c9c(F)c(F)c(c6ccc(c5cc4c(c1ccc(SCC(CC)CCCC)s1)c2sc([*])cc2c(c3ccc(SCC(CC)CCCC)s3)c4s5)s6)c%10nc(c7ccc(CC(CC)CCCC)s7)c(c8ccc(CC(CC)CCCC)s8)nc9%10)s%11</t>
  </si>
  <si>
    <t xml:space="preserve">['PBDT-DFQX-TTSEH']</t>
  </si>
  <si>
    <t xml:space="preserve">{"power conversion efficiency": {"entity_name": "PCE", "entity_start": 137, "entity_end": 137, "property_value_start": 156, "property_value_end": 157, "property_numeric_value": 7.02,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</si>
  <si>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PBDT-DFQX-TTSC8</t>
  </si>
  <si>
    <t xml:space="preserve">[*]c%11ccc(c9c(F)c(F)c(c6ccc(c5cc4c(c1ccc(SCCCCCCCC)s1)c2sc([*])cc2c(c3ccc(SCCCCCCCC)s3)c4s5)s6)c%10nc(c7ccc(CC(CC)CCCC)s7)c(c8ccc(CC(CC)CCCC)s8)nc9%10)s%11</t>
  </si>
  <si>
    <t xml:space="preserve">['PBDT-DFQX-TTSC8']</t>
  </si>
  <si>
    <t xml:space="preserve">10.1039/c7py00924k</t>
  </si>
  <si>
    <t xml:space="preserve">{"power conversion efficiency": {"entity_name": "power conversion efficiency", "entity_start": 75, "entity_end": 77, "property_value_start": 99, "property_value_end": 100, "property_numeric_value": 7.92,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</si>
  <si>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PTB7-ThPt1.5</t>
  </si>
  <si>
    <t xml:space="preserve">{[*]c7cc6c(c1ccc(CC(CC)CCCC)s1)c4sc(c2sc([*])c3c(F)c(C(=O)OCC(CC)CCCC)sc23)cc4c(c5ccc(CC(CC)CCCC)s5)c6s7,[*]c%11ccc(N(c6ccc(c5cc4c(c1ccc(CC(CC)CCCC)s1)c2sc([*])cc2c(c3ccc(CC(CC)CCCC)s3)c4s5)cc6)c%10ccc9c7cccc[n+]7[Pt]8(OC(C)=CC(C)=[O+]8)c9c%10)cc%11}</t>
  </si>
  <si>
    <t xml:space="preserve">['PTB7-ThPt1.5']</t>
  </si>
  <si>
    <t xml:space="preserve">10.1039/c7py00940b</t>
  </si>
  <si>
    <t xml:space="preserve">PBTTDPP-TT</t>
  </si>
  <si>
    <t xml:space="preserve">[*]c7ccc(c6c5c(=O)n(CC(CCCCCCCC)CCCCCCCCCC)c(c4cc3ccc(c2cc1sc([*])cc1s2)cc3s4)c5c(=O)n6CC(CCCCCCCC)CCCCCCCCCC)s7</t>
  </si>
  <si>
    <t xml:space="preserve">['PBTTDPP-TT']</t>
  </si>
  <si>
    <t xml:space="preserve">{"power conversion efficiency": {"entity_name": "PCE", "entity_start": 165, "entity_end": 165, "property_value_start": 168, "property_value_end": 169, "property_numeric_value": 6.96,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</si>
  <si>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200, "entity_end": 200, "property_value_start": 212, "property_value_end": 213, "property_numeric_value": 0.44,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</si>
  <si>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PBTTDPP-BT</t>
  </si>
  <si>
    <t xml:space="preserve">[*]c7ccc(c6ccc(c5ccc4cc(c3c2c(=O)n(CC(CCCCCCCC)CCCCCCCCCC)c(c1ccc([*])s1)c2c(=O)n3CC(CCCCCCCC)CCCCCCCCCC)sc4c5)s6)s7</t>
  </si>
  <si>
    <t xml:space="preserve">['PBTTDPP-BT']</t>
  </si>
  <si>
    <t xml:space="preserve">PBTTDPP-2FBT</t>
  </si>
  <si>
    <t xml:space="preserve">[*]c7ccc(c6c5c(=O)n(CC(CCCCCCCC)CCCCCCCCCC)c(c4cc3ccc(c2cc(F)c(c1sc([*])cc1F)s2)cc3s4)c5c(=O)n6CC(CCCCCCCC)CCCCCCCCCC)s7</t>
  </si>
  <si>
    <t xml:space="preserve">['PBTTDPP-2FBT']</t>
  </si>
  <si>
    <t xml:space="preserve">10.1039/c5py00358j</t>
  </si>
  <si>
    <t xml:space="preserve">='PTATDPP'</t>
  </si>
  <si>
    <t xml:space="preserve">[*]c9ccc8c(c1ccc(CC(CC)CCCC)s1)c6cc(c5ccc(c4c3c(=O)n(CC(CCCC)CCCCCC)c(c2ccc([*])s2)c3c(=O)n4CC(CCCC)CCCCCC)s5)ccc6c(c7ccc(CC(CC)CCCC)s7)c8c9</t>
  </si>
  <si>
    <t xml:space="preserve">['PTATDPP']</t>
  </si>
  <si>
    <t xml:space="preserve">di-PBI</t>
  </si>
  <si>
    <t xml:space="preserve">CCCCCC(CCCCC)n8c(=O)c9ccc%10c%12ccc%13c(=O)n(C(CCCCC)CCCCC)c(=O)c%14cc(c1cc4c(=O)n(C(CCCCC)CCCCC)c(=O)c3ccc2c5ccc6c(=O)n(C(CCCCC)CCCCC)c(=O)c7ccc(c1c2c34)c5c67)c(c%11ccc(c8=O)c9c%10%11)c%12c%13%14</t>
  </si>
  <si>
    <t xml:space="preserve">['di-perylene bisimide', 'di-PBI']</t>
  </si>
  <si>
    <t xml:space="preserve">{"power conversion efficiency": {"entity_name": "power conversion efficiency", "entity_start": 185, "entity_end": 187, "property_value_start": 189, "property_value_end": 190, "property_numeric_value": 4.23, "property_unit": "%", "property_value_descriptor": ""}, "open circuit voltage": {"entity_name": "V_{OC}", "entity_start": 192, "entity_end": 193, "property_value_start": 195, "property_value_end": 196, "property_numeric_value": 0.77, "property_unit": "V", "property_value_descriptor": ""}, "short circuit current": {"entity_name": "J_{SC}", "entity_start": 198, "entity_end": 199, "property_value_start": 201, "property_value_end": 204, "property_numeric_value": 9.8, "property_unit": "mA cm^{-2}", "property_value_descriptor": ""}, "fill factor": {"entity_name": "FF", "entity_start": 207, "entity_end": 207, "property_value_start": 209, "property_value_end": 209, "property_numeric_value": 56.00000000000001,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</si>
  <si>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0.80 V</t>
  </si>
  <si>
    <t xml:space="preserve">13.1 mA cm^{-2}</t>
  </si>
  <si>
    <t xml:space="preserve">10.1039/c6py01173j</t>
  </si>
  <si>
    <t xml:space="preserve">[*]c1cc5c(s1)c4sc(c2cc(F)c([*])c3nn(CCCCCCCCC)nc23)cc4[Si]5(CCCCCCCC)CCCCCCCC</t>
  </si>
  <si>
    <t xml:space="preserve">{"power conversion efficiency": {"entity_name": "power conversion efficiency", "entity_start": 112, "entity_end": 114, "property_value_start": 124, "property_value_end": 125, "property_numeric_value": 5.33,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</si>
  <si>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[*]c1cc%10c(s1)c9sc(c7c(F)cc(c2cc6c(s2)c5sc(c3cc(F)c([*])c4nn(CCCCCCCCC)nc34)cc5[Si]6(CCCCCCCC)CCCCCCCC)c8nn(CCCCCCCCC)nc78)cc9[Si]%10(CCCCCCCC)CCCCCCCC</t>
  </si>
  <si>
    <t xml:space="preserve">10.1039/c5py01054c</t>
  </si>
  <si>
    <t xml:space="preserve">PCPDT-PDI</t>
  </si>
  <si>
    <t xml:space="preserve">[*]c1cc%10c(s1)c9sc(c2cc5c(=O)n(CC(CC)CCCC)c(=O)c4ccc3c6c([*])cc8c(=O)n(CC(CC)CCCC)c(=O)c7ccc(c2c3c45)c6c78)cc9C%10(CC(CC)CCCC)CC(CC)CCCC</t>
  </si>
  <si>
    <t xml:space="preserve">['PCPDT-PDI']</t>
  </si>
  <si>
    <t xml:space="preserve">{"power conversion efficiency": {"entity_name": "power conversion efficiency", "entity_start": 154, "entity_end": 156, "property_value_start": 158, "property_value_end": 159, "property_numeric_value": 2.13,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</si>
  <si>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10.1039/c2py20651j</t>
  </si>
  <si>
    <t xml:space="preserve">{"power conversion efficiency": {"entity_name": "PCE", "entity_start": 264, "entity_end": 264, "property_value_start": 266, "property_value_end": 267, "property_numeric_value": 3.4,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</si>
  <si>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10.1039/c6py00346j</t>
  </si>
  <si>
    <t xml:space="preserve">Pm-fDPP</t>
  </si>
  <si>
    <t xml:space="preserve">[*]c9ccc(c8c7c(=O)n(CC(CC)CCCC)c(c6ccc(c5cc4c(c1ccc(CC(CC)CCCC)s1)c2sc([*])cc2c(c3ccc(CC(CC)CCCC)s3)c4s5)c(F)c6)c7c(=O)n8CC(CC)CCCC)cc9</t>
  </si>
  <si>
    <t xml:space="preserve">['Pm-fDPP']</t>
  </si>
  <si>
    <t xml:space="preserve">{"power conversion efficiency": {"entity_name": "PCE", "entity_start": 282, "entity_end": 282, "property_value_start": 284, "property_value_end": 285, "property_numeric_value": 1.4,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</si>
  <si>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PDPP</t>
  </si>
  <si>
    <t xml:space="preserve">[*]c9ccc(c8c7c(=O)n(CC(CC)CCCC)c(c6ccc(c5cc4c(c1ccc(CC(CC)CCCC)s1)c2sc([*])cc2c(c3ccc(CC(CC)CCCC)s3)c4s5)cc6)c7c(=O)n8CC(CC)CCCC)cc9</t>
  </si>
  <si>
    <t xml:space="preserve">['PDPP']</t>
  </si>
  <si>
    <t xml:space="preserve">10.1039/c4py00095a</t>
  </si>
  <si>
    <t xml:space="preserve">PBDTT-TT</t>
  </si>
  <si>
    <t xml:space="preserve">[*]c7cc6c(c1ccc(CC(CC)CCCC)s1)c4sc(c2sc([*])c3sc(C(=O)OCC(CC)CCCC)cc23)cc4c(c5ccc(CC(CC)CCCC)s5)c6s7</t>
  </si>
  <si>
    <t xml:space="preserve">['PBDTT-TT']</t>
  </si>
  <si>
    <t xml:space="preserve">{"power conversion efficiency": {"entity_name": "PCE", "entity_start": 261, "entity_end": 261, "property_value_start": 263, "property_value_end": 264, "property_numeric_value": 4.8, "property_unit": "%", "property_value_descriptor": ""}, "open circuit voltage": {"entity_name": "V_{oc}", "entity_start": 286, "entity_end": 287, "property_value_start": 290, "property_value_end": 291, "property_numeric_value": 0.722, "property_unit": "V", "property_value_descriptor": ""}, "short circuit current": {}, "fill factor": {"entity_name": "FF", "entity_start": 297, "entity_end": 297, "property_value_start": 300, "property_value_end": 301, "property_numeric_value": 55.0,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</si>
  <si>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PBDTT-TT-TEO</t>
  </si>
  <si>
    <t xml:space="preserve">[*]c7cc6c(c1ccc(CC(CC)CCCC)s1)c4sc(c2sc([*])c3sc(C(=O)OCCOCCOCCOC)cc23)cc4c(c5ccc(CC(CC)CCCC)s5)c6s7</t>
  </si>
  <si>
    <t xml:space="preserve">['PBDTT-TT-TEO']</t>
  </si>
  <si>
    <t xml:space="preserve">{"power conversion efficiency": {"entity_name": "PCE", "entity_start": 105, "entity_end": 105, "property_value_start": 133, "property_value_end": 134, "property_numeric_value": 4.1, "property_unit": "%", "property_value_descriptor": ""}, "open circuit voltage": {}, "short circuit current": {"entity_name": "J_{sc}", "entity_start": 272, "entity_end": 273, "property_value_start": 276, "property_value_end": 279, "property_numeric_value": 12.18,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</si>
  <si>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10.1039/c4py01061b</t>
  </si>
  <si>
    <t xml:space="preserve">PTQTS</t>
  </si>
  <si>
    <t xml:space="preserve">[*]c5ccc(c3ccc([*])c4nc(c1ccc(SCCCCCCCC)s1)c(c2ccc(SCCCCCCCC)s2)nc34)s5</t>
  </si>
  <si>
    <t xml:space="preserve">['poly{2,3-bis[(5-octylthio)thiophen-2-yl]quinoxaline-5,8-diyl-alt-thiophene-2,5-diyl}', 'PTQTS']</t>
  </si>
  <si>
    <t xml:space="preserve">{"power conversion efficiency": {"entity_name": "PCE", "entity_start": 177, "entity_end": 177, "property_value_start": 179, "property_value_end": 180, "property_numeric_value": 3.73, "property_unit": "%", "property_value_descriptor": ""}, "open circuit voltage": {"entity_name": "V_{oc}", "entity_start": 182, "entity_end": 183, "property_value_start": 185, "property_value_end": 186, "property_numeric_value": 0.76, "property_unit": "V", "property_value_descriptor": ""}, "short circuit current": {"entity_name": "J_{sc}", "entity_start": 188, "entity_end": 189, "property_value_start": 191, "property_value_end": 194, "property_numeric_value": 9.41, "property_unit": "mA cm^{-2}", "property_value_descriptor": ""}, "fill factor": {"entity_name": "FF", "entity_start": 196, "entity_end": 196, "property_value_start": 198, "property_value_end": 199, "property_numeric_value": 52.33,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</si>
  <si>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10.1039/c6py00640j</t>
  </si>
  <si>
    <t xml:space="preserve">PBDT(Se)-T1</t>
  </si>
  <si>
    <t xml:space="preserve">[*]c%10ccc(c8sc(c6ccc(c5cc4c(c1ccc(SCC(CC)CCCC)[se]1)c2sc([*])cc2c(c3ccc(SCC(CC)CCCC)[se]3)c4s5)s6)c9c(=O)c7c(CC(CC)CCCC)sc(CC(CC)CCCC)c7c(=O)c89)s%10</t>
  </si>
  <si>
    <t xml:space="preserve">['PBDT(Se)-T1']</t>
  </si>
  <si>
    <t xml:space="preserve">{"power conversion efficiency": {"entity_name": "PCE", "entity_start": 162, "entity_end": 162, "property_value_start": 165, "property_value_end": 166, "property_numeric_value": 8.52, "property_unit": "%", "property_value_descriptor": ""}, "open circuit voltage": {"entity_name": "V_{oc}", "entity_start": 174, "entity_end": 176, "property_value_start": 178, "property_value_end": 179, "property_numeric_value": 0.91, "property_unit": "V", "property_value_descriptor": ""}, "short circuit current": {}, "fill factor": {"entity_name": "FF", "entity_start": 187, "entity_end": 187, "property_value_start": 190, "property_value_end": 191, "property_numeric_value": 72.0,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</si>
  <si>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10.1039/c6py00370b</t>
  </si>
  <si>
    <t xml:space="preserve">PDBS-TQx</t>
  </si>
  <si>
    <t xml:space="preserve">[*]c9ccc8c7ccc(c6ccc(c4ccc(c1ccc([*])s1)c5nc(c2ccc(CCCCCCCC)s2)c(c3ccc(CCCCCCCC)s3)nc45)s6)cc7[Si](CCCCCC)(CCCCCC)c8c9</t>
  </si>
  <si>
    <t xml:space="preserve">['PDBS-TQx']</t>
  </si>
  <si>
    <t xml:space="preserve">{"power conversion efficiency": {"entity_name": "PCE", "entity_start": 180, "entity_end": 180, "property_value_start": 183, "property_value_end": 184, "property_numeric_value": 5.14,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</si>
  <si>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10.1039/c6py00400h</t>
  </si>
  <si>
    <t xml:space="preserve">PBPD1</t>
  </si>
  <si>
    <t xml:space="preserve">{[*]c5ccc(c4cc(=c3cc(c2ccc(c1ccc([*])s1)cc2)n(CC(CCCCCCCC)CCCCCCCCCC)c3=O)c(=O)n4CC(CCCCCCCC)CCCCCCCCCC)cc5,[*]c5ccc(c4ccc(c3c2c(=O)n(CC(CCCCCCCC)CCCCCCCCCC)c(c1ccc([*])s1)c2c(=O)n3CC(CCCCCCCC)CCCCCCCCCC)s4)s5}</t>
  </si>
  <si>
    <t xml:space="preserve">['PBPD1']</t>
  </si>
  <si>
    <t xml:space="preserve">{"power conversion efficiency": {"entity_name": "power conversion efficiency", "entity_start": 108, "entity_end": 110, "property_value_start": 114, "property_value_end": 115, "property_numeric_value": 5.21,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</si>
  <si>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10.1039/c2py20763j</t>
  </si>
  <si>
    <t xml:space="preserve">='PDPP-T-DTT'</t>
  </si>
  <si>
    <t xml:space="preserve">[*]c%13ccc(c%12sc%11c(sc%10c(CCCCCCCCCCCCCCC)c(c9ccc(c8sc7c(sc6c(CCCCCCCCCCCCCCC)c(c5ccc(c4ccc(c3c2c(=O)n(CC(CCCC)CCCCCC)c(c1ccc([*])s1)c2c(=O)n3CC(CCCC)CCCCCC)s4)s5)sc67)c8CCCCCCCCCCCCCCC)s9)sc%10%11)c%12CCCCCCCCCCCCCCC)s%13</t>
  </si>
  <si>
    <t xml:space="preserve">['PDPP-T-DTT']</t>
  </si>
  <si>
    <t xml:space="preserve">{"power conversion efficiency": {"entity_name": "PCEs", "entity_start": 163, "entity_end": 163, "property_value_start": 168, "property_value_end": 169, "property_numeric_value": 5.02,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</si>
  <si>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10.1039/c5py00665a</t>
  </si>
  <si>
    <t xml:space="preserve">PPDI25-co-NDI75</t>
  </si>
  <si>
    <t xml:space="preserve">[*]c1cc3c(s1)c2cc%26c(cc2C3(c4ccc(CCCCCC)cc4)c5ccc(CCCCCC)cc5)c%25sc(c%18cc%21c(=O)n(CC(CC)CCCC)c(=O)c%20ccc%19c%22c(c%14cc%16c(=O)n(CC(CC)CCCC)c(=O)c%17c(c%10cc%12c(=O)n(CC(CC)CCCC)c(=O)c%13c(c6cc8c(=O)n(CC(CC)CCCC)c(=O)c9c([*])cc7c(=O)n(CC(CC)CCCC)c(=O)c6c7c89)cc%11c(=O)n(CC(CC)CCCC)c(=O)c%10c%11c%12%13)cc%15c(=O)n(CC(CC)CCCC)c(=O)c%14c%15c%16%17)cc%24c(=O)n(CC(CC)CCCC)c(=O)c%23ccc(c%18c%19c%20%21)c%22c%23%24)cc%25C%26(c%27ccc(CCCCCC)cc%27)c%28ccc(CCCCCC)cc%28</t>
  </si>
  <si>
    <t xml:space="preserve">['PPDI25-co-NDI75']</t>
  </si>
  <si>
    <t xml:space="preserve">{"power conversion efficiency": {}, "open circuit voltage": {}, "short circuit current": {}, "fill factor": {}, "highest occupied molecular orbital": {}, "lowest unoccupied molecular orbital": {"entity_name": "LUMO energy level", "entity_start": 65, "entity_end": 67, "property_value_start": 74, "property_value_end": 77, "property_numeric_value": -3.835, "property_unit": "eV", "property_value_descriptor": "to"}, "bandgap": {}, "hole mobility": {}, "electron mobility": {}, "external quantum efficiency": {}}</t>
  </si>
  <si>
    <t xml:space="preserve">10.1039/c3py00938f</t>
  </si>
  <si>
    <t xml:space="preserve">RR-P3HT</t>
  </si>
  <si>
    <t xml:space="preserve">['RR-P3HT', 'regioregular poly(3-hexylthiophene)']</t>
  </si>
  <si>
    <t xml:space="preserve">PPTTE-TerT</t>
  </si>
  <si>
    <t xml:space="preserve">[*]c8ccc(c7ccc(c6ccc(c1cc(C(=O)OCC(CCCCCC)CCCCCCCC)c3c(C(=O)OCC(CCCCCC)CCCCCCCC)ccc2c5c([*])cc(C(=O)OCC(CCCCCC)CCCCCCCC)c4c(C(=O)COC(CCCCCC)CCCCCCCC)ccc(c1c23)c45)s6)s7)s8</t>
  </si>
  <si>
    <t xml:space="preserve">['PPTTE-TerT']</t>
  </si>
  <si>
    <t xml:space="preserve">2.38 mA cm^{-2}</t>
  </si>
  <si>
    <t xml:space="preserve">{"power conversion efficiency": {}, "open circuit voltage": {}, "short circuit current": {}, "fill factor": {"entity_name": "FF", "entity_start": 352, "entity_end": 352, "property_value_start": 355, "property_value_end": 355, "property_numeric_value": 34.0, "property_unit": "%", "property_value_descriptor": ""}, "highest occupied molecular orbital": {}, "lowest unoccupied molecular orbital": {}, "bandgap": {"entity_name": "optical band gap", "entity_start": 244, "entity_end": 246, "property_value_start": 248, "property_value_end": 249, "property_numeric_value": 1.91, "property_unit": "eV", "property_value_descriptor": ""}, "hole mobility": {}, "electron mobility": {}, "external quantum efficiency": {}}</t>
  </si>
  <si>
    <t xml:space="preserve">10.1039/c1py00364j</t>
  </si>
  <si>
    <t xml:space="preserve">PFBT-BDT</t>
  </si>
  <si>
    <t xml:space="preserve">[*]c7cc(c5c(OCCCCCCCC)c(OCCCCCCCC)c(c4ccc(c3cc2c(OCC(CC)CCCC)c1sc([*])cc1c(OCC(CC)CCCC)c2s3)o4)c6nsnc56)co7</t>
  </si>
  <si>
    <t xml:space="preserve">['PFBT-BDT']</t>
  </si>
  <si>
    <t xml:space="preserve">{"power conversion efficiency": {}, "open circuit voltage": {}, "short circuit current": {}, "fill factor": {}, "highest occupied molecular orbital": {}, "lowest unoccupied molecular orbital": {}, "bandgap": {"entity_name": "E_{g}^{opt}", "entity_start": 82, "entity_end": 84, "property_value_start": 96, "property_value_end": 97, "property_numeric_value": 1.96, "property_unit": "eV", "property_value_descriptor": ""}, "hole mobility": {}, "electron mobility": {}, "external quantum efficiency": {}}</t>
  </si>
  <si>
    <t xml:space="preserve">10.1039/c5py01235j</t>
  </si>
  <si>
    <t xml:space="preserve">TBPDI</t>
  </si>
  <si>
    <t xml:space="preserve">[*]c%17ccc(c%15c4nc3c1cc(CCCCCCCC)ccc1c2ccc(CCCCCCCC)cc2c3nc4c(c%14ccc(c5cc7c(s5)c6cc%11c(cc6C7(c8ccc(CCCCCC)cc8)c9ccc(CCCCCC)cc9)c%10sc([*])cc%10C%11(c%12ccc(CCCCCC)cc%12)c%13ccc(CCCCCC)cc%13)s%14)c%16c(=O)n(CCCCCCCC)c(=O)c%15%16)s%17</t>
  </si>
  <si>
    <t xml:space="preserve">['TBPDI']</t>
  </si>
  <si>
    <t xml:space="preserve">{"power conversion efficiency": {"entity_name": "power conversion efficiency", "entity_start": 220, "entity_end": 222, "property_value_start": 224, "property_value_end": 225, "property_numeric_value": 4.6,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</si>
  <si>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10.1039/c3py00341h</t>
  </si>
  <si>
    <t xml:space="preserve">[*]c7ccc6c(=c4c(=O)n(CCCCCCCCCCCC)c5cc(c3sc(c2cc(OCCCCCCCCCCCC)c(c1cc(CCCCCCCC)c([*])s1)cc2OCCCCCCCCCCCC)cc3CCCCCCCC)ccc45)c(=O)n(CCCCCCCCCCCC)c6c7</t>
  </si>
  <si>
    <t xml:space="preserve">{"power conversion efficiency": {"entity_name": "PCE", "entity_start": 142, "entity_end": 142, "property_value_start": 145, "property_value_end": 146, "property_numeric_value": 1.75, "property_unit": "%", "property_value_descriptor": ""}, "open circuit voltage": {"entity_name": "V_{oc}", "entity_start": 170, "entity_end": 171, "property_value_start": 174, "property_value_end": 175, "property_numeric_value": 0.81, "property_unit": "V", "property_value_descriptor": ""}, "short circuit current": {"entity_name": "J_{sc}", "entity_start": 155, "entity_end": 156, "property_value_start": 159, "property_value_end": 162, "property_numeric_value": 4.74, "property_unit": "mA cm^{-2}", "property_value_descriptor": ""}, "fill factor": {"entity_name": "FF", "entity_start": 182, "entity_end": 182, "property_value_start": 185, "property_value_end": 185, "property_numeric_value": 45.0, "property_unit": "%", "property_value_descriptor": ""}, "highest occupied molecular orbital": {"entity_name": "HOMO energy levels", "entity_start": 84, "entity_end": 86, "property_value_start": 88, "property_value_end": 91, "property_numeric_value": 5.23, "property_unit": "eV", "property_value_descriptor": "to"}, "lowest unoccupied molecular orbital": {}, "bandgap": {"entity_name": "band gaps", "entity_start": 73, "entity_end": 74, "property_value_start": 76, "property_value_end": 79, "property_numeric_value": 1.68, "property_unit": "eV", "property_value_descriptor": "to"}, "hole mobility": {"entity_name": "Hole mobilities", "entity_start": 94, "entity_end": 95, "property_value_start": 104, "property_value_end": 117, "property_numeric_value": 0.0022, "property_unit": "cm^{2} V^{-1} s^{-1}", "property_value_descriptor": "to"}, "electron mobility": {}, "external quantum efficiency": {}}</t>
  </si>
  <si>
    <t xml:space="preserve">10.1039/c3py21099e</t>
  </si>
  <si>
    <t xml:space="preserve">PCTBTZ</t>
  </si>
  <si>
    <t xml:space="preserve">[*]c1cc7c(s1)c6sc(c5sc(c3ccc(c2cc(CCCCCCCCCCCC)c([*])s2)c4nn(CCCCCCCCCCCC)nc34)cc5CCCCCCCCCCCC)cc6C7(CCCCCCCC)CCCCCCCC</t>
  </si>
  <si>
    <t xml:space="preserve">['PCTBTZ']</t>
  </si>
  <si>
    <t xml:space="preserve">{"power conversion efficiency": {"entity_name": "PCE", "entity_start": 308, "entity_end": 308, "property_value_start": 310, "property_value_end": 311, "property_numeric_value": 4.02, "property_unit": "%", "property_value_descriptor": ""}, "open circuit voltage": {}, "short circuit current": {"entity_name": "J_{sc}", "entity_start": 296, "entity_end": 297, "property_value_start": 299, "property_value_end": 302, "property_numeric_value": 9.24, "property_unit": "mA cm^{-2}", "property_value_descriptor": ""}, "fill factor": {"entity_name": "FF", "entity_start": 304, "entity_end": 304, "property_value_start": 306, "property_value_end": 306, "property_numeric_value": 64.0,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</si>
  <si>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10.1039/c3py00177f</t>
  </si>
  <si>
    <t xml:space="preserve">PDFCDTBT</t>
  </si>
  <si>
    <t xml:space="preserve">[*]c7ccc(c5c(OCCCCCCCC)c(OCCCCCCCC)c(c4ccc(c1cc3c(cc1F)c2cc(F)c([*])cc2C3NCCCCCCC)s4)c6nsnc56)s7</t>
  </si>
  <si>
    <t xml:space="preserve">['PDFCDTBT']</t>
  </si>
  <si>
    <t xml:space="preserve">{"power conversion efficiency": {"entity_name": "PCE", "entity_start": 201, "entity_end": 201, "property_value_start": 204, "property_value_end": 205, "property_numeric_value": 4.8, "property_unit": "%", "property_value_descriptor": ""}, "open circuit voltage": {"entity_name": "V_{oc}", "entity_start": 208, "entity_end": 209, "property_value_start": 211, "property_value_end": 212, "property_numeric_value": 0.91, "property_unit": "V", "property_value_descriptor": ""}, "short circuit current": {"entity_name": "J_{sc}", "entity_start": 215, "entity_end": 216, "property_value_start": 218, "property_value_end": 221, "property_numeric_value": 9.5, "property_unit": "mA cm^{-2}", "property_value_descriptor": ""}, "fill factor": {"entity_name": "FF", "entity_start": 225, "entity_end": 225, "property_value_start": 227, "property_value_end": 227, "property_numeric_value": 55.00000000000001, "property_unit": "%", "property_value_descriptor": ""}, "highest occupied molecular orbital": {"entity_name": "HOMO energy level", "entity_start": 90, "entity_end": 92, "property_value_start": 94, "property_value_end": 95, "property_numeric_value": 5.21, "property_unit": "eV", "property_value_descriptor": ""}, "lowest unoccupied molecular orbital": {"entity_name": "LUMO energy level", "entity_start": 98, "entity_end": 100, "property_value_start": 102, "property_value_end": 103, "property_numeric_value": 3.35, "property_unit": "eV", "property_value_descriptor": ""}, "bandgap": {"entity_name": "optical band gap", "entity_start": 107, "entity_end": 109, "property_value_start": 111, "property_value_end": 112, "property_numeric_value": 1.86, "property_unit": "eV", "property_value_descriptor": ""}, "hole mobility": {}, "electron mobility": {}, "external quantum efficiency": {}}</t>
  </si>
  <si>
    <t xml:space="preserve">10.1039/c4py00392f</t>
  </si>
  <si>
    <t xml:space="preserve">PBDFTDTBT</t>
  </si>
  <si>
    <t xml:space="preserve">[*]c9cc8c(c1ccc(CC(CC)CCCC)s1)c6oc(c5ccc(c3c(OCCCCCCCC)c(OCCCCCCCC)c(c2ccc([*])s2)c4nsnc34)s5)cc6c(c7ccc(CC(CC)CCCC)s7)c8o9</t>
  </si>
  <si>
    <t xml:space="preserve">['PBDFTDTBT']</t>
  </si>
  <si>
    <t xml:space="preserve">{"power conversion efficiency": {"entity_name": "PCE", "entity_start": 112, "entity_end": 112, "property_value_start": 115, "property_value_end": 116, "property_numeric_value": 6.0, "property_unit": "%", "property_value_descriptor": ""}, "open circuit voltage": {"entity_name": "V_{oc}", "entity_start": 151, "entity_end": 153, "property_value_start": 155, "property_value_end": 156, "property_numeric_value": 0.76, "property_unit": "V", "property_value_descriptor": ""}, "short circuit current": {"entity_name": "J_{sc}", "entity_start": 137, "entity_end": 139, "property_value_start": 141, "property_value_end": 144, "property_numeric_value": 12.04, "property_unit": "mA cm^{-2}", "property_value_descriptor": ""}, "fill factor": {}, "highest occupied molecular orbital": {}, "lowest unoccupied molecular orbital": {}, "bandgap": {}, "hole mobility": {"entity_name": "hole mobility", "entity_start": 60, "entity_end": 61, "property_value_start": 72, "property_value_end": 78, "property_numeric_value": 0.36, "property_unit": "cm^{2} V^{-1} s^{-1}", "property_value_descriptor": ""}, "electron mobility": {}, "external quantum efficiency": {}}</t>
  </si>
  <si>
    <t xml:space="preserve">10.1039/c3py00391d</t>
  </si>
  <si>
    <t xml:space="preserve">[*]c8ccc(c6c1cc(CC(CC)CCCC)c(CC(CC)CCCC)cc1c(c5ccc(c4cc3c(OCCCCCCCCCCCC)c2sc([*])cc2c(OCCCCCCCCCCCC)c3s4)s5)c7nsnc67)s8</t>
  </si>
  <si>
    <t xml:space="preserve">{"power conversion efficiency": {"entity_name": "power conversion efficiency", "entity_start": 196, "entity_end": 198, "property_value_start": 203, "property_value_end": 204, "property_numeric_value": 5.12, "property_unit": "%", "property_value_descriptor": ""}, "open circuit voltage": {}, "short circuit current": {}, "fill factor": {}, "highest occupied molecular orbital": {}, "lowest unoccupied molecular orbital": {}, "bandgap": {"entity_name": "optical band gap", "entity_start": 53, "entity_end": 55, "property_value_start": 69, "property_value_end": 70, "property_numeric_value": 1.38, "property_unit": "eV", "property_value_descriptor": ""}, "hole mobility": {}, "electron mobility": {}, "external quantum efficiency": {}}</t>
  </si>
  <si>
    <t xml:space="preserve">10.1039/c7py00194k</t>
  </si>
  <si>
    <t xml:space="preserve">P4,9-βNDTDTFBT</t>
  </si>
  <si>
    <t xml:space="preserve">[*]c8ccc(c6c(F)c(F)c(c5ccc(c4cc2c(cc(CC(CCCCCCCC)CCCCCCCCCC)c3c1cc([*])sc1cc(C(C)C(CCCCCCCC)CCCCCCCCCC)c23)s4)s5)c7nsnc67)s8</t>
  </si>
  <si>
    <t xml:space="preserve">['P4,9-βNDTDTFBT']</t>
  </si>
  <si>
    <t xml:space="preserve">{"power conversion efficiency": {"entity_name": "PCE", "entity_start": 274, "entity_end": 274, "property_value_start": 276, "property_value_end": 277, "property_numeric_value": 7.23,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</si>
  <si>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10.1039/c3py00628j</t>
  </si>
  <si>
    <t xml:space="preserve">PFBTRU</t>
  </si>
  <si>
    <t xml:space="preserve">[*]c%10ccc(c1cc9c(s1)c8sc(c6c(F)c(F)c(c2cc5c(s2)c4sc(c3ccc([*])s3)cc4C5(CCCCCCCC)CCCCCCCC)c7nsnc67)cc8C9(CCCCCCCC)CCCCCCCC)s%10</t>
  </si>
  <si>
    <t xml:space="preserve">['PFBTRU']</t>
  </si>
  <si>
    <t xml:space="preserve">{"power conversion efficiency": {"entity_name": "PCE", "entity_start": 158, "entity_end": 158, "property_value_start": 161, "property_value_end": 162, "property_numeric_value": 2.66, "property_unit": "%", "property_value_descriptor": ""}, "open circuit voltage": {"entity_name": "V_{oc}", "entity_start": 165, "entity_end": 166, "property_value_start": 168, "property_value_end": 169, "property_numeric_value": 0.73, "property_unit": "V", "property_value_descriptor": ""}, "short circuit current": {"entity_name": "J_{sc}", "entity_start": 172, "entity_end": 173, "property_value_start": 175, "property_value_end": 178, "property_numeric_value": 7.12, "property_unit": "mA cm^{-2}", "property_value_descriptor": ""}, "fill factor": {"entity_name": "FF", "entity_start": 181, "entity_end": 181, "property_value_start": 183, "property_value_end": 183, "property_numeric_value": 51.0,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</si>
  <si>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10.1039/c3py01018j</t>
  </si>
  <si>
    <t xml:space="preserve">PIDT-T-FBSe</t>
  </si>
  <si>
    <t xml:space="preserve">[*]c9ccc(c7cc(F)c(c6ccc(c1cc3c(s1)c2cc5c(cc2C3(CCCCCCCCCCCC)CCCCCCCCCCCC)c4sc([*])cc4C5(CCCCCCCCCCCC)CCCCCCCCCCCC)s6)c8n[se]nc78)s9</t>
  </si>
  <si>
    <t xml:space="preserve">['PIDT-T-FBSe']</t>
  </si>
  <si>
    <t xml:space="preserve">{"power conversion efficiency": {"entity_name": "power conversion efficiencies", "entity_start": 113, "entity_end": 115, "property_value_start": 126, "property_value_end": 127, "property_numeric_value": 4.65,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</si>
  <si>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PBDT-T-FBSe</t>
  </si>
  <si>
    <t xml:space="preserve">[*]c9ccc(c7cc(F)c(c6ccc(c5cc4c(c1ccc(CC(CCCCCCCCCC)CCCCCCCCCCCC)s1)c2sc([*])cc2c(c3ccc(CC(CCCCCCCCCC)CCCCCCCCCCCC)s3)c4s5)s6)c8n[se]nc78)s9</t>
  </si>
  <si>
    <t xml:space="preserve">['PBDT-T-FBSe']</t>
  </si>
  <si>
    <t xml:space="preserve">10.1039/c5py01946j</t>
  </si>
  <si>
    <t xml:space="preserve">POP</t>
  </si>
  <si>
    <t xml:space="preserve">[*]c%12cc%11c(c1ccc(CC(CC)CCCC)s1)c9sc(c4c2c(=O)n(CCCCCCCC)c(=O)c2c5c3sc7c(c3[o+](CCCCCC)[s+]45)[o+](CCCCCC)[s+]8c([*])c6c(=O)n(CCCCCCCC)c(=O)c6c78)cc9c(c%10ccc(CC(CC)CCCC)s%10)c%11s%12</t>
  </si>
  <si>
    <t xml:space="preserve">['POP']</t>
  </si>
  <si>
    <t xml:space="preserve">='PCBM'</t>
  </si>
  <si>
    <t xml:space="preserve">{"power conversion efficiency": {"entity_name": "power conversion efficiency", "entity_start": 181, "entity_end": 183, "property_value_start": 189, "property_value_end": 190, "property_numeric_value": 8.18,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</si>
  <si>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10.1039/c4py00566j</t>
  </si>
  <si>
    <t xml:space="preserve">PNBTDIs</t>
  </si>
  <si>
    <t xml:space="preserve">[*]c9ccc(c1nc5c(s1)c8c(=O)n(CC(CCCCCCCCCC)CCCCCCCCCCCC)c(=O)c7c4nc(c3ccc(c2ccc([*])s2)cc3)sc4c6c(=O)n(CC(CCCCCCCCCC)CCCCCCCCCCCC)c(=O)c5c6c78)cc9</t>
  </si>
  <si>
    <t xml:space="preserve">['poly(naphthobisthiazole diimide)s', 'PNBTDIs']</t>
  </si>
  <si>
    <t xml:space="preserve">{"power conversion efficiency": {"entity_name": "power conversion efficiencies", "entity_start": 199, "entity_end": 201, "property_value_start": 203, "property_value_end": 206, "property_numeric_value": 1.3, "property_unit": "%", "property_value_descriptor": "-"}, "open circuit voltage": {}, "short circuit current": {}, "fill factor": {}, "highest occupied molecular orbital": {}, "lowest unoccupied molecular orbital": {}, "bandgap": {"entity_name": "optical band gap", "entity_start": 109, "entity_end": 111, "property_value_start": 113, "property_value_end": 116, "property_numeric_value": 1.875, "property_unit": "eV", "property_value_descriptor": "-"}, "hole mobility": {}, "electron mobility": {"entity_name": "electron mobility", "entity_start": 162, "entity_end": 163, "property_value_start": 167, "property_value_end": 175, "property_numeric_value": 0.015, "property_unit": "cm^{2} V^{-1} s^{-1}", "property_value_descriptor": ""}, "external quantum efficiency": {}}</t>
  </si>
  <si>
    <t xml:space="preserve">10.1039/c4py00758a</t>
  </si>
  <si>
    <t xml:space="preserve">poly[(4,4'-bis(2-ethylhexyl)dithieno[3,2-b:2',3'-d]silole)-2,6-diyl-alt-4,7-(5-fluoro-2,1,3-benzothiadiazole)]</t>
  </si>
  <si>
    <t xml:space="preserve">[*]c1cc5c(s1)c4sc(c2c(F)cc([*])c3nsnc23)cc4[Si]5(CC(CC)CCCC)CC(CC)CCCC</t>
  </si>
  <si>
    <t xml:space="preserve">["poly[(4,4'-bis(2-ethylhexyl)dithieno[3,2-b:2',3'-d]silole)-2,6-diyl-alt-4,7-(5-fluoro-2,1,3-benzothiadiazole)]", 'PDTSBT-F', 'PDTSBT-F.']</t>
  </si>
  <si>
    <t xml:space="preserve">{"power conversion efficiency": {"entity_name": "PCE", "entity_start": 136, "entity_end": 136, "property_value_start": 138, "property_value_end": 139, "property_numeric_value": 6.7, "property_unit": "%", "property_value_descriptor": ""}, "open circuit voltage": {"entity_name": "V_{oc}", "entity_start": 119, "entity_end": 120, "property_value_start": 122, "property_value_end": 123, "property_numeric_value": 0.7, "property_unit": "V", "property_value_descriptor": ""}, "short circuit current": {"entity_name": "J_{sc}", "entity_start": 110, "entity_end": 111, "property_value_start": 113, "property_value_end": 116, "property_numeric_value": 15.96, "property_unit": "mA cm^{-2}", "property_value_descriptor": ""}, "fill factor": {"entity_name": "FF", "entity_start": 127, "entity_end": 127, "property_value_start": 129, "property_value_end": 129, "property_numeric_value": 60.0,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</si>
  <si>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10.1039/c7py00444c</t>
  </si>
  <si>
    <t xml:space="preserve">='PBDB-T'</t>
  </si>
  <si>
    <t xml:space="preserve">[*]c%10ccc(c8sc(c6ccc(c5cc4c(c1ccc(CC(CC)CCCC)s1)c2sc([*])cc2c(c3ccc(CC(CC)CCCC)s3)c4s5)s6)c9c(=O)c7c(CC(CC)CCCC)sc(CC(CC)CCCC)c7c(=O)c89)s%10</t>
  </si>
  <si>
    <t xml:space="preserve">cis-polyPBI</t>
  </si>
  <si>
    <t xml:space="preserve">[*]c%19ccc(c4cc5c(=O)n(C(CCCCCCCCCCC)CCCCCCCCCCC)c(=O)c6cc7c3sc2sc1c%12cc%15c(=O)n(C(CCCCCCCCCCC)CCCCCCCCCCC)c(=O)c%14ccc%13c%16c([*])cc%17c(=O)n(C(CCCCCCCCCCC)CCCCCCCCCCC)c(=O)c%18cc(c1c2c3c8cc%11c(=O)n(C(CCCCCCCCCCC)CCCCCCCCCCC)c(=O)c%10ccc9c4c(c56)c7c8c9c%10%11)c(c%12c%13c%14%15)c%16c%17%18)s%19</t>
  </si>
  <si>
    <t xml:space="preserve">['cis-polyPBI']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</si>
  <si>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{}, "electron mobility": {"entity_name": "electron mobility", "entity_start": 98, "entity_end": 99, "property_value_start": 101, "property_value_end": 110, "property_numeric_value": 0.012, "property_unit": "cm^{2} V^{-1} s^{-1}", "property_value_descriptor": ""}, "external quantum efficiency": {}}</t>
  </si>
  <si>
    <t xml:space="preserve">10.1039/c7py01907f</t>
  </si>
  <si>
    <t xml:space="preserve">PNDI-Th10</t>
  </si>
  <si>
    <t xml:space="preserve">[*]c%11ccc(c7cc9c(=O)n(CC(CCCCCCCC)CCCCCCCCCC)c(=O)c%10c(c6ccc(c5ccc(c1cc3c(=O)n(CC(CCCCCCCC)CCCCCCCCCC)c(=O)c4c([*])cc2c(=O)n(CC(CCCCCCCC)CCCCCCCCCC)c(=O)c1c2c34)s5)s6)cc8c(=O)n(CC(CCCCCCCC)CCCCCCCCCC)c(=O)c7c8c9%10)s%11</t>
  </si>
  <si>
    <t xml:space="preserve">['PNDI-Th10']</t>
  </si>
  <si>
    <t xml:space="preserve">FTQ</t>
  </si>
  <si>
    <t xml:space="preserve">[*]c5ccc(c3cc(F)c([*])c4nc(c1cccc(OCCCCCCCC)c1)c(c2cccc(OCCCCCCCC)c2)nc34)s5</t>
  </si>
  <si>
    <t xml:space="preserve">['poly(6-fluoro-2,3-bis-(3-octyloxyphenyl)quinoxaline-5,8-dyl-alt-thiophene-2,5-diyl)', 'FTQ']</t>
  </si>
  <si>
    <t xml:space="preserve">{"power conversion efficiency": {"entity_name": "power-conversion efficiency", "entity_start": 179, "entity_end": 182, "property_value_start": 184, "property_value_end": 185, "property_numeric_value": 5.88, "property_unit": "%", "property_value_descriptor": ""}, "open circuit voltage": {}, "short circuit current": {"entity_name": "J_{SC}", "entity_start": 189, "entity_end": 190, "property_value_start": 192, "property_value_end": 195, "property_numeric_value": 10.77,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</si>
  <si>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10.1039/c4py01276c</t>
  </si>
  <si>
    <t xml:space="preserve">[*]c%10cc9c(OCC(CC)CCCC)c8sc(c7sc(c5c(F)c(F)c(c1cc(CCCCCCCC)c([*])s1)c6nc4c2ccccc2c3ccccc3c4nc56)cc7CCCCCCCC)cc8c(OCC(CC)CCCC)c9s%10</t>
  </si>
  <si>
    <t xml:space="preserve">{"power conversion efficiency": {"entity_name": "PCE", "entity_start": 90, "entity_end": 90, "property_value_start": 93, "property_value_end": 94, "property_numeric_value": 6.0, "property_unit": "%", "property_value_descriptor": ""}, "open circuit voltage": {"entity_name": "V_{oc}", "entity_start": 101, "entity_end": 103, "property_value_start": 105, "property_value_end": 106, "property_numeric_value": 0.74, "property_unit": "V", "property_value_descriptor": ""}, "short circuit current": {"entity_name": "J_{sc}", "entity_start": 113, "entity_end": 115, "property_value_start": 117, "property_value_end": 120, "property_numeric_value": 12.5, "property_unit": "mA cm^{-2}", "property_value_descriptor": ""}, "fill factor": {"entity_name": "FF", "entity_start": 127, "entity_end": 127, "property_value_start": 130, "property_value_end": 130, "property_numeric_value": 65.0, "property_unit": "%", "property_value_descriptor": ""}, "highest occupied molecular orbital": {}, "lowest unoccupied molecular orbital": {}, "bandgap": {}, "hole mobility": {"entity_name": "hole mobility", "entity_start": 47, "entity_end": 48, "property_value_start": 50, "property_value_end": 58, "property_numeric_value": 0.0154, "property_unit": "cm^{2} V^{-1} s^{-1}", "property_value_descriptor": ""}, "electron mobility": {}, "external quantum efficiency": {}}</t>
  </si>
  <si>
    <t xml:space="preserve">P2-H</t>
  </si>
  <si>
    <t xml:space="preserve">[*]c%12cc%11c(c1cc(CCCCCCCCCC)c(CCCCCCCCCCC)s1)c9sc(c8sc(c6c(F)c(F)c(c2cc(CCCCCCCC)c([*])s2)c7nc5c3ccccc3c4ccccc4c5nc67)cc8CCCCCCCC)cc9c(c%10cc(CCCCCCCCCC)c(CCCCCCCCCC)s%10)c%11s%12</t>
  </si>
  <si>
    <t xml:space="preserve">['P2-H']</t>
  </si>
  <si>
    <t xml:space="preserve">10.1039/c4py01631a</t>
  </si>
  <si>
    <t xml:space="preserve">='P1-72.9k'</t>
  </si>
  <si>
    <t xml:space="preserve">[*]c7cc6c(c1cc(CCCCCC)c(CC(CC)CCCC)s1)c4sc(c2c(F)c(F)c([*])c3nsnc23)cc4c(c5cc(CCCCCC)c(CC(CC)CCCC)s5)c6s7</t>
  </si>
  <si>
    <t xml:space="preserve">['P1-72.9k']</t>
  </si>
  <si>
    <t xml:space="preserve">{"power conversion efficiency": {"entity_name": "power conversion efficiency", "entity_start": 87, "entity_end": 89, "property_value_start": 97, "property_value_end": 98, "property_numeric_value": 4.1,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</si>
  <si>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10.1039/c7py00292k</t>
  </si>
  <si>
    <t xml:space="preserve">P(BDP-DTPz)</t>
  </si>
  <si>
    <t xml:space="preserve">[*]c%10ccc(c8c(OCCCCCCCC)c(OCCCCCCCC)c(c4ccc(c3cc2c(OCC(CC)CCCC)c(OCC(CC)CCCC)c1cc([*])sc1c2s3)s4)c9nc7c5ccccc5c6ccccc6c7nc89)s%10</t>
  </si>
  <si>
    <t xml:space="preserve">['P(BDP-DTPz)']</t>
  </si>
  <si>
    <t xml:space="preserve">{"power conversion efficiency": {"entity_name": "PCE", "entity_start": 161, "entity_end": 161, "property_value_start": 164, "property_value_end": 165, "property_numeric_value": 6.2,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</si>
  <si>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10.1039/c3py01618h</t>
  </si>
  <si>
    <t xml:space="preserve">PK</t>
  </si>
  <si>
    <t xml:space="preserve">[*]c4sc(c3cc(SCCCCCCCC)c(c1sc([*])c2cc(COCCCCCCCC)sc12)s3)cc4SCCCCCCCC</t>
  </si>
  <si>
    <t xml:space="preserve">['PK']</t>
  </si>
  <si>
    <t xml:space="preserve">[70]PCBM</t>
  </si>
  <si>
    <t xml:space="preserve">['[70]PCBM']</t>
  </si>
  <si>
    <t xml:space="preserve">{"power conversion efficiency": {"entity_name": "power conversion efficiency", "entity_start": 193, "entity_end": 195, "property_value_start": 208, "property_value_end": 209, "property_numeric_value": 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</si>
  <si>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10.1039/c5py00305a</t>
  </si>
  <si>
    <t xml:space="preserve">PBDTDT(Qx-3)-T</t>
  </si>
  <si>
    <t xml:space="preserve">[*]c%11ccc(c9c(OCCCCCCCC)c(OCCCCCCCC)c(c6ccc(c5cc4c(c1ccc(CC(CC)CCCC)s1)c2sc([*])cc2c(c3ccc(CC(CC)CCCC)s3)c4s5)s6)c%10nc(c7ccccc7)c(c8ccccc8)nc9%10)s%11</t>
  </si>
  <si>
    <t xml:space="preserve">['PBDTDT(Qx-3)-T']</t>
  </si>
  <si>
    <t xml:space="preserve">{"power conversion efficiency": {"entity_name": "PCE", "entity_start": 175, "entity_end": 175, "property_value_start": 178, "property_value_end": 179, "property_numeric_value": 6.9, "property_unit": "%", "property_value_descriptor": ""}, "open circuit voltage": {"entity_name": "V_{oc}", "entity_start": 182, "entity_end": 183, "property_value_start": 185, "property_value_end": 186, "property_numeric_value": 0.94, "property_unit": "V", "property_value_descriptor": ""}, "short circuit current": {"entity_name": "J_{sc}", "entity_start": 193, "entity_end": 194, "property_value_start": 197, "property_value_end": 200, "property_numeric_value": 11.28, "property_unit": "mA cm^{-2}", "property_value_descriptor": ""}, "fill factor": {"entity_name": "FF", "entity_start": 206, "entity_end": 206, "property_value_start": 209, "property_value_end": 210, "property_numeric_value": 64.7, "property_unit": "%", "property_value_descriptor": ""}, "highest occupied molecular orbital": {"entity_name": "HOMO) energy leve", "entity_start": 112, "entity_end": 115, "property_value_start": 117, "property_value_end": 118, "property_numeric_value": -5.51, "property_unit": "eV", "property_value_descriptor": ""}, "lowest unoccupied molecular orbital": {}, "bandgap": {"entity_name": "optical bandgap", "entity_start": 90, "entity_end": 91, "property_value_start": 93, "property_value_end": 94, "property_numeric_value": 1.78, "property_unit": "eV", "property_value_descriptor": ""}, "hole mobility": {}, "electron mobility": {}, "external quantum efficiency": {}}</t>
  </si>
  <si>
    <t xml:space="preserve">10.1039/c5py00790a</t>
  </si>
  <si>
    <t xml:space="preserve">PD2TBO</t>
  </si>
  <si>
    <t xml:space="preserve">[*]c8ccc(c6c(OCCCCCCCC)c(OCCCCCCCC)c(c5ccc(c4ccc(c3c2c(=O)n(CC(CCCC)CCCCCC)c(c1ccc([*])s1)c2c(=O)n3CC(CCCC)CCCCCC)s4)s5)c7nsnc67)s8</t>
  </si>
  <si>
    <t xml:space="preserve">['PD2TBO']</t>
  </si>
  <si>
    <t xml:space="preserve">{"power conversion efficiency": {"entity_name": "PCE", "entity_start": 114, "entity_end": 114, "property_value_start": 117, "property_value_end": 118, "property_numeric_value": 5.3,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</si>
  <si>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PDTBO</t>
  </si>
  <si>
    <t xml:space="preserve">[*]c6ccc(c5c4c(=O)n(CC(CCCC)CCCCCC)c(c3ccc(c1c(OCCCCCCCC)c(OCCCCCCCC)c([*])c2nsnc12)s3)c4c(=O)n5CC(CCCC)CCCCCC)s6</t>
  </si>
  <si>
    <t xml:space="preserve">['PDTBO']</t>
  </si>
  <si>
    <t xml:space="preserve">{"power conversion efficiency": {"entity_name": "PCE", "entity_start": 140, "entity_end": 140, "property_value_start": 142, "property_value_end": 143, "property_numeric_value": 2.1,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</si>
  <si>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10.1039/c5py01771h</t>
  </si>
  <si>
    <t xml:space="preserve">PTB7-Th-T2</t>
  </si>
  <si>
    <t xml:space="preserve">{[*]c7ccc(c6ccc(c5cc4c(c1ccc(CC(CC)CCCC)s1)c2sc([*])cc2c(c3ccc(CC(CC)CCCC)s3)c4s5)s6)s7, [*]c7cc6c(c1ccc(CC(CC)CCCC)s1)c4sc(c2sc([*])c3sc(C(=O)OCC(CC)CCCC)c(F)c23)cc4c(c5ccc(CC(CC)CCCC)s5)c6s7}</t>
  </si>
  <si>
    <t xml:space="preserve">['PTB7-Th-T2']</t>
  </si>
  <si>
    <t xml:space="preserve">{"power conversion efficiency": {"entity_name": "PCE", "entity_start": 129, "entity_end": 129, "property_value_start": 132, "property_value_end": 133, "property_numeric_value": 7.05, "property_unit": "%", "property_value_descriptor": ""}, "open circuit voltage": {}, "short circuit current": {}, "fill factor": {"entity_name": "FF", "entity_start": 204, "entity_end": 204, "property_value_start": 233, "property_value_end": 234, "property_numeric_value": 7.93, "property_unit": "%", "property_value_descriptor": ""}, "highest occupied molecular orbital": {}, "lowest unoccupied molecular orbital": {}, "bandgap": {}, "hole mobility": {"entity_name": "hole mobility", "entity_start": 97, "entity_end": 98, "property_value_start": 109, "property_value_end": 118, "property_numeric_value": 0.00024900000000000004, "property_unit": "cm^{2} V^{-1} s^{-1}", "property_value_descriptor": ""}, "electron mobility": {}, "external quantum efficiency": {}}</t>
  </si>
  <si>
    <t xml:space="preserve">10.1039/c6py00082g</t>
  </si>
  <si>
    <t xml:space="preserve">PTTABDT</t>
  </si>
  <si>
    <t xml:space="preserve">[*]c%10cc9sc8c7sc6cc(c5cc4c(c1ccc(CC(CC)CCCC)s1)c2sc([*])cc2c(c3ccc(CC(CC)CCCC)s3)c4s5)sc6c7c(=O)n(CC(CCCCCCCC)CCCCCCCCCC)c(=O)c8c9s%10</t>
  </si>
  <si>
    <t xml:space="preserve">['PTTABDT']</t>
  </si>
  <si>
    <t xml:space="preserve">{"power conversion efficiency": {"entity_name": "PCE", "entity_start": 63, "entity_end": 63, "property_value_start": 65, "property_value_end": 66, "property_numeric_value": 5.46,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</si>
  <si>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10.1039/c5py01427a</t>
  </si>
  <si>
    <t xml:space="preserve">PBDTDTSi-1</t>
  </si>
  <si>
    <t xml:space="preserve">[*]c8cc7c(c1ccc(CCCCCCCC)s1)c5sc(c3sc([*])c4c2cc(C(=O)CCCCCCCC)sc2Cc34)cc5c(c6ccc(CCCCCCCC)s6)c7s8</t>
  </si>
  <si>
    <t xml:space="preserve">['PBDTDTSi-1']</t>
  </si>
  <si>
    <t xml:space="preserve">{"power conversion efficiency": {"entity_name": "power conversion efficiency", "entity_start": 140, "entity_end": 142, "property_value_start": 144, "property_value_end": 145, "property_numeric_value": 3.29, "property_unit": "%", "property_value_descriptor": ""}, "open circuit voltage": {"entity_name": "open-circuit voltage", "entity_start": 149, "entity_end": 152, "property_value_start": 154, "property_value_end": 155, "property_numeric_value": 1.07, "property_unit": "V", "property_value_descriptor": ""}, "short circuit current": {"entity_name": "short-circuit current density", "entity_start": 158, "entity_end": 162, "property_value_start": 164, "property_value_end": 167, "property_numeric_value": 7.53, "property_unit": "mA cm^{-2}", "property_value_descriptor": ""}, "fill factor": {"entity_name": "fill factor", "entity_start": 171, "entity_end": 172, "property_value_start": 174, "property_value_end": 174, "property_numeric_value": 41.0,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</si>
  <si>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10.1039/c6py00652c</t>
  </si>
  <si>
    <t xml:space="preserve">[*]c8ccc(c6ccc(c5ccc(c3ccc([*])c4nc(c1cc(CCCCCCCC)cs1)c(c2ccc(CCCCCCCC)s2)nc34)s5)c7nsnc67)s8</t>
  </si>
  <si>
    <t xml:space="preserve">0.93 V</t>
  </si>
  <si>
    <t xml:space="preserve">10.28 mA cm^{-2}</t>
  </si>
  <si>
    <t xml:space="preserve">{"power conversion efficiency": {}, "open circuit voltage": {}, "short circuit current": {}, "fill factor": {"entity_name": "FF", "entity_start": 161, "entity_end": 161, "property_value_start": 163, "property_value_end": 163, "property_numeric_value": 56.99999999999999, "property_unit": "%", "property_value_descriptor": ""}, "highest occupied molecular orbital": {}, "lowest unoccupied molecular orbital": {}, "bandgap": {"entity_name": "E_{g}", "entity_start": 50, "entity_end": 51, "property_value_start": 54, "property_value_end": 57, "property_numeric_value": 1.465, "property_unit": "eV", "property_value_descriptor": "and"}, "hole mobility": {}, "electron mobility": {}, "external quantum efficiency": {}}</t>
  </si>
  <si>
    <t xml:space="preserve">[*]c%10ccc(c8ccc(c7ccc(c6ccc(c4ccc(c1ccc([*])s1)c5nc(c2cc(CCCCCCCC)cs2)c(c3ccc(CCCCCCCC)s3)nc45)s6)s7)c9nsnc89)s%10</t>
  </si>
  <si>
    <t xml:space="preserve">{"power conversion efficiency": {}, "open circuit voltage": {"entity_name": "V_{oc}", "entity_start": 147, "entity_end": 148, "property_value_start": 150, "property_value_end": 151, "property_numeric_value": 0.8, "property_unit": "V", "property_value_descriptor": ""}, "short circuit current": {"entity_name": "J_{sc}", "entity_start": 153, "entity_end": 154, "property_value_start": 156, "property_value_end": 159, "property_numeric_value": 12.18, "property_unit": "mA cm^{-2}", "property_value_descriptor": ""}, "fill factor": {"entity_name": "FF", "entity_start": 139, "entity_end": 139, "property_value_start": 144, "property_value_end": 145, "property_numeric_value": 5.54, "property_unit": "%", "property_value_descriptor": ""}, "highest occupied molecular orbital": {"entity_name": "HOMO energy levels", "entity_start": 63, "entity_end": 65, "property_value_start": 67, "property_value_end": 70, "property_numeric_value": -5.43, "property_unit": "eV", "property_value_descriptor": "and"}, "lowest unoccupied molecular orbital": {}, "bandgap": {}, "hole mobility": {}, "electron mobility": {}, "external quantum efficiency": {}}</t>
  </si>
  <si>
    <t xml:space="preserve">10.1039/c6py00674d</t>
  </si>
  <si>
    <t xml:space="preserve">poly[2,5-bis(decyltetradecyloxy)benzene-alt-4,7-bis(thieno[3,2-b]thiophene)-5,6-difluoro-2,1,3-benzothiadiazole]</t>
  </si>
  <si>
    <t xml:space="preserve">[*]c7cc6sc(c5cc(OCC(CCCCCCCCCC)CCCCCCCCCCCC)c(c4cc3sc(c1c(F)c(F)c([*])c2nsnc12)cc3s4)cc5OCC(CCCCCCCCCC)CCCCCCCCCCCC)cc6s7</t>
  </si>
  <si>
    <t xml:space="preserve">['poly[2,5-bis(decyltetradecyloxy)benzene-alt-4,7-bis(thieno[3,2-b]thiophene)-5,6-difluoro-2,1,3-benzothiadiazole]', 'PPDTT2FBT']</t>
  </si>
  <si>
    <t xml:space="preserve">{"power conversion efficiency": {"entity_name": "PCE", "entity_start": 162, "entity_end": 162, "property_value_start": 164, "property_value_end": 165, "property_numeric_value": 6.4,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110, "entity_end": 111, "property_value_start": 115, "property_value_end": 121, "property_numeric_value": 0.1, "property_unit": "cm^{2} V^{-1} s^{-1}", "property_value_descriptor": ""}, "electron mobility": {}, "external quantum efficiency": {}}</t>
  </si>
  <si>
    <t xml:space="preserve">10.1016/j.eurpolymj.2013.02.020</t>
  </si>
  <si>
    <t xml:space="preserve">[*]c5ccc(/C=C(C#N)/c4ccc(c3cc2c(OCCCCCCCCCC)c1sc([*])cc1c(OCCCCCCCCCC)c2s3)s4)s5</t>
  </si>
  <si>
    <t xml:space="preserve">{"power conversion efficiency": {"entity_name": "power conversion efficiency", "entity_start": 121, "entity_end": 123, "property_value_start": 125, "property_value_end": 126, "property_numeric_value": 4.17, "property_unit": "%", "property_value_descriptor": ""}, "open circuit voltage": {"entity_name": "open-circuit photovoltage", "entity_start": 104, "entity_end": 107, "property_value_start": 109, "property_value_end": 110, "property_numeric_value": 0.6, "property_unit": "V", "property_value_descriptor": ""}, "short circuit current": {"entity_name": "short-circuit photocurrent", "entity_start": 93, "entity_end": 96, "property_value_start": 98, "property_value_end": 101, "property_numeric_value": 10.71, "property_unit": "mA cm^{-2}", "property_value_descriptor": ""}, "fill factor": {"entity_name": "fill factor", "entity_start": 113, "entity_end": 114, "property_value_start": 116, "property_value_end": 117, "property_numeric_value": 65.0,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</si>
  <si>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10.1016/j.eurpolymj.2013.06.008</t>
  </si>
  <si>
    <t xml:space="preserve">PBDTT-T-DTPyT</t>
  </si>
  <si>
    <t xml:space="preserve">[*]c%10cc9c(c1ccc(CC(CC)CCCC)s1)c7sc(c6cc(/C=C/c5sc(c3ccc(c2cc(CCCCCC)cs2)c4nsnc34)cc5CCCCCC)c([*])s6)cc7c(c8ccc(CC(CC)CCCC)s8)c9s%10</t>
  </si>
  <si>
    <t xml:space="preserve">['PBDTT-T-DTPyT']</t>
  </si>
  <si>
    <t xml:space="preserve">{"power conversion efficiency": {"entity_name": "power conversion efficiencies", "entity_start": 193, "entity_end": 195, "property_value_start": 200, "property_value_end": 201, "property_numeric_value": 2.08, "property_unit": "%", "property_value_descriptor": ""}, "open circuit voltage": {}, "short circuit current": {}, "fill factor": {}, "highest occupied molecular orbital": {"entity_name": "HOMO energy", "entity_start": 82, "entity_end": 83, "property_value_start": 86, "property_value_end": 89, "property_numeric_value": -5.3, "property_unit": "eV", "property_value_descriptor": "to"}, "lowest unoccupied molecular orbital": {}, "bandgap": {}, "hole mobility": {}, "electron mobility": {}, "external quantum efficiency": {}}</t>
  </si>
  <si>
    <t xml:space="preserve">10.1016/j.eurpolymj.2014.01.008</t>
  </si>
  <si>
    <t xml:space="preserve">PF-PR</t>
  </si>
  <si>
    <t xml:space="preserve">[*]n1c(=O)c2ccc3c5ccc6c(=O)n([*])c(=O)c7ccc(c4ccc(c1=O)c2c34)c5c67</t>
  </si>
  <si>
    <t xml:space="preserve">['PF-PR']</t>
  </si>
  <si>
    <t xml:space="preserve">['PCBM', '[6,6]-phenyl C61-butyric acid methyl ester']</t>
  </si>
  <si>
    <t xml:space="preserve">{"power conversion efficiency": {"entity_name": "PCE", "entity_start": 301, "entity_end": 301, "property_value_start": 304, "property_value_end": 306, "property_numeric_value": 0.26, "property_unit": "%", "property_value_descriptor": "-"}, "open circuit voltage": {"entity_name": "V_{oc}", "entity_start": 265, "entity_end": 267, "property_value_start": 269, "property_value_end": 271, "property_numeric_value": 0.55, "property_unit": "V", "property_value_descriptor": "-"}, "short circuit current": {"entity_name": "J_{sc}", "entity_start": 279, "entity_end": 281, "property_value_start": 283, "property_value_end": 287, "property_numeric_value": 1.13, "property_unit": "mA cm^{-2}", "property_value_descriptor": "-"}, "fill factor": {"entity_name": "fill factor", "entity_start": 290, "entity_end": 291, "property_value_start": 293, "property_value_end": 294, "property_numeric_value": 44.0, "property_unit": "%", "property_value_descriptor": "-"}, "highest occupied molecular orbital": {}, "lowest unoccupied molecular orbital": {}, "bandgap": {}, "hole mobility": {}, "electron mobility": {}, "external quantum efficiency": {}}</t>
  </si>
  <si>
    <t xml:space="preserve">10.1016/j.eurpolymj.2015.11.017</t>
  </si>
  <si>
    <t xml:space="preserve">PBDT-D70-T30</t>
  </si>
  <si>
    <t xml:space="preserve">{[*]c%11cc%10c(c1ccc(CC(CC)CCCC)s1)c8sc(c2cc7c(s2)c6c3nsnc3c5c4sc([*])cc4n(CC(CC)CCCC)c5c6n7CC(CC)CCCC)cc8c(c9ccc(CC(CC)CCCC)s9)c%10s%11,[*]c9ccc(c8c7c(=O)n(CC(CC)CCCC)c(c6ccc(c5cc4c(c1ccc(CC(CC)CCCC)s1)c2sc([*])cc2c(c3ccc(CC(CC)CCCC)s3)c4s5)s6)c7c(=O)n8CC(CC)CCCC)s9}</t>
  </si>
  <si>
    <t xml:space="preserve">['PBDT-D70-T30']</t>
  </si>
  <si>
    <t xml:space="preserve">='PC_{61}BM'</t>
  </si>
  <si>
    <t xml:space="preserve">{"power conversion efficiency": {"entity_name": "PCE", "entity_start": 284, "entity_end": 284, "property_value_start": 286, "property_value_end": 287, "property_numeric_value": 4.31, "property_unit": "%", "property_value_descriptor": ""}, "open circuit voltage": {}, "short circuit current": {"entity_name": "J_{sc}", "entity_start": 291, "entity_end": 292, "property_value_start": 294, "property_value_end": 297, "property_numeric_value": 11.91, "property_unit": "mA cm^{-2}", "property_value_descriptor": ""}, "fill factor": {"entity_name": "FF", "entity_start": 241, "entity_end": 241, "property_value_start": 244, "property_value_end": 244, "property_numeric_value": 42.0,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</si>
  <si>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PBDT-T</t>
  </si>
  <si>
    <t xml:space="preserve">[*]c%11cc%10c(c1ccc(CC(CC)CCCC)s1)c8sc(c2cc7c(s2)c6c3nsnc3c5c4sc([*])cc4n(CC(CC)CCCC)c5c6n7CC(CC)CCCC)cc8c(c9ccc(CC(CC)CCCC)s9)c%10s%11</t>
  </si>
  <si>
    <t xml:space="preserve">['PBDT-T']</t>
  </si>
  <si>
    <t xml:space="preserve">5.92 mA cm^{-2}</t>
  </si>
  <si>
    <t xml:space="preserve">10.1016/j.eurpolymj.2010.09.015</t>
  </si>
  <si>
    <t xml:space="preserve">PF-MR15-DBT35</t>
  </si>
  <si>
    <t xml:space="preserve">{[*]c%20ccc%19c%18ccc(c%17ccc%16c1ccc([*])cc1C(c8ccc(OCc7ccc(c5ccc(c4ccc(N(c2ccccc2)c3ccccc3)cc4)c6nsnc56)s7)cc8)(c%15ccc(OCc%14ccc(c%12ccc(c%11ccc(N(c9ccccc9)c%10ccccc%10)cc%11)c%13nsnc%12%13)s%14)cc%15)c%16c%17)cc%18C(CCCCCCCC)(CCCCCCCC)c%19c%20,[*]c7ccc6c5ccc(c4ccc(c2ccc(c1ccc([*])s1)c3nsnc23)s4)cc5C(CCCCCCCC)(CCCCCCCC)c6c7}</t>
  </si>
  <si>
    <t xml:space="preserve">['PF-MR15-DBT35']</t>
  </si>
  <si>
    <t xml:space="preserve">{"power conversion efficiency": {}, "open circuit voltage": {}, "short circuit current": {}, "fill factor": {}, "highest occupied molecular orbital": {}, "lowest unoccupied molecular orbital": {}, "bandgap": {"entity_name": "band gaps", "entity_start": 78, "entity_end": 79, "property_value_start": 81, "property_value_end": 84, "property_numeric_value": 1.975, "property_unit": "eV", "property_value_descriptor": "to"}, "hole mobility": {}, "electron mobility": {}, "external quantum efficiency": {}}</t>
  </si>
  <si>
    <t xml:space="preserve">10.1016/j.eurpolymj.2016.06.013</t>
  </si>
  <si>
    <t xml:space="preserve">PIDTBDT(ID)_{2}</t>
  </si>
  <si>
    <t xml:space="preserve">[*]c1cc3c(s1)c2cc%22c(cc2C3(c4ccc(CCCCCC)cc4)c5ccc(CCCCCC)cc5)c%21sc(c%20cc%19c(c%11ccc(/C=C/c%10ccc(c6ccc9c(c6)c(=c7c(=O)n(CC(CCCCCCCC)CCCCCCCCCC)c8ccccc78)c(=O)n9CC(CCCCCCCC)CCCCCCCCCC)s%10)s%11)c%12sc([*])cc%12c(c%18ccc(/C=C/c%17ccc(c%16ccc%15c(=c%13c(=O)n(CC(CCCCCCCC)CCCCCCCCCC)c%14ccccc%13%14)c(=O)n(CC(CCCCCCCC)CCCCCCCCCC)c%15c%16)s%17)s%18)c%19s%20)cc%21C%22(c%23ccc(CCCCCC)cc%23)c%24ccc(CCCCCC)cc%24</t>
  </si>
  <si>
    <t xml:space="preserve">['PIDTBDT(ID)_{2}']</t>
  </si>
  <si>
    <t xml:space="preserve">{"power conversion efficiency": {"entity_name": "PCE", "entity_start": 185, "entity_end": 185, "property_value_start": 187, "property_value_end": 188, "property_numeric_value": 2.5, "property_unit": "%", "property_value_descriptor": ""}, "open circuit voltage": {"entity_name": "V_{OC}", "entity_start": 192, "entity_end": 193, "property_value_start": 195, "property_value_end": 196, "property_numeric_value": 0.93, "property_unit": "V", "property_value_descriptor": ""}, "short circuit current": {"entity_name": "J_{SC}", "entity_start": 199, "entity_end": 200, "property_value_start": 202, "property_value_end": 204, "property_numeric_value": 6.34,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</si>
  <si>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PIDTBDTID</t>
  </si>
  <si>
    <t xml:space="preserve">[*]c1cc3c(s1)c2cc%17c(cc2C3(c4ccc(CCCCCC)cc4)c5ccc(CCCCCC)cc5)c%16sc(c%15cc%14c(c%11ccc(/C=C/c%10ccc(c6ccc9c(c6)c(=c7c(=O)n(CC(CCCCCCCC)CCCCCCCCCC)c8ccccc78)c(=O)n9CC(CCCCCCCC)CCCCCCCCCC)s%10)s%11)c%12sc([*])cc%12c(c%13ccc(C)s%13)c%14s%15)cc%16C%17(c%18ccc(CCCCCC)cc%18)c%19ccc(CCCCCC)cc%19</t>
  </si>
  <si>
    <t xml:space="preserve">['PIDTBDTID']</t>
  </si>
  <si>
    <t xml:space="preserve">0.87 V</t>
  </si>
  <si>
    <t xml:space="preserve">7.24 mA cm^{-2}</t>
  </si>
  <si>
    <t xml:space="preserve">10.1016/j.eurpolymj.2006.12.008</t>
  </si>
  <si>
    <t xml:space="preserve">[*]c3ccc(c1sc([*])cc1/C=C/c2cc(OC)c(OCCCCCCCC)c(OC)c2)s3</t>
  </si>
  <si>
    <t xml:space="preserve">{"power conversion efficiency": {"entity_name": "power conversion efficiency", "entity_start": 244, "entity_end": 246, "property_value_start": 248, "property_value_end": 249, "property_numeric_value": 1.45,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</si>
  <si>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10.1016/j.eurpolymj.2009.12.023</t>
  </si>
  <si>
    <t xml:space="preserve">CdSe-OH</t>
  </si>
  <si>
    <t xml:space="preserve">['CdSe-OH']</t>
  </si>
  <si>
    <t xml:space="preserve">{"power conversion efficiency": {"entity_name": "power conversion efficiency", "entity_start": 262, "entity_end": 264, "property_value_start": 266, "property_value_end": 267, "property_numeric_value": 0.02,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</si>
  <si>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10.1016/j.eurpolymj.2010.01.015</t>
  </si>
  <si>
    <t xml:space="preserve">zinc porphyrin-oligothiophene</t>
  </si>
  <si>
    <t xml:space="preserve">[*]c%14ccc(c6c8ccc9c(c1ccc(OCCCCCCCC)cc1)c%12ccc%13c(c4ccc(c3ccc(c2cc(CCCCCC)c([*])s2)s3)cc4)c%11ccc%10c(c5ccc(OCCCCCCCC)cc5)c7ccc6[n+]7[Zn](n89)(n%10%11)[n+]%12%13)cc%14</t>
  </si>
  <si>
    <t xml:space="preserve">['zinc porphyrin-oligothiophene', 'P-POT']</t>
  </si>
  <si>
    <t xml:space="preserve">{"power conversion efficiency": {"entity_name": "power conversion efficiencies", "entity_start": 179, "entity_end": 181, "property_value_start": 187, "property_value_end": 188, "property_numeric_value": 0.18,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</si>
  <si>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P-PTT</t>
  </si>
  <si>
    <t xml:space="preserve">[*]c%15ccc(c7c9ccc%10c(c1ccc(OCCCCCCCC)cc1)c%13ccc%14c(c5ccc(c4ccc(c3ccc(c2ccc([*])s2)s3)s4)cc5)c%12ccc%11c(c6ccc(OCCCCCCCC)cc6)c8ccc7[n+]8[Zn](n9%10)(n%11%12)[n+]%13%14)cc%15</t>
  </si>
  <si>
    <t xml:space="preserve">['zinc porphyrin-terthiophene','P-PTT']</t>
  </si>
  <si>
    <t xml:space="preserve">10.1016/j.eurpolymj.2010.05.001</t>
  </si>
  <si>
    <t xml:space="preserve">PThBTD_{m}Cz_{n}</t>
  </si>
  <si>
    <t xml:space="preserve">{[*]c8ccc(c7ccc(c6sc(c5sc(c3ccc(c2cc(CCCCCCCC)c(c1cc(CCCCCCCC)c([*])s1)s2)c4nsnc34)cc5CCCCCCCC)cc6CCCCCCCCC)s7)s8,[*]c5ccc4c3ccc(c2ccc(c1ccc([*])s1)s2)cc3n(CCCCCCCC)c4c5}</t>
  </si>
  <si>
    <t xml:space="preserve">{"power conversion efficiency": {"entity_name": "power conversion efficiency", "entity_start": 185, "entity_end": 187, "property_value_start": 189, "property_value_end": 192, "property_numeric_value": 1.15, "property_unit": "%", "property_value_descriptor": "-"}, "open circuit voltage": {"entity_name": "V_{oc}", "entity_start": 194, "entity_end": 195, "property_value_start": 197, "property_value_end": 200, "property_numeric_value": 0.66, "property_unit": "V", "property_value_descriptor": "-"},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</si>
  <si>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10.1016/j.eurpolymj.2014.07.006</t>
  </si>
  <si>
    <t xml:space="preserve">PDTSffBT</t>
  </si>
  <si>
    <t xml:space="preserve">[*]c1cc5c(s1)c4sc(c2c(F)c(F)c([*])c3nsnc23)cc4[Si]5(CCCCCCCCCCCC)CCCCCCCCCCCC</t>
  </si>
  <si>
    <t xml:space="preserve">['PDTSffBT']</t>
  </si>
  <si>
    <t xml:space="preserve">{"power conversion efficiency": {"entity_name": "PCE", "entity_start": 242, "entity_end": 242, "property_value_start": 250, "property_value_end": 251, "property_numeric_value": 1.64, "property_unit": "%", "property_value_descriptor": ""}, "open circuit voltage": {"entity_name": "V_{OC}", "entity_start": 217, "entity_end": 218, "property_value_start": 221, "property_value_end": 222, "property_numeric_value": 0.74, "property_unit": "V", "property_value_descriptor": ""}, "short circuit current": {"entity_name": "J_{SC}", "entity_start": 201, "entity_end": 203, "property_value_start": 205, "property_value_end": 209, "property_numeric_value": 8.82, "property_unit": "mA/cm^{2}", "property_value_descriptor": ""}, "fill factor": {"entity_name": "FF", "entity_start": 229, "entity_end": 229, "property_value_start": 232, "property_value_end": 233, "property_numeric_value": 45.0, "property_unit": "%", "property_value_descriptor": ""}, "highest occupied molecular orbital": {"entity_name": "HOMO", "entity_start": 85, "entity_end": 85, "property_value_start": 88, "property_value_end": 89, "property_numeric_value": -5.46, "property_unit": "eV", "property_value_descriptor": ""}, "lowest unoccupied molecular orbital": {}, "bandgap": {"entity_name": "E_{g}", "entity_start": 69, "entity_end": 70, "property_value_start": 72, "property_value_end": 73, "property_numeric_value": 1.54, "property_unit": "eV", "property_value_descriptor": ""}, "hole mobility": {}, "electron mobility": {}, "external quantum efficiency": {}}</t>
  </si>
  <si>
    <t xml:space="preserve">10.1016/j.eurpolymj.2014.05.011</t>
  </si>
  <si>
    <t xml:space="preserve">PBDTT-DPP-TDTBT</t>
  </si>
  <si>
    <t xml:space="preserve">[*]c%20cc%19c(c1ccc(CC(CC)CCCC)s1)c%17sc(c%16ccc(c%15c%14c(=O)n(CC(CC)CCCC)c(c%13ccc(c%12cc%11c(c2ccc(CC(CC)CCCC)s2)c9sc(c8cc(/C=C/c7ccc(c6sc(c4ccc(c3cc(CCCCCC)cs3)c5nsnc45)cc6CCCCCC)s7)c([*])s8)cc9c(c%10ccc(CC(CC)CCCC)s%10)c%11s%12)s%13)c%14c(=O)n%15CC(CC)CCCC)s%16)cc%17c(c%18ccc(CC(CC)CCCC)s%18)c%19s%20</t>
  </si>
  <si>
    <t xml:space="preserve">['PBDTT-DPP-TDTBT']</t>
  </si>
  <si>
    <t xml:space="preserve">{"power conversion efficiency": {"entity_name": "power conversion efficiency", "entity_start": 209, "entity_end": 211, "property_value_start": 213, "property_value_end": 214, "property_numeric_value": 4.85,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</si>
  <si>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10.1016/j.eurpolymj.2016.03.025</t>
  </si>
  <si>
    <t xml:space="preserve">PTF2</t>
  </si>
  <si>
    <t xml:space="preserve">[*]c%11cc%10c(c1ccc(CCCCCCCC)s1)c8sc(c6ccc([*])c7nc(c3ccc(/C=N/c2c(F)cccc2F)[nH]3)c(c5ccc(/C=N/c4c(F)cccc4F)[nH]5)nc67)cc8c(c9ccc(CCCCCCCC)s9)c%10s%11</t>
  </si>
  <si>
    <t xml:space="preserve">['PTF2']</t>
  </si>
  <si>
    <t xml:space="preserve">8.7 mA cm^{-2}</t>
  </si>
  <si>
    <t xml:space="preserve">{"power conversion efficiency": {"entity_name": "power conversion efficiency", "entity_start": 133, "entity_end": 135, "property_value_start": 137, "property_value_end": 138, "property_numeric_value": 2.13, "property_unit": "%", "property_value_descriptor": ""}, "open circuit voltage": {}, "short circuit current": {}, "fill factor": {"entity_name": "fill factor", "entity_start": 179, "entity_end": 180, "property_value_start": 191, "property_value_end": 191, "property_numeric_value": 34.0, "property_unit": "%", "property_value_descriptor": ""}, "highest occupied molecular orbital": {}, "lowest unoccupied molecular orbital": {}, "bandgap": {"entity_name": "band gaps", "entity_start": 108, "entity_end": 109, "property_value_start": 114, "property_value_end": 115, "property_numeric_value": 1.14, "property_unit": "eV", "property_value_descriptor": ""}, "hole mobility": {}, "electron mobility": {}, "external quantum efficiency": {}}</t>
  </si>
  <si>
    <t xml:space="preserve">10.1016/j.eurpolymj.2019.08.032</t>
  </si>
  <si>
    <t xml:space="preserve">PTBF_{DO}-BDD</t>
  </si>
  <si>
    <t xml:space="preserve">[*]c%10ccc(c8sc(c6ccc(c5cc4c(c1ccc(CCCCCCCCCCCC)s1)c2sc([*])cc2c(c3ccc(CCCCCCCCCCCC)s3)c4o5)s6)c9c(=O)c7c(CC(CC)CCCC)sc(CC(CC)CCCC)c7c(=O)c89)s%10</t>
  </si>
  <si>
    <t xml:space="preserve">['PTBF_{DO}-BDD']</t>
  </si>
  <si>
    <t xml:space="preserve">{"power conversion efficiency": {"entity_name": "PCE", "entity_start": 83, "entity_end": 83, "property_value_start": 86, "property_value_end": 87, "property_numeric_value": 7.15, "property_unit": "%", "property_value_descriptor": ""}, "open circuit voltage": {"entity_name": "V_{OC}", "entity_start": 98, "entity_end": 99, "property_value_start": 101, "property_value_end": 102, "property_numeric_value": 0.803, "property_unit": "V", "property_value_descriptor": ""}, "short circuit current": {"entity_name": "J_{SC}", "entity_start": 104, "entity_end": 105, "property_value_start": 107, "property_value_end": 110, "property_numeric_value": 14.71, "property_unit": "mA cm^{-2}", "property_value_descriptor": ""}, "fill factor": {"entity_name": "FF", "entity_start": 113, "entity_end": 113, "property_value_start": 115, "property_value_end": 116, "property_numeric_value": 60.57,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</si>
  <si>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10.1002/pola.22745</t>
  </si>
  <si>
    <t xml:space="preserve">[*]c7ccc(c6cc(CCCCCC)c(c5ccc(c3ccc([*])c4nc(CCc1ccc(OC(CC)CCCCC)cc1)c(CCc2ccc(OC(CC)CCCCC)cc2)nc34)s5)s6)s7</t>
  </si>
  <si>
    <t xml:space="preserve">{"power conversion efficiency": {"entity_name": "power conversion efficiencies", "entity_start": 158, "entity_end": 160, "property_value_start": 186, "property_value_end": 187, "property_numeric_value": 0.57, "property_unit": "%", "property_value_descriptor": ""}, "open circuit voltage": {}, "short circuit current": {}, "fill factor": {}, "highest occupied molecular orbital": {}, "lowest unoccupied molecular orbital": {}, "bandgap": {"entity_name": "bandgaps", "entity_start": 65, "entity_end": 65, "property_value_start": 77, "property_value_end": 78, "property_numeric_value": 1.58, "property_unit": "eV", "property_value_descriptor": ""}, "hole mobility": {}, "electron mobility": {}, "external quantum efficiency": {}}</t>
  </si>
  <si>
    <t xml:space="preserve">[*]c5ccc(c3ccc([*])c4nc(/C=C/c1ccc(OC(CC)CCCC)cc1)c(/C=C/c2ccc(OC(CC)CCCC)cc2)nc34)s5</t>
  </si>
  <si>
    <t xml:space="preserve">[*]CCc7ccc(N(c5ccc(CCc3ccc([*])c4nc(/C=C/c1ccc(OC(CC)CCCC)cc1)c(/C=C/c2ccc(OC(CC)CCCC)cc2)nc34)cc5)c6ccc(OCCCCCCCC)cc6)cc7</t>
  </si>
  <si>
    <t xml:space="preserve">[*]CCc5cc(OC)c(CCc3ccc([*])c4nc(/C=C/c1ccc(OC(CC)CCCC)cc1)c(/C=C/c2ccc(OC(CC)CCCC)cc2)nc34)cc5OC(CC)CCCC</t>
  </si>
  <si>
    <t xml:space="preserve">10.1002/pola.21581</t>
  </si>
  <si>
    <t xml:space="preserve">P3DOPVT</t>
  </si>
  <si>
    <t xml:space="preserve">[*]c2cc(/C=C/c1ccc(OCCCCCCCC)c(OCCCCCCCC)c1)c([*])s2</t>
  </si>
  <si>
    <t xml:space="preserve">['poly{3-[2-(3,4-dioctyloxy-phenyl)-vinyl]-thiophene}','P3DOPVT']</t>
  </si>
  <si>
    <t xml:space="preserve">{"power conversion efficiency": {}, "open circuit voltage": {}, "short circuit current": {}, "fill factor": {}, "highest occupied molecular orbital": {}, "lowest unoccupied molecular orbital": {}, "bandgap": {"entity_name": "bandgaps", "entity_start": 109, "entity_end": 109, "property_value_start": 131, "property_value_end": 132, "property_numeric_value": 2.36, "property_unit": "eV", "property_value_descriptor": ""}, "hole mobility": {}, "electron mobility": {}, "external quantum efficiency": {}}</t>
  </si>
  <si>
    <t xml:space="preserve">poly{3-[2-(3,5-dimethoxy-4-octyloxy-phenyl)-vinyl]-thiophene}</t>
  </si>
  <si>
    <t xml:space="preserve">[*]c2cc(/C=C/c1cc(OC)c(OCCCCCCCC)c(OC)c1)c([*])s2</t>
  </si>
  <si>
    <t xml:space="preserve">['poly{3-[2-(3,5-dimethoxy-4-octyloxy-phenyl)-vinyl]-thiophene}', 'P3DMOPVT']</t>
  </si>
  <si>
    <t xml:space="preserve">{"power conversion efficiency": {"entity_name": "power conversion efficiency", "entity_start": 228, "entity_end": 230, "property_value_start": 232, "property_value_end": 233, "property_numeric_value": 1.63,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</si>
  <si>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P3MOPVT</t>
  </si>
  <si>
    <t xml:space="preserve">[*]c2cc(/C=C/c1ccc(OCCCCCCCC)c(OC)c1)c([*])s2</t>
  </si>
  <si>
    <t xml:space="preserve">['P3MOPVT']</t>
  </si>
  <si>
    <t xml:space="preserve">P3OPVT</t>
  </si>
  <si>
    <t xml:space="preserve">[*]c2cc(/C=C/c1ccc(OCCCCCCCC)cc1)c([*])s2</t>
  </si>
  <si>
    <t xml:space="preserve">['P3OPVT']</t>
  </si>
  <si>
    <t xml:space="preserve">10.1002/pola.23582</t>
  </si>
  <si>
    <t xml:space="preserve">[*]c9ccc(N(c1ccc(C)cc1)c7ccc(N(c2ccc(C)cc2)c6ccc(c5ccc4c3ccc([*])cc3C(CCCCCCCC)(CCCCCCCC)c4c5)cc6)c8nsnc78)cc9</t>
  </si>
  <si>
    <t xml:space="preserve">['2']</t>
  </si>
  <si>
    <t xml:space="preserve">6.6-phenyl C_{61}-butyric acid methyl ester</t>
  </si>
  <si>
    <t xml:space="preserve">['6.6-phenyl C_{61}-butyric acid methyl ester']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</si>
  <si>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bandgaps", "entity_start": 31, "entity_end": 32, "property_value_start": 34, "property_value_end": 37, "property_numeric_value": 1.9849999999999999, "property_unit": "eV", "property_value_descriptor": "-"}, "hole mobility": {}, "electron mobility": {}, "external quantum efficiency": {}}</t>
  </si>
  <si>
    <t xml:space="preserve">copolymers 1</t>
  </si>
  <si>
    <t xml:space="preserve">[*]c9ccc(N(c1ccccc1)c7ccc(N(c2ccccc2)c6ccc(c5ccc4c3ccc([*])cc3C(CCCCCCCC)(CCCCCCCC)c4c5)cc6)c8nsnc78)cc9</t>
  </si>
  <si>
    <t xml:space="preserve">['copolymers 1']</t>
  </si>
  <si>
    <t xml:space="preserve">{"power conversion efficiency": {"entity_name": "power conversion efficiencies", "entity_start": 67, "entity_end": 69, "property_value_start": 83, "property_value_end": 84, "property_numeric_value": 0.42,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</si>
  <si>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10.1002/pola.24002</t>
  </si>
  <si>
    <t xml:space="preserve">PTPTDTQ0.55</t>
  </si>
  <si>
    <t xml:space="preserve">{[*]c%10ccc(c1cc3c(s1)c2cc7c(cc2C3(c4ccc(CCCCCC)cc4)c5ccc(CCCCCC)cc5)c6sc([*])cc6C7(c8ccc(CCCCCC)cc8)c9ccc(CCCCCC)cc9)s%10,[*]c7ccc(c6ccc(c4ccc(c1ccc([*])s1)c5nc(c2ccc(OCC(CC)CCCC)cc2)c(c3ccc(OCC(CC)CCCC)cc3)nc45)s6)s7}</t>
  </si>
  <si>
    <t xml:space="preserve">['PTPTDTQ0.55']</t>
  </si>
  <si>
    <t xml:space="preserve">['PC_{71}BM', '1-(3-methoxycarbonyl)propyl-1-phenyl-[6,6]-C-71']</t>
  </si>
  <si>
    <t xml:space="preserve">{"power conversion efficiency": {"entity_name": "PCE", "entity_start": 225, "entity_end": 225, "property_value_start": 230, "property_value_end": 231, "property_numeric_value": 3.71,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101, "entity_end": 102, "property_value_start": 131, "property_value_end": 140, "property_numeric_value": 0.0047, "property_unit": "cm^{2} V^{-1} s^{-1}", "property_value_descriptor": ""}, "electron mobility": {}, "external quantum efficiency": {}}</t>
  </si>
  <si>
    <t xml:space="preserve">PTPTDTQ0.34DPP0.14</t>
  </si>
  <si>
    <t xml:space="preserve">{[*]c%10ccc(c1cc3c(s1)c2cc7c(cc2C3(c4ccc(CCCCCC)cc4)c5ccc(CCCCCC)cc5)c6sc([*])cc6C7(c8ccc(CCCCCC)cc8)c9ccc(CCCCCC)cc9)s%10,[*]c7ccc(c6ccc(c4ccc(c1ccc([*])s1)c5nc(c2ccc(OCC(CC)CCCC)cc2)c(c3ccc(OCC(CC)CCCC)cc3)nc45)s6)s7,[*]c5ccc(c4ccc(c3c2c(=O)n(CC(CC)CCCC)c(c1ccc([*])s1)c2c(=O)n3CC(CC)CCCC)s4)s5}</t>
  </si>
  <si>
    <t xml:space="preserve">['PTPTDTQ0.34DPP0.14']</t>
  </si>
  <si>
    <t xml:space="preserve">PTPTDTQ0.26DPP0.34</t>
  </si>
  <si>
    <t xml:space="preserve">['PTPTDTQ0.26DPP0.34']</t>
  </si>
  <si>
    <t xml:space="preserve">10.1002/pola.23219</t>
  </si>
  <si>
    <t xml:space="preserve">POC10DTQ(EHP)</t>
  </si>
  <si>
    <t xml:space="preserve">[*]c7ccc(c5ccc(c2ccc(c1cc(OCCCCCCCCCC)c([*])cc1OCCCCCCCCCC)s2)c6nc(c3ccc(OC(CC)CCCC)cc3)c(c4ccc(OC(CC)CCCC)cc4)nc56)s7</t>
  </si>
  <si>
    <t xml:space="preserve">['POC10DTQ(EHP)']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</si>
  <si>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mobilities", "entity_start": 112, "entity_end": 113, "property_value_start": 148, "property_value_end": 151, "property_numeric_value": 4.72e-05, "property_unit": "cm^{2} V^{-1} s^{-1}", "property_value_descriptor": ""}, "electron mobility": {}, "external quantum efficiency": {}}</t>
  </si>
  <si>
    <t xml:space="preserve">PFODTQ(EHP)</t>
  </si>
  <si>
    <t xml:space="preserve">[*]c9ccc8c7ccc(c6ccc(c4ccc(c1ccc([*])s1)c5nc(c2ccc(OC(CC)CCCC)cc2)c(c3ccc(OC(CC)CCCC)cc3)nc45)s6)cc7C(CCCCCCCC)(CCCCCCCC)c8c9</t>
  </si>
  <si>
    <t xml:space="preserve">['PFODTQ(EHP)']</t>
  </si>
  <si>
    <t xml:space="preserve">{"power conversion efficiency": {"entity_name": "power conversion efficiencies", "entity_start": 240, "entity_end": 242, "property_value_start": 251, "property_value_end": 252, "property_numeric_value": 0.43,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mobilities", "entity_start": 112, "entity_end": 113, "property_value_start": 154, "property_value_end": 163, "property_numeric_value": 0.0009310000000000001, "property_unit": "cm^{2} V^{-1} s^{-1}", "property_value_descriptor": ""}, "electron mobility": {}, "external quantum efficiency": {}}</t>
  </si>
  <si>
    <t xml:space="preserve">PThQx(EHP)</t>
  </si>
  <si>
    <t xml:space="preserve">[*]c5ccc(c3ccc([*])c4nc(c1ccc(OC(CC)CCCC)cc1)c(c2ccc(OC(CC)CCCC)cc2)nc34)s5</t>
  </si>
  <si>
    <t xml:space="preserve">['PThQx(EHP)']</t>
  </si>
  <si>
    <t xml:space="preserve">{"power conversion efficiency": {"entity_name": "power conversion efficiencies", "entity_start": 240, "entity_end": 242, "property_value_start": 248, "property_value_end": 248, "property_numeric_value": 79.0,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</si>
  <si>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PDTQ(EHP)</t>
  </si>
  <si>
    <t xml:space="preserve">[*]c6ccc(c4ccc(c1ccc([*])s1)c5nc(c2ccc(OC(CC)CCCC)cc2)c(c3ccc(OC(CC)CCCC)cc3)nc45)s6</t>
  </si>
  <si>
    <t xml:space="preserve">['PDTQ(EHP)']</t>
  </si>
  <si>
    <t xml:space="preserve">10.1002/pola.24101</t>
  </si>
  <si>
    <t xml:space="preserve">[*]c3ccc2c1cc9c(cc1C(CCCCCCCC)(CCCCCCCC)c2c3)c8ccc(c7ccc(c5ccc(c4ccc([*])s4)n5c6c(C(C)C)cccc6C(C)C)s7)cc8C9(CCCCCCCC)CCCCCCCC</t>
  </si>
  <si>
    <t xml:space="preserve">["poly[2,8-(6,6′,12,12′-tetraoctyl-6,12-dihydroindeno-[1,2b]fluorene- alt-5(1-(2,6-diisopropylphenyl)-2,5-di(2-thienyl)pyrrole)", 'P1']</t>
  </si>
  <si>
    <t xml:space="preserve">3.39 mA/cm^{2}</t>
  </si>
  <si>
    <t xml:space="preserve">{"power conversion efficiency": {"entity_name": "PCE", "entity_start": 131, "entity_end": 131, "property_value_start": 134, "property_value_end": 135, "property_numeric_value": 1.12,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</si>
  <si>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10.1002/pola.22136</t>
  </si>
  <si>
    <t xml:space="preserve">TP-BT</t>
  </si>
  <si>
    <t xml:space="preserve">[*]/C=C/c5ccc(N(c3ccc(/C=C/c1ccc([*])c2nsnc12)cc3)c4ccc(CCCCCCCCC)cc4)cc5</t>
  </si>
  <si>
    <t xml:space="preserve">['TP-BT']</t>
  </si>
  <si>
    <t xml:space="preserve">{"power conversion efficiency": {"entity_name": "PCE", "entity_start": 162, "entity_end": 162, "property_value_start": 189, "property_value_end": 190, "property_numeric_value": 0.52,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</si>
  <si>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DP-BT</t>
  </si>
  <si>
    <t xml:space="preserve">[*]/C=C/c4ccc(N(CCCCCCCC)c3ccc(/C=C/c1ccc([*])c2nsnc12)cc3)cc4</t>
  </si>
  <si>
    <t xml:space="preserve">['DP-BT']</t>
  </si>
  <si>
    <t xml:space="preserve">PV-BT</t>
  </si>
  <si>
    <t xml:space="preserve">[*]/C=C/c4cc(OCC(CC)CCCC)c(c3ccc(/C=C/c1ccc([*])c2nsnc12)cc3)cc4OC</t>
  </si>
  <si>
    <t xml:space="preserve">['PV-BT']</t>
  </si>
  <si>
    <t xml:space="preserve">10.1002/pola.23312</t>
  </si>
  <si>
    <t xml:space="preserve">[*]c8ccc(/C(C#N)=C/c1cc7c(s1)c6sc(/C=C(C#N)/c5ccc(c2cc4c(s2)c3sc([*])cc3C4(CC(CC)CCCC)CC(CC)CCCC)cc5)cc6C7(CC(CC)CCCC)CC(CC)CCCC)cc8</t>
  </si>
  <si>
    <t xml:space="preserve">{"power conversion efficiency": {"entity_name": "PCE", "entity_start": 266, "entity_end": 266, "property_value_start": 269, "property_value_end": 270, "property_numeric_value": 0.77, "property_unit": "%", "property_value_descriptor": ""}, "open circuit voltage": {"entity_name": "open-circuit voltage", "entity_start": 232, "entity_end": 235, "property_value_start": 237, "property_value_end": 238, "property_numeric_value": 0.84, "property_unit": "V", "property_value_descriptor": ""}, "short circuit current": {"entity_name": "short-circuit current", "entity_start": 241, "entity_end": 244, "property_value_start": 246, "property_value_end": 250, "property_numeric_value": 2.36, "property_unit": "mA/cm^{2}", "property_value_descriptor": ""}, "fill factor": {"entity_name": "fill factor", "entity_start": 254, "entity_end": 255, "property_value_start": 257, "property_value_end": 257, "property_numeric_value": 38.0, "property_unit": "%", "property_value_descriptor": ""}, "highest occupied molecular orbital": {}, "lowest unoccupied molecular orbital": {}, "bandgap": {"entity_name": "optical band gaps", "entity_start": 60, "entity_end": 62, "property_value_start": 64, "property_value_end": 67, "property_numeric_value": 1.54, "property_unit": "eV", "property_value_descriptor": "-"}, "hole mobility": {}, "electron mobility": {}, "external quantum efficiency": {}}</t>
  </si>
  <si>
    <t xml:space="preserve">10.1002/pola.23726</t>
  </si>
  <si>
    <t xml:space="preserve">Oct-CPDT-Se2</t>
  </si>
  <si>
    <t xml:space="preserve">[*]c1cc5c(s1)c4sc(c3ccc(c2ccc([*])[se]2)[se]3)cc4C5(CCCCCCCC)CCCCCCCC</t>
  </si>
  <si>
    <t xml:space="preserve">['Oct-CPDT-Se2']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</si>
  <si>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75, "entity_end": 76, "property_value_start": 98, "property_value_end": 102, "property_numeric_value": 0.0013000000000000002, "property_unit": "cm^{2}/Vs", "property_value_descriptor": ""}, "electron mobility": {}, "external quantum efficiency": {}}</t>
  </si>
  <si>
    <t xml:space="preserve">EHex-CPDT-Se2</t>
  </si>
  <si>
    <t xml:space="preserve">[*]c1cc5c(s1)c4sc(c3ccc(c2ccc([*])[se]2)[se]3)cc4C5(CC(CC)CCCC)CC(CC)CCCC</t>
  </si>
  <si>
    <t xml:space="preserve">['EHex-CPDT-Se2']</t>
  </si>
  <si>
    <t xml:space="preserve">{"power conversion efficiency": {}, "open circuit voltage": {"entity_name": "V_{OC}", "entity_start": 143, "entity_end": 144, "property_value_start": 147, "property_value_end": 148, "property_numeric_value": 0.55, "property_unit": "V", "property_value_descriptor": ""}, "short circuit current": {"entity_name": "J_{sc}", "entity_start": 156, "entity_end": 157, "property_value_start": 160, "property_value_end": 164, "property_numeric_value": 7.27, "property_unit": "mA/cm^{2}", "property_value_descriptor": ""}, "fill factor": {"entity_name": "FF", "entity_start": 171, "entity_end": 171, "property_value_start": 174, "property_value_end": 174, "property_numeric_value": 47.0,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</si>
  <si>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10.1002/pola.23952</t>
  </si>
  <si>
    <t xml:space="preserve">PBDTV</t>
  </si>
  <si>
    <t xml:space="preserve">[*]/C=C/c3cc2c(OCC(CC)CCCC)c1sc([*])cc1c(OCC(CC)CCCC)c2s3</t>
  </si>
  <si>
    <t xml:space="preserve">["poly(4,8-bis(2-ethylhexyloxy)benzo[1,2-b:4,5-b']dithiophene vinylene)", 'PBDTV']</t>
  </si>
  <si>
    <t xml:space="preserve">6.46 mA/cm^{2}</t>
  </si>
  <si>
    <t xml:space="preserve">{"power conversion efficiency": {"entity_name": "power conversion efficiency", "entity_start": 113, "entity_end": 115, "property_value_start": 120, "property_value_end": 121, "property_numeric_value": 2.63, "property_unit": "%", "property_value_descriptor": ""}, "open circuit voltage": {"entity_name": "V_{oc}", "entity_start": 123, "entity_end": 124, "property_value_start": 126, "property_value_end": 127, "property_numeric_value": 0.71, "property_unit": "V", "property_value_descriptor": ""}, "short circuit current": {}, "fill factor": {"entity_name": "FF", "entity_start": 139, "entity_end": 139, "property_value_start": 141, "property_value_end": 141, "property_numeric_value": 56.99999999999999, "property_unit": "%", "property_value_descriptor": ""}, "highest occupied molecular orbital": {}, "lowest unoccupied molecular orbital": {}, "bandgap": {}, "hole mobility": {"entity_name": "hole mobility", "entity_start": 62, "entity_end": 63, "property_value_start": 65, "property_value_end": 69, "property_numeric_value": 0.00484, "property_unit": "cm^{2}/Vs", "property_value_descriptor": ""}, "electron mobility": {}, "external quantum efficiency": {}}</t>
  </si>
  <si>
    <t xml:space="preserve">10.1002/pola.24035</t>
  </si>
  <si>
    <t xml:space="preserve">[*]c%29ccc%28c%27ccc(c%26ccc(c%24c(OCCCCCCCC)c(OCCCCCCCC)c(c%23ccc(c%22ccc%21c%20ccc(c%19ccc(c%17c(OCCCCCCCC)c(OCCCCCCCC)c(c%16ccc(c%15ccc%14c%13ccc(c%12ccc(c%10c(OCCCCCCCC)c(OCCCCCCCC)c(c9ccc(c8ccc7c6ccc(c5ccc(c3c1nsnc1c(c2ccc([*])s2)c4nc(CCCCCCCC)c(CCCCCCCC)nc34)s5)cc6C(CCCCCCCC)(CCCCCCCC)c7c8)s9)c%11nsnc%10%11)s%12)cc%13C(CCCCCCCC)(CCCCCCCC)c%14c%15)s%16)c%18nsnc%17%18)s%19)cc%20C(CCCCCCCC)(CCCCCCCC)c%21c%22)s%23)c%25nsnc%24%25)s%26)cc%27C(CCCCCCCC)(CCCCCCCC)c%28c%29</t>
  </si>
  <si>
    <t xml:space="preserve">{"power conversion efficiency": {"entity_name": "PCE", "entity_start": 119, "entity_end": 119, "property_value_start": 124, "property_value_end": 125, "property_numeric_value": 2.44, "property_unit": "%", "property_value_descriptor": ""}, "open circuit voltage": {}, "short circuit current": {}, "fill factor": {}, "highest occupied molecular orbital": {}, "lowest unoccupied molecular orbital": {}, "bandgap": {"entity_name": "optical bandgaps", "entity_start": 61, "entity_end": 62, "property_value_start": 65, "property_value_end": 66, "property_numeric_value": 1.4, "property_unit": "eV", "property_value_descriptor": ""}, "hole mobility": {}, "electron mobility": {}, "external quantum efficiency": {}}</t>
  </si>
  <si>
    <t xml:space="preserve">10.1002/pola.23464</t>
  </si>
  <si>
    <t xml:space="preserve">CN-PTVT</t>
  </si>
  <si>
    <t xml:space="preserve">[*]c2ccc(/C(C#N)=C/c1cc(CCCCCCCCCCCC)c([*])s1)s2</t>
  </si>
  <si>
    <t xml:space="preserve">['CN-PTVT']</t>
  </si>
  <si>
    <t xml:space="preserve">{"power conversion efficiency": {"entity_name": "power conversion efficiency", "entity_start": 155, "entity_end": 157, "property_value_start": 159, "property_value_end": 160, "property_numeric_value": 0.3, "property_unit": "%", "property_value_descriptor": ""}, "open circuit voltage": {"entity_name": "open-circuit voltage", "entity_start": 146, "entity_end": 149, "property_value_start": 151, "property_value_end": 152, "property_numeric_value": 0.82,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</si>
  <si>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10.1002/pola.23643</t>
  </si>
  <si>
    <t xml:space="preserve">P1/S3</t>
  </si>
  <si>
    <t xml:space="preserve">['P1-P2', 'S1-P2']</t>
  </si>
  <si>
    <t xml:space="preserve">{"power conversion efficiency": {"entity_name": "PCE", "entity_start": 284, "entity_end": 284, "property_value_start": 287, "property_value_end": 288, "property_numeric_value": 0.5, "property_unit": "%", "property_value_descriptor": ""}, "open circuit voltage": {"entity_name": "open-circuit voltage", "entity_start": 303, "entity_end": 306, "property_value_start": 308, "property_value_end": 309, "property_numeric_value": 0.47, "property_unit": "V", "property_value_descriptor": ""}, "short circuit current": {"entity_name": "short-circuit current", "entity_start": 291, "entity_end": 294, "property_value_start": 296, "property_value_end": 300, "property_numeric_value": 3.17, "property_unit": "mA/cm^{2}", "property_value_descriptor": ""}, "fill factor": {}, "highest occupied molecular orbital": {}, "lowest unoccupied molecular orbital": {}, "bandgap": {"entity_name": "optical band-gaps", "entity_start": 121, "entity_end": 124, "property_value_start": 126, "property_value_end": 129, "property_numeric_value": 2.065, "property_unit": "eV", "property_value_descriptor": "-"}, "hole mobility": {}, "electron mobility": {}, "external quantum efficiency": {}}</t>
  </si>
  <si>
    <t xml:space="preserve">10.1002/pola.29412</t>
  </si>
  <si>
    <t xml:space="preserve">[*]c%10ccc(c5sc(c4ccc(c3cc2c(OCCCCCCCCCCCC)c1sc([*])cc1c(OCCCCCCCCCCCC)c2s3)s4)c6nc8c(nc56)c7nc(C(CC)CCCCCCCCCCCCCCCC)sc7c9sc(C(CC)CCCCCCCCCCCCCCCC)nc89)s%10</t>
  </si>
  <si>
    <t xml:space="preserve">{"power conversion efficiency": {"entity_name": "power conversion efficiency", "entity_start": 172, "entity_end": 174, "property_value_start": 205, "property_value_end": 206, "property_numeric_value": 7.68,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</si>
  <si>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[*]c7ccc(c6c5c(=O)n(CCCCCCCC)c(c4ccc(c3cc2c(OCCCCCCCCCCCC)c1sc([*])cc1c(OCCCCCCCCCCCC)c2s3)s4)c5c(=O)n6CCCCCCCC)s7</t>
  </si>
  <si>
    <t xml:space="preserve">[*]c%17ccc(c%15sc(c%11ccc(c%10cc9c(OCCCCCCCCCCCC)c8sc(c7ccc(c6c5c(=O)n(CCCCCCCC)c(c4ccc(c3cc2c(OCCCCCCCCCCCC)c1sc([*])cc1c(OCCCCCCCCCCCC)c2s3)s4)c5c(=O)n6CCCCCCCC)s7)cc8c(OCCCCCCCCCCCC)c9s%10)s%11)c%16nc%14c%12nc(C(CC)CCCCCCCCCCCCCCCC)sc%12c%13sc(C(CC)CCCCCCCCCCCCCCCC)nc%13c%14nc%15%16)s%17</t>
  </si>
  <si>
    <t xml:space="preserve">10.1007/s00396-018-4337-4</t>
  </si>
  <si>
    <t xml:space="preserve">CN-PICTAN</t>
  </si>
  <si>
    <t xml:space="preserve">[*]c5ccc(/C(C#N)=C/c1ccc4c(c1)c3cc(/C=C(C#N)/c2ccc([*])s2)ccc3n4CCCCCC)s5</t>
  </si>
  <si>
    <t xml:space="preserve">["poly(2E,2′E)-3,3′-(9-hexyl-9H-carbazole-3,6-diyl)bis(2-(5-methylthiophen-2yl)acrylonitrile", 'CN-PICTAN']</t>
  </si>
  <si>
    <t xml:space="preserve">{"power conversion efficiency": {"entity_name": "power conversion efficiency", "entity_start": 159, "entity_end": 161, "property_value_start": 170, "property_value_end": 171, "property_numeric_value": 1.73, "property_unit": "%", "property_value_descriptor": ""}, "open circuit voltage": {}, "short circuit current": {}, "fill factor": {}, "highest occupied molecular orbital": {"entity_name": "highest occupied molecular orbital level", "entity_start": 132, "entity_end": 136, "property_value_start": 138, "property_value_end": 140, "property_numeric_value": 5.23, "property_unit": "eV", "property_value_descriptor": "-"}, "lowest unoccupied molecular orbital": {}, "bandgap": {"entity_name": "E_{g}^{opt}", "entity_start": 103, "entity_end": 105, "property_value_start": 107, "property_value_end": 108, "property_numeric_value": 2.1, "property_unit": "eV", "property_value_descriptor": ""}, "hole mobility": {}, "electron mobility": {}, "external quantum efficiency": {}}</t>
  </si>
  <si>
    <t xml:space="preserve">10.1007/s00396-019-04550-1</t>
  </si>
  <si>
    <t xml:space="preserve">{"power conversion efficiency": {"entity_name": "PCE", "entity_start": 85, "entity_end": 85, "property_value_start": 88, "property_value_end": 89, "property_numeric_value": 7.7,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</si>
  <si>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"PCEs", "entity_start": 168, "entity_end": 168, "property_value_start": 173, "property_value_end": 174, "property_numeric_value": 9.1,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</si>
  <si>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10.1007/s10965-013-0213-6</t>
  </si>
  <si>
    <t xml:space="preserve">PDTTFO</t>
  </si>
  <si>
    <t xml:space="preserve">[*]c1ccc6c(c1)c(=O)c5cc(c4sc3c(sc2c(CCCCCCCCCC)c([*])sc23)c4CCCCCCCCCC)ccc56</t>
  </si>
  <si>
    <t xml:space="preserve">["poly(3,5-didecanyldithieno[3,2-b:2',3'-d]thiophene-alt-9-fluorenone)", 'PDTTFO']</t>
  </si>
  <si>
    <t xml:space="preserve">{"power conversion efficiency": {"entity_name": "PCE", "entity_start": 175, "entity_end": 175, "property_value_start": 191, "property_value_end": 192, "property_numeric_value": 0.374, "property_unit": "%", "property_value_descriptor": ""}, "open circuit voltage": {}, "short circuit current": {}, "fill factor": {}, "highest occupied molecular orbital": {}, "lowest unoccupied molecular orbital": {"entity_name": "LUMO) energy level", "entity_start": 135, "entity_end": 138, "property_value_start": 146, "property_value_end": 149, "property_numeric_value": -4.25, "property_unit": "eV", "property_value_descriptor": "and"}, "bandgap": {"entity_name": "bandgap", "entity_start": 116, "entity_end": 116, "property_value_start": 118, "property_value_end": 119, "property_numeric_value": 1.68, "property_unit": "eV", "property_value_descriptor": ""}, "hole mobility": {}, "electron mobility": {}, "external quantum efficiency": {}}</t>
  </si>
  <si>
    <t xml:space="preserve">10.1007/s00289-017-2028-9</t>
  </si>
  <si>
    <t xml:space="preserve">{[*]c%12ccc(c%11c1c(=O)n(CCCCCCCC)c(=O)c1c(c%10ccc(c9c2c(=O)n(CCCCCCCC)c(=O)c2c(c8ccc(c7cc6c(c3ccc(CC(CC)CCCC)s3)c4sc([*])cc4c(c5ccc(CC(CC)CCCC)s5)c6s7)s8)n9CCCCCCCC)s%10)n%11CCCCCCCC)s%12,[*]c9cc8c(c1ccc(CC(CC)CCCC)s1)c6sc(c5sc(c3c(F)c(F)c(c2cc(CCCCCCCC)c([*])s2)c4nsnc34)cc5CCCCCCCC)cc6c(c7ccc(CC(CC)CCCC)s7)c8s9}</t>
  </si>
  <si>
    <t xml:space="preserve">9.67 mA/cm^{2}</t>
  </si>
  <si>
    <t xml:space="preserve">{"power conversion efficiency": {"entity_name": "PCE", "entity_start": 135, "entity_end": 135, "property_value_start": 138, "property_value_end": 139, "property_numeric_value": 5.16, "property_unit": "%", "property_value_descriptor": ""}, "open circuit voltage": {}, "short circuit current": {"entity_name": "J_{sc}", "entity_start": 147, "entity_end": 148, "property_value_start": 149, "property_value_end": 154, "property_numeric_value": 10.93, "property_unit": "mA/cm^{2}", "property_value_descriptor": "~"}, "fill factor": {"entity_name": "FF", "entity_start": 184, "entity_end": 184, "property_value_start": 185, "property_value_end": 186, "property_numeric_value": 55.00000000000001, "property_unit": "%", "property_value_descriptor": "~"}, "highest occupied molecular orbital": {}, "lowest unoccupied molecular orbital": {}, "bandgap": {"entity_name": "E_{g}", "entity_start": 46, "entity_end": 47, "property_value_start": 48, "property_value_end": 50, "property_numeric_value": 1.72, "property_unit": "eV", "property_value_descriptor": "~"}, "hole mobility": {}, "electron mobility": {}, "external quantum efficiency": {}}</t>
  </si>
  <si>
    <t xml:space="preserve">RP1</t>
  </si>
  <si>
    <t xml:space="preserve">{[*]c9ccc(c8c1c(=O)n(CCCCCCCC)c(=O)c1c(c7ccc(c6cc5c(c2ccc(CC(CC)CCCC)s2)c3sc([*])cc3c(c4ccc(CC(CC)CCCC)s4)c5s6)s7)n8CCCCCCCC)s9,[*]c9cc8c(c1ccc(CC(CC)CCCC)s1)c6sc(c5sc(c3c(F)c(F)c(c2cc(CCCCCCCC)c([*])s2)c4nsnc34)cc5CCCCCCCC)cc6c(c7ccc(CC(CC)CCCC)s7)c8s9}</t>
  </si>
  <si>
    <t xml:space="preserve">['RP1']</t>
  </si>
  <si>
    <t xml:space="preserve">10.93 mA/cm^{2}</t>
  </si>
  <si>
    <t xml:space="preserve">{"power conversion efficiency": {}, "open circuit voltage": {"entity_name": "V_{oc}", "entity_start": 141, "entity_end": 142, "property_value_start": 143, "property_value_end": 145, "property_numeric_value": 0.76, "property_unit": "V", "property_value_descriptor": "~"}, "short circuit current": {}, "fill factor": {"entity_name": "FF", "entity_start": 157, "entity_end": 157, "property_value_start": 159, "property_value_end": 159, "property_numeric_value": 62.0,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</si>
  <si>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10.1007/s00289-017-1971-9</t>
  </si>
  <si>
    <t xml:space="preserve">["poly{4,8-bis[(2-ethylhexyl)oxy]benzo[1,2-b:4,5-b′]-dithiophene-2,6-diyl-alt-3-fluoro-2-[(2 ethylhexyl)carbonyl] thieno[3,4-b]thiophene-4,6-diy", 'PTB7']</t>
  </si>
  <si>
    <t xml:space="preserve">{"power conversion efficiency": {"entity_name": "power conversion efficiency", "entity_start": 117, "entity_end": 119, "property_value_start": 121, "property_value_end": 122, "property_numeric_value": 7.01, "property_unit": "%", "property_value_descriptor": ""}, "open circuit voltage": {"entity_name": "V_{oc}", "entity_start": 129, "entity_end": 130, "property_value_start": 133, "property_value_end": 134, "property_numeric_value": 0.731, "property_unit": "V", "property_value_descriptor": ""}, "short circuit current": {"entity_name": "J_{sc}", "entity_start": 142, "entity_end": 143, "property_value_start": 146, "property_value_end": 149, "property_numeric_value": 13.79, "property_unit": "mA cm^{-2}", "property_value_descriptor": ""}, "fill factor": {"entity_name": "FF", "entity_start": 155, "entity_end": 155, "property_value_start": 158, "property_value_end": 159, "property_numeric_value": 69.46,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</si>
  <si>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10.1007/s00289-014-1114-5</t>
  </si>
  <si>
    <t xml:space="preserve">PBDTDT</t>
  </si>
  <si>
    <t xml:space="preserve">[*]c5ccc(c4ccc(c3cc2c(OCCCCCCCC)c1sc([*])cc1c(OCCCCCCCC)c2s3)s4)s5</t>
  </si>
  <si>
    <t xml:space="preserve">['PBDTDT']</t>
  </si>
  <si>
    <t xml:space="preserve">{"power conversion efficiency": {"entity_name": "power conversion efficiency", "entity_start": 108, "entity_end": 110, "property_value_start": 112, "property_value_end": 113, "property_numeric_value": 1.19, "property_unit": "%", "property_value_descriptor": ""}, "open circuit voltage": {"entity_name": "V_{oc}", "entity_start": 139, "entity_end": 140, "property_value_start": 143, "property_value_end": 144, "property_numeric_value": 0.6, "property_unit": "V", "property_value_descriptor": ""}, "short circuit current": {"entity_name": "J_{sc}", "entity_start": 123, "entity_end": 124, "property_value_start": 127, "property_value_end": 131, "property_numeric_value": 4.72, "property_unit": "mA/cm^{2}", "property_value_descriptor": ""}, "fill factor": {"entity_name": "fill factor", "entity_start": 147, "entity_end": 148, "property_value_start": 150, "property_value_end": 151, "property_numeric_value": 53.3,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</si>
  <si>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10.1007/s00289-012-0740-z</t>
  </si>
  <si>
    <t xml:space="preserve">PTPTFB</t>
  </si>
  <si>
    <t xml:space="preserve">{[*]c7ccc6c5ccc(c4csc(c2ccc(c1ccc([*])s1)n2c3c(C(C)C)cccc3C(C)C)c4)cc5C(CCCCCCCC)(CCCCCCCC)c6c7,[*]c6ccc(c4ccc(c3cc(c1ccc([*])c2nsnc12)cs3)n4c5c(C(C)C)cccc5C(C)C)s6}</t>
  </si>
  <si>
    <t xml:space="preserve">['PTPTFB']</t>
  </si>
  <si>
    <t xml:space="preserve">{"power conversion efficiency": {"entity_name": "PCE", "entity_start": 153, "entity_end": 153, "property_value_start": 155, "property_value_end": 156, "property_numeric_value": 0.9,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</si>
  <si>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PTPTIFB</t>
  </si>
  <si>
    <t xml:space="preserve">['PTPTIFB']</t>
  </si>
  <si>
    <t xml:space="preserve">10.1021/acsapm.9b00156</t>
  </si>
  <si>
    <t xml:space="preserve">J61</t>
  </si>
  <si>
    <t xml:space="preserve">[*]c9ccc(c7c(F)c(F)c(c6ccc(c5cc4c(c1ccc(SCCCCCCCCCCCC)s1)c2sc([*])cc2c(c3ccc(SCCCCCCCCCCCC)s3)c4s5)s6)c8nn(CC(CCCCCC)CCCCCCCC)nc78)s9</t>
  </si>
  <si>
    <t xml:space="preserve">['J61']</t>
  </si>
  <si>
    <t xml:space="preserve">BTA3</t>
  </si>
  <si>
    <t xml:space="preserve">CCCCCCCCn%15nc%14c(C=c1sc(=C(C#N)C#N)n(CC)c1=O)ccc(c2cc4c(s2)c3cc%11c(cc3C4(c5ccc(CCCCCC)cc5)c6ccc(CCCCCC)cc6)c%10sc(c8ccc(C=c7sc(=C(C#N)C#N)n(CC)c7=O)c9nn(CCCCCCCC)nc89)cc%10C%11(c%12ccc(CCCCCC)cc%12)c%13ccc(CCCCCC)cc%13)c%14n%15</t>
  </si>
  <si>
    <t xml:space="preserve">['BTA3']</t>
  </si>
  <si>
    <t xml:space="preserve">{"power conversion efficiency": {"entity_name": "PCE", "entity_start": 165, "entity_end": 165, "property_value_start": 175, "property_value_end": 176, "property_numeric_value": 8.25, "property_unit": "%", "property_value_descriptor": ""}, "open circuit voltage": {"entity_name": "Voc", "entity_start": 180, "entity_end": 180, "property_value_start": 182, "property_value_end": 183, "property_numeric_value": 1.11, "property_unit": "V", "property_value_descriptor": ""}, "short circuit current": {}, "fill factor": {}, "highest occupied molecular orbital": {"entity_name": "highest occupied molecular orbital energy level", "entity_start": 130, "entity_end": 135, "property_value_start": 137, "property_value_end": 138, "property_numeric_value": -5.41, "property_unit": "eV", "property_value_descriptor": ""}, "lowest unoccupied molecular orbital": {}, "bandgap": {}, "hole mobility": {}, "electron mobility": {}, "external quantum efficiency": {}}</t>
  </si>
  <si>
    <t xml:space="preserve">PE1</t>
  </si>
  <si>
    <t xml:space="preserve">[*]c%11cc%10c(c1ccc(SCCCCCCCCCCCC)s1)c8sc(c7sc6cc(c4c(F)c(F)c(c3cc2sc([*])c(CCCCCC)c2s3)c5nn(CC(CCCCCC)CCCCCCCC)nc45)sc6c7CCCCCC)cc8c(c9ccc(SCCCCCCCCCCCC)s9)c%10s%11</t>
  </si>
  <si>
    <t xml:space="preserve">['PE1']</t>
  </si>
  <si>
    <t xml:space="preserve">1.11 V</t>
  </si>
  <si>
    <t xml:space="preserve">PE2</t>
  </si>
  <si>
    <t xml:space="preserve">[*]c%11cc%10c(c1cc(F)c(SCC(CC)CCCC)s1)c8sc(c7sc6cc(c4c(F)c(F)c(c3cc2sc([*])c(CCCCCC)c2s3)c5nn(CC(CCCCCC)CCCCCCCC)nc45)sc6c7CCCCCC)cc8c(c9cc(F)c(SCC(CC)CCCC)s9)c%10s%11</t>
  </si>
  <si>
    <t xml:space="preserve">['PE2']</t>
  </si>
  <si>
    <t xml:space="preserve">1.2 V</t>
  </si>
  <si>
    <t xml:space="preserve">10.1080/03602559.2016.1247278</t>
  </si>
  <si>
    <t xml:space="preserve">['[6,6]-phenyl-C_{61}-butyric acid methyl ester']</t>
  </si>
  <si>
    <t xml:space="preserve">{"power conversion efficiency": {"entity_name": "Power conversion efficiency", "entity_start": 61, "entity_end": 63, "property_value_start": 81, "property_value_end": 84, "property_numeric_value": 2.64,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</si>
  <si>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10.1016/j.reactfunctpolym.2017.02.009</t>
  </si>
  <si>
    <t xml:space="preserve">['Poly(3-hexylthiophene)', 'P3HT']</t>
  </si>
  <si>
    <t xml:space="preserve">{"power conversion efficiency": {"entity_name": "PCE", "entity_start": 119, "entity_end": 119, "property_value_start": 129, "property_value_end": 130, "property_numeric_value": 4.42,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</si>
  <si>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10.1016/j.reactfunctpolym.2011.11.004</t>
  </si>
  <si>
    <t xml:space="preserve">[*]c3ccc(c1sc([*])cc1/C=C/c2ccc(OCC(CC)CCCC)cc2)s3</t>
  </si>
  <si>
    <t xml:space="preserve">['poly{3-[4-(2-ethyl-hexyloxy)-phenylvinyl]-thiophene}-thiophene', 'P2']</t>
  </si>
  <si>
    <t xml:space="preserve">['IC_{60}BA']</t>
  </si>
  <si>
    <t xml:space="preserve">{"power conversion efficiency": {"entity_name": "power conversion efficiency", "entity_start": 130, "entity_end": 132, "property_value_start": 149, "property_value_end": 150, "property_numeric_value": 0.35,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</si>
  <si>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[*]c3ccc(c1sc([*])cc1/C=C/c2ccc(CCCCCCCC)s2)s3</t>
  </si>
  <si>
    <t xml:space="preserve">['poly[3-(5′-octylthienylenevinyl) thiophene]-thiophene','P1']</t>
  </si>
  <si>
    <t xml:space="preserve">0.56 V</t>
  </si>
  <si>
    <t xml:space="preserve">10.1016/j.reactfunctpolym.2012.07.006</t>
  </si>
  <si>
    <t xml:space="preserve">PBDTQx</t>
  </si>
  <si>
    <t xml:space="preserve">[*]c7cc6c(OCC(CC)CCCC)c5sc(c3ccc([*])c4nc(c1cccc(CCCCCCCCC)c1)c(c2cccc(OCCCCCCCC)c2)nc34)cc5c(OCC(CC)CCCC)c6s7</t>
  </si>
  <si>
    <t xml:space="preserve">['PBDTQx']</t>
  </si>
  <si>
    <t xml:space="preserve">{"power conversion efficiency": {"entity_name": "PCE", "entity_start": 89, "entity_end": 89, "property_value_start": 94, "property_value_end": 95, "property_numeric_value": 1.01, "property_unit": "%", "property_value_descriptor": ""}, "open circuit voltage": {}, "short circuit current": {}, "fill factor": {}, "highest occupied molecular orbital": {}, "lowest unoccupied molecular orbital": {}, "bandgap": {"entity_name": "bandgap", "entity_start": 12, "entity_end": 12, "property_value_start": 14, "property_value_end": 15, "property_numeric_value": 1.78, "property_unit": "eV", "property_value_descriptor": ""}, "hole mobility": {}, "electron mobility": {}, "external quantum efficiency": {}}</t>
  </si>
  <si>
    <t xml:space="preserve">10.1016/j.reactfunctpolym.2013.07.015</t>
  </si>
  <si>
    <t xml:space="preserve">APFO-15</t>
  </si>
  <si>
    <t xml:space="preserve">[*]c9ccc8c7ccc(c6ccc(c4ccc(c1ccc([*])s1)c5nc(c2cccc(OCCCCCCCC)c2)c(c3cccc(OCCCCCCCC)c3)nc45)s6)cc7C(CCCCCCCC)(CCCCCCCC)c8c9</t>
  </si>
  <si>
    <t xml:space="preserve">['APFO-15']</t>
  </si>
  <si>
    <t xml:space="preserve">{"power conversion efficiency": {"entity_name": "PCE", "entity_start": 167, "entity_end": 167, "property_value_start": 169, "property_value_end": 170, "property_numeric_value": 1.6, "property_unit": "%", "property_value_descriptor": ""}, "open circuit voltage": {"entity_name": "V_{oc}", "entity_start": 172, "entity_end": 173, "property_value_start": 175, "property_value_end": 176, "property_numeric_value": 0.77,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</si>
  <si>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PFOFTQx</t>
  </si>
  <si>
    <t xml:space="preserve">[*]c9ccc8c7ccc(c6ccc(c4c(F)cc(c1ccc([*])s1)c5nc(c2cccc(OCCCCCCCC)c2)c(c3cccc(OCCCCCCCC)c3)nc45)s6)cc7C(CCCCCCCC)(CCCCCCCC)c8c9</t>
  </si>
  <si>
    <t xml:space="preserve">['PFOFTQx']</t>
  </si>
  <si>
    <t xml:space="preserve">10.1002/marc.200900221</t>
  </si>
  <si>
    <t xml:space="preserve">HV-BT</t>
  </si>
  <si>
    <t xml:space="preserve">CCCCCCn1c(C#N)c(C#N)nc1/C=C/c3ccc(/C=C/c2nc(C#N)c(C#N)n2CCCCCC)c4nsnc34</t>
  </si>
  <si>
    <t xml:space="preserve">['HV-BT']</t>
  </si>
  <si>
    <t xml:space="preserve">{"power conversion efficiency": {"entity_name": "power conversion efficiency", "entity_start": 150, "entity_end": 152, "property_value_start": 156, "property_value_end": 157, "property_numeric_value": 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</si>
  <si>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10.1002/marc.200900804</t>
  </si>
  <si>
    <t xml:space="preserve">PPBzT^{2}-C12</t>
  </si>
  <si>
    <t xml:space="preserve">[*]c8cc(CCCCCCCCCCCC)c(c7cc(CCCCCCCCCCCC)c(c5ccc(c4sc(c3sc(c2cc1sc([*])cc1s2)cc3CCCCCCCCCCCC)cc4CCCCCCCCCCCC)c6nsnc56)s7)s8</t>
  </si>
  <si>
    <t xml:space="preserve">['PPBzT^{2}-C12']</t>
  </si>
  <si>
    <t xml:space="preserve">C70-PCBM</t>
  </si>
  <si>
    <t xml:space="preserve">['C70-PCBM']</t>
  </si>
  <si>
    <t xml:space="preserve">{"power conversion efficiency": {"entity_name": "power conversion efficiency", "entity_start": 107, "entity_end": 109, "property_value_start": 111, "property_value_end": 112, "property_numeric_value": 1.8,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</si>
  <si>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10.1002/marc.201000062</t>
  </si>
  <si>
    <t xml:space="preserve">PICZ-DTBT</t>
  </si>
  <si>
    <t xml:space="preserve">[*]c3ccc2c1cc%11c(cc1n(C(CCCCCCCC)CCCCCCCC)c2c3)c%10ccc(c9cc8sc(c6ccc(c5cc4sc([*])cc4s5)c7nsnc67)cc8s9)cc%10n%11C(CCCCCCCC)CCCCCCCC</t>
  </si>
  <si>
    <t xml:space="preserve">['PICZ-DTBT']</t>
  </si>
  <si>
    <t xml:space="preserve">6.02 mA * cm^{−2}</t>
  </si>
  <si>
    <t xml:space="preserve">{"power conversion efficiency": {"entity_name": "power conversion efficiencies", "entity_start": 131, "entity_end": 133, "property_value_start": 136, "property_value_end": 137, "property_numeric_value": 2.4, "property_unit": "%", "property_value_descriptor": ""}, "open circuit voltage": {"entity_name": "V_{oc}", "entity_start": 155, "entity_end": 156, "property_value_start": 158, "property_value_end": 159, "property_numeric_value": 0.75, "property_unit": "V", "property_value_descriptor": ""}, "short circuit current": {}, "fill factor": {"entity_name": "fill factor", "entity_start": 177, "entity_end": 178, "property_value_start": 180, "property_value_end": 181, "property_numeric_value": 42.0, "property_unit": "%", "property_value_descriptor": ""}, "highest occupied molecular orbital": {}, "lowest unoccupied molecular orbital": {"entity_name": "LUMO) leve", "entity_start": 81, "entity_end": 83, "property_value_start": 93, "property_value_end": 96, "property_numeric_value": -4.265, "property_unit": "eV", "property_value_descriptor": "and"}, "bandgap": {}, "hole mobility": {}, "electron mobility": {}, "external quantum efficiency": {}}</t>
  </si>
  <si>
    <t xml:space="preserve">10.1002/marc.201900120</t>
  </si>
  <si>
    <t xml:space="preserve">PNQx-2F2T</t>
  </si>
  <si>
    <t xml:space="preserve">[*]c%12ccc(c%10cc6c(cc(c3ccc(c2cc(F)c(c1sc([*])cc1C)s2)s3)c7nc(c4cccc(OCC(CC)CCCC)c4)c(c5cccc(OCC(CC)CCCC)c5)nc67)c%11nc(c8cccc(OCC(CC)CCCC)c8)c(c9cccc(OCC(CC)CCCC)c9)nc%10%11)s%12</t>
  </si>
  <si>
    <t xml:space="preserve">['PNQx-2F2T']</t>
  </si>
  <si>
    <t xml:space="preserve">C#CC(C#N)C2c1ccc(C)cc1C(=O)C2Cc8cc7sc6c3cc%13c(cc3C(c4ccc(CCCCCC)cc4)(c5ccc(CCCCCC)cc5)c6c7s8)c%12sc%11cc(C=c%10c(=O)c9cc(C)ccc9c%10=C(C#N)C#N)sc%11c%12C%13(c%14ccc(CCCCCC)cc%14)c%15ccc(CCCCCC)cc%15</t>
  </si>
  <si>
    <t xml:space="preserve">['3,9-bis(2-methylene-(3-(1,1-dicyanomethylene)-indanone-methyl))-5,5,11,11-tetrakis(4-n-hexylphenyl)-dithieno[2,3-d: 2′,3′-d′]-s-indaceno[1,2-b:5,6-b′]dithiophene','IT-M']</t>
  </si>
  <si>
    <t xml:space="preserve">{"power conversion efficiency": {"entity_name": "PCEs", "entity_start": 111, "entity_end": 111, "property_value_start": 116, "property_value_end": 117, "property_numeric_value": 7.5,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</si>
  <si>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10.1002/marc.200700470</t>
  </si>
  <si>
    <t xml:space="preserve">PBSDTBT</t>
  </si>
  <si>
    <t xml:space="preserve">[*]c7ccc6c5ccc(c4ccc(c2ccc(c1ccc([*])s1)c3nsnc23)s4)cc5[Si](CCCCCCCC)(CCCCCCCC)c6c7</t>
  </si>
  <si>
    <t xml:space="preserve">['PBSDTBT']</t>
  </si>
  <si>
    <t xml:space="preserve">{"power conversion efficiency": {"entity_name": "power conversion efficiency", "entity_start": 49, "entity_end": 51, "property_value_start": 53, "property_value_end": 54, "property_numeric_value": 1.6, "property_unit": "%", "property_value_descriptor": ""}, "open circuit voltage": {"entity_name": "V_{OC}", "entity_start": 65, "entity_end": 66, "property_value_start": 68, "property_value_end": 69, "property_numeric_value": 0.97, "property_unit": "V", "property_value_descriptor": ""}, "short circuit current": {}, "fill factor": {}, "highest occupied molecular orbital": {}, "lowest unoccupied molecular orbital": {}, "bandgap": {"entity_name": "bandgap", "entity_start": 81, "entity_end": 81, "property_value_start": 83, "property_value_end": 84, "property_numeric_value": 1.9, "property_unit": "eV", "property_value_descriptor": ""}, "hole mobility": {}, "electron mobility": {}, "external quantum efficiency": {}}</t>
  </si>
  <si>
    <t xml:space="preserve">10.1002/macp.200800083</t>
  </si>
  <si>
    <t xml:space="preserve">PT-TPAV15</t>
  </si>
  <si>
    <t xml:space="preserve">{[*]c2ccc(c1sc([*])cc1CCCCCC)s2,[*]c3ccc(c2cc(/C=C/c1ccccc1)c([*])s2)s3}</t>
  </si>
  <si>
    <t xml:space="preserve">['PT-TPAV15']</t>
  </si>
  <si>
    <t xml:space="preserve">{"power conversion efficiency": {"entity_name": "power conversion efficiencies", "entity_start": 90, "entity_end": 92, "property_value_start": 123, "property_value_end": 124, "property_numeric_value": 0.35,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</si>
  <si>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PT-TPAV10</t>
  </si>
  <si>
    <t xml:space="preserve">['PT-TPAV10']</t>
  </si>
  <si>
    <t xml:space="preserve">PT-TPAV5</t>
  </si>
  <si>
    <t xml:space="preserve">['PT-TPAV5']</t>
  </si>
  <si>
    <t xml:space="preserve">10.1002/macp.200900133</t>
  </si>
  <si>
    <t xml:space="preserve">P6</t>
  </si>
  <si>
    <t xml:space="preserve">{[*]c9ccc8c7ccc(c6ccc(c4sc(c1ccc([*])s1)c5nc(c2ccccc2)c(c3ccccc3)nc45)s6)cc7C(CCCCCCCC)(CCCCCCCC)c8c9,[*]c5ccc4c3ccc(c2sc(c1cc(CCCCCC)c([*])s1)cc2CCCCCC)cc3C(CCCCCCCC)(CCCCCCCC)c4c5}</t>
  </si>
  <si>
    <t xml:space="preserve">['P6']</t>
  </si>
  <si>
    <t xml:space="preserve">16 mA * cm^{2}</t>
  </si>
  <si>
    <t xml:space="preserve">{"power conversion efficiency": {"entity_name": "power conversion efficiency", "entity_start": 35, "entity_end": 37, "property_value_start": 39, "property_value_end": 40, "property_numeric_value": 0.8, "property_unit": "%", "property_value_descriptor": ""}, "open circuit voltage": {}, "short circuit current": {}, "fill factor": {}, "highest occupied molecular orbital": {}, "lowest unoccupied molecular orbital": {"entity_name": "LUMO energy level", "entity_start": 13, "entity_end": 15, "property_value_start": 17, "property_value_end": 18, "property_numeric_value": -3.3, "property_unit": "eV", "property_value_descriptor": ""}, "bandgap": {}, "hole mobility": {}, "electron mobility": {}, "external quantum efficiency": {}}</t>
  </si>
  <si>
    <t xml:space="preserve">10.1002/macp.201000080</t>
  </si>
  <si>
    <t xml:space="preserve">PCz-S-PDI</t>
  </si>
  <si>
    <t xml:space="preserve">['PCz', 'PCz-S-PDI']</t>
  </si>
  <si>
    <t xml:space="preserve">PCz-S-PDI; PDI</t>
  </si>
  <si>
    <t xml:space="preserve">{"power conversion efficiency": {"entity_name": "power conversion efficiency", "entity_start": 95, "entity_end": 97, "property_value_start": 99, "property_value_end": 100, "property_numeric_value": 0.004,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</si>
  <si>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10.1002/macp.200700563</t>
  </si>
  <si>
    <t xml:space="preserve">='MP6'</t>
  </si>
  <si>
    <t xml:space="preserve">['MP6']</t>
  </si>
  <si>
    <t xml:space="preserve">{"power conversion efficiency": {"entity_name": "PCEs", "entity_start": 31, "entity_end": 31, "property_value_start": 34, "property_value_end": 35,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</si>
  <si>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10.1002/macp.200500517</t>
  </si>
  <si>
    <t xml:space="preserve">PFO-DTTP</t>
  </si>
  <si>
    <t xml:space="preserve">{[*]c1ccc3c(c1)Cc2cc([*])ccc23,[*]c4ccc(c2sc(c1ccc([*])s1)c3nc(C)c(C)nc23)s4}</t>
  </si>
  <si>
    <t xml:space="preserve">['PFO-DTTP']</t>
  </si>
  <si>
    <t xml:space="preserve">{"power conversion efficiency": {}, "open circuit voltage": {}, "short circuit current": {}, "fill factor": {}, "highest occupied molecular orbital": {}, "lowest unoccupied molecular orbital": {}, "bandgap": {"entity_name": "E_{g}", "entity_start": 18, "entity_end": 19, "property_value_start": 21, "property_value_end": 24, "property_numeric_value": 1.885, "property_unit": "eV", "property_value_descriptor": "-"}, "hole mobility": {}, "electron mobility": {}, "external quantum efficiency": {}}</t>
  </si>
  <si>
    <t xml:space="preserve">10.1007/s13233-018-6011-6</t>
  </si>
  <si>
    <t xml:space="preserve">TPD-T</t>
  </si>
  <si>
    <t xml:space="preserve">[*]c4ccc(c2sc([*])c3c(=O)n(c1ccc(OCC(CCCCCCCCCC)CCCCCCCCCCCC)cc1)c(=O)c23)s4</t>
  </si>
  <si>
    <t xml:space="preserve">['TPD-T']</t>
  </si>
  <si>
    <t xml:space="preserve">{"power conversion efficiency": {"entity_name": "power conversion efficiency", "entity_start": 97, "entity_end": 99, "property_value_start": 101, "property_value_end": 102, "property_numeric_value": 2.51,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</si>
  <si>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TPD-BT</t>
  </si>
  <si>
    <t xml:space="preserve">[*]c5ccc(c4ccc(c2sc([*])c3c(=O)n(c1ccc(OCC(CCCCCCCCCC)CCCCCCCCCCCC)cc1)c(=O)c23)s4)s5</t>
  </si>
  <si>
    <t xml:space="preserve">['TPD-BT']</t>
  </si>
  <si>
    <t xml:space="preserve">{"power conversion efficiency": {"entity_name": "power conversion efficiency", "entity_start": 97, "entity_end": 99, "property_value_start": 108, "property_value_end": 109, "property_numeric_value": 1.63,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</si>
  <si>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10.1007/s13233-013-1036-3</t>
  </si>
  <si>
    <t xml:space="preserve">PTTPTTB-P1</t>
  </si>
  <si>
    <t xml:space="preserve">{[*]c6ccc(c5ccc(c4ccc(c2ccc(c1ccc([*])s1)n2c3c(C(C)C)cccc3C(C)C)s4)s5)s6,[*]c4ccc(c3ccc(c1ccc([*])c2nsnc12)s3)s4}</t>
  </si>
  <si>
    <t xml:space="preserve">['PTTPTTB-P1']</t>
  </si>
  <si>
    <t xml:space="preserve">{"power conversion efficiency": {"entity_name": "PCE", "entity_start": 169, "entity_end": 169, "property_value_start": 199, "property_value_end": 200, "property_numeric_value": 2.03, "property_unit": "%", "property_value_descriptor": ""}, "open circuit voltage": {}, "short circuit current": {}, "fill factor": {}, "highest occupied molecular orbital": {}, "lowest unoccupied molecular orbital": {}, "bandgap": {"entity_name": "band gaps", "entity_start": 117, "entity_end": 118, "property_value_start": 130, "property_value_end": 131, "property_numeric_value": 1.8, "property_unit": "eV", "property_value_descriptor": ""}, "hole mobility": {}, "electron mobility": {}, "external quantum efficiency": {}}</t>
  </si>
  <si>
    <t xml:space="preserve">10.1007/s13233-014-2068-z</t>
  </si>
  <si>
    <t xml:space="preserve">PONTET</t>
  </si>
  <si>
    <t xml:space="preserve">[*]c6ccc(c4sc(c3ccc(c2ccc1c(OCCCCCCCC)c([*])ccc1c2OCCCCCCC(C)C)s3)c5sc(C(=O)OCC)cc45)s6</t>
  </si>
  <si>
    <t xml:space="preserve">['PONTET']</t>
  </si>
  <si>
    <t xml:space="preserve">{"power conversion efficiency": {"entity_name": "power conversion efficiency", "entity_start": 103, "entity_end": 105, "property_value_start": 116, "property_value_end": 117, "property_numeric_value": 1.3, "property_unit": "%", "property_value_descriptor": ""}, "open circuit voltage": {"entity_name": "V_{oc}", "entity_start": 124, "entity_end": 125, "property_value_start": 128, "property_value_end": 129, "property_numeric_value": 0.56, "property_unit": "V", "property_value_descriptor": ""}, "short circuit current": {"entity_name": "J_{sc}", "entity_start": 137, "entity_end": 138, "property_value_start": 141, "property_value_end": 145, "property_numeric_value": 5.6, "property_unit": "mA/cm^{2}", "property_value_descriptor": ""}, "fill factor": {"entity_name": "FF", "entity_start": 152, "entity_end": 152, "property_value_start": 155, "property_value_end": 156, "property_numeric_value": 41.3, "property_unit": "%", "property_value_descriptor": ""}, "highest occupied molecular orbital": {}, "lowest unoccupied molecular orbital": {}, "bandgap": {}, "hole mobility": {"entity_name": "hole mobility", "entity_start": 85, "entity_end": 86, "property_value_start": 90, "property_value_end": 92, "property_numeric_value": 0.0015, "property_unit": "cm^{2}/Vs", "property_value_descriptor": ""}, "electron mobility": {}, "external quantum efficiency": {}}</t>
  </si>
  <si>
    <t xml:space="preserve">10.1007/s13233-016-4047-z</t>
  </si>
  <si>
    <t xml:space="preserve">PBDT-KTBDT</t>
  </si>
  <si>
    <t xml:space="preserve">[*]c8cc7c(OCC(CC)CCCC)c6sc(c5cc4c(c1ccc(C(=O)C(CC)CCCC)s1)c2sc([*])cc2c(c3ccc(C(=O)C(CC)CCCC)s3)c4s5)cc6c(OCC(CC)CCCC)c7s8</t>
  </si>
  <si>
    <t xml:space="preserve">['PBDT-KTBDT']</t>
  </si>
  <si>
    <t xml:space="preserve">{"power conversion efficiency": {"entity_name": "power conversion efficiency", "entity_start": 101, "entity_end": 103, "property_value_start": 105, "property_value_end": 106, "property_numeric_value": 1.5,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</si>
  <si>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10.1007/s13233-015-3011-7</t>
  </si>
  <si>
    <t xml:space="preserve">{"power conversion efficiency": {"entity_name": "PCE", "entity_start": 269, "entity_end": 269, "property_value_start": 271, "property_value_end": 272, "property_numeric_value": 3.62, "property_unit": "%", "property_value_descriptor": ""}, "open circuit voltage": {"entity_name": "Voc", "entity_start": 256, "entity_end": 256, "property_value_start": 258, "property_value_end": 259, "property_numeric_value": 0.64, "property_unit": "V", "property_value_descriptor": ""}, "short circuit current": {"entity_name": "Jsc", "entity_start": 274, "entity_end": 274, "property_value_start": 276, "property_value_end": 280, "property_numeric_value": 10.95, "property_unit": "mA/cm^{2}", "property_value_descriptor": ""}, "fill factor": {"entity_name": "FF", "entity_start": 285, "entity_end": 285, "property_value_start": 287, "property_value_end": 288, "property_numeric_value": 51.6,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</si>
  <si>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10.1007/s13233-019-7174-5</t>
  </si>
  <si>
    <t xml:space="preserve">PBDBT-T</t>
  </si>
  <si>
    <t xml:space="preserve">["poly[(2,6-(4,8-bis (5-(2-ethylhexyl) thiophen-2-yl)-benzo [1,2-b:4,5-b′] dithiophene))-alt-(5,5-(1′,3′-di-2-thienyl-5′,7′-bis(2-ethylhexyl) benzo[1′,2′-c:4′,5′-c′] dithiophene-4,8-dione))])",'PBDBT-T']</t>
  </si>
  <si>
    <t xml:space="preserve">BT-T-tB-IDC</t>
  </si>
  <si>
    <t xml:space="preserve">CCCCCCCCCCOc5c(OCCCCCCCCCC)c(c3ccc(C=c2c(=O)c1ccc(C(C)(C)C)cc1c2=C(C#N)C#N)s3)c4nsnc4c5c8ccc(C=c7c(=O)c6ccc(C(C)(C)C)cc6c7=C(C#N)C#N)s8</t>
  </si>
  <si>
    <t xml:space="preserve">['BT-T-tB-IDC']</t>
  </si>
  <si>
    <t xml:space="preserve">{"power conversion efficiency": {"entity_name": "PCE", "entity_start": 284, "entity_end": 284, "property_value_start": 286, "property_value_end": 287, "property_numeric_value": 1.55,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</si>
  <si>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BT-T-IDC</t>
  </si>
  <si>
    <t xml:space="preserve">CCCCCCCCCCOc5c(OCCCCCCCCCC)c(c3ccc(C=c2c(=O)c1ccccc1c2=C(C#N)C#N)s3)c4nsnc4c5c8ccc(C=c7c(=O)c6ccccc6c7=C(C#N)C#N)s8</t>
  </si>
  <si>
    <t xml:space="preserve">['BT-T-IDC']</t>
  </si>
  <si>
    <t xml:space="preserve">10.1007/s10118-017-1893-x</t>
  </si>
  <si>
    <t xml:space="preserve">["poly[4,8-bis(5-(2-ethylhexyl)thiophen-2-yl)benzo[1,2-b;4,5-b']dithiophene-2,6-diyl-alt-(4-(2-ethylhexyl)-3-fluorothieno[3,4-b]thiophene)-2-carboxylate-2,6-diyl]", 'PTB7-Th']</t>
  </si>
  <si>
    <t xml:space="preserve">poly[N,N'-bis(1-hexylheptyl)-3,4,9,10-perylenediimide-1,6</t>
  </si>
  <si>
    <t xml:space="preserve">[*]c8ccc(c1cc4c(=O)n(C(CCCCCC)CCCCCC)c(=O)c3ccc2c5c([*])cc7c(=O)n(C(CCCCCC)CCCCCC)c(=O)c6ccc(c1c2c34)c5c67)s8</t>
  </si>
  <si>
    <t xml:space="preserve">["poly[N,N'-bis(1-hexylheptyl)-3,4,9,10-perylenediimide-1,6",'PDI-Th']</t>
  </si>
  <si>
    <t xml:space="preserve">{"power conversion efficiency": {"entity_name": "PCE", "entity_start": 97, "entity_end": 97, "property_value_start": 100, "property_value_end": 101, "property_numeric_value": 5.13, "property_unit": "%", "property_value_descriptor": ""}, "open circuit voltage": {"entity_name": "Voc", "entity_start": 109, "entity_end": 109, "property_value_start": 112, "property_value_end": 113, "property_numeric_value": 0.79, "property_unit": "V", "property_value_descriptor": ""}, "short circuit current": {"entity_name": "J_{sc}", "entity_start": 121, "entity_end": 122, "property_value_start": 124, "property_value_end": 126, "property_numeric_value": 12.35, "property_unit": "mA*cm^{-2}", "property_value_descriptor": ""}, "fill factor": {"entity_name": "FF", "entity_start": 132, "entity_end": 132, "property_value_start": 135, "property_value_end": 135, "property_numeric_value": 52.0,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</si>
  <si>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10.1007/s10118-017-1892-y</t>
  </si>
  <si>
    <t xml:space="preserve">['[6,6]-phenyl C_{61}-butyric acid methyl ester', 'PC_{61}BM']</t>
  </si>
  <si>
    <t xml:space="preserve">{"power conversion efficiency": {"entity_name": "PCE", "entity_start": 97, "entity_end": 97, "property_value_start": 98, "property_value_end": 99, "property_numeric_value": 3.84, "property_unit": "%", "property_value_descriptor": ""}, "open circuit voltage": {}, "short circuit current": {}, "fill factor": {"entity_name": "FF", "entity_start": 126, "entity_end": 126, "property_value_start": 128, "property_value_end": 128, "property_numeric_value": 74.0,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</si>
  <si>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10.1007/s10118-017-1996-4</t>
  </si>
  <si>
    <t xml:space="preserve">P2FBTTPTI</t>
  </si>
  <si>
    <t xml:space="preserve">[*]c7cc(F)c(c6sc(c1cc5c(s1)c4cc3c(=O)n(CC(CCCCCCCC)CCCCCCCCCC)c2cc([*])sc2c3cc4c(=O)n5CC(CCCCCCCC)CCCCCCCCCC)cc6F)s7</t>
  </si>
  <si>
    <t xml:space="preserve">['P2FBTTPTI']</t>
  </si>
  <si>
    <t xml:space="preserve">{"power conversion efficiency": {"entity_name": "PCE", "entity_start": 71, "entity_end": 71, "property_value_start": 74, "property_value_end": 75, "property_numeric_value": 7.64, "property_unit": "%", "property_value_descriptor": ""}, "open circuit voltage": {"entity_name": "V_{oc}", "entity_start": 84, "entity_end": 86, "property_value_start": 88, "property_value_end": 89, "property_numeric_value": 0.95,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</si>
  <si>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10.1007/s10118-013-1275-y</t>
  </si>
  <si>
    <t xml:space="preserve">PFDTQ</t>
  </si>
  <si>
    <t xml:space="preserve">[*]c9ccc8c7ccc(c6ccc(c4c(OCCCCCCCC)c(OCCCCCCCC)c(c1ccc([*])s1)c5nc(c2ccccc2)c(c3ccccc3)nc45)s6)cc7C(CCCCCCCC)(CCCCCCCC)c8c9</t>
  </si>
  <si>
    <t xml:space="preserve">['poly[2,7-(9,9-dioctylfluorene)-alt-5,5-(5,8-di-2-thinenyl-(6,7-dialkoxy-2,3-diphenylquinoxaline))]', 'PFDTQ']</t>
  </si>
  <si>
    <t xml:space="preserve">{"power conversion efficiency": {"entity_name": "PCE", "entity_start": 128, "entity_end": 128, "property_value_start": 131, "property_value_end": 132, "property_numeric_value": 2.5, "property_unit": "%", "property_value_descriptor": ""}, "open circuit voltage": {"entity_name": "V_{oc}", "entity_start": 148, "entity_end": 149, "property_value_start": 151, "property_value_end": 152, "property_numeric_value": 0.98,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</si>
  <si>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PCDTQ</t>
  </si>
  <si>
    <t xml:space="preserve">[*]c9ccc8c7ccc(c6ccc(c4c(OCCCCCCCC)c(OCCCCCCCC)c(c1ccc([*])s1)c5nc(c2ccccc2)c(c3ccccc3)nc45)s6)cc7n(CCCCCCCC)c8c9</t>
  </si>
  <si>
    <t xml:space="preserve">['poly[2,7-(9-octyl-9H-carbazole)-alt-5,5-(5,8-di-2-thinenyl-(6,7-dialkoxy-2,3-diphenylquinoxaline))]', 'PCDTQ']</t>
  </si>
  <si>
    <t xml:space="preserve">{"power conversion efficiency": {"entity_name": "PCE", "entity_start": 142, "entity_end": 142, "property_value_start": 144, "property_value_end": 145, "property_numeric_value": 2.5, "property_unit": "%", "property_value_descriptor": ""}, "open circuit voltage": {"entity_name": "V_{oc}", "entity_start": 135, "entity_end": 136, "property_value_start": 138, "property_value_end": 139, "property_numeric_value": 0.95,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</si>
  <si>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10.1007/s10118-017-1879-8</t>
  </si>
  <si>
    <t xml:space="preserve">='NDI-CNTVT'</t>
  </si>
  <si>
    <t xml:space="preserve">[*]c6ccc(/C(C#N)=C/c5ccc(c1cc3c(=O)n(CC(CCCCCCCC)CCCCCCCCCC)c(=O)c4c([*])cc2c(=O)n(CC(CCCCCCCC)CCCCCCCCCC)c(=O)c1c2c34)s5)s6</t>
  </si>
  <si>
    <t xml:space="preserve">['NDI-CNTVT']</t>
  </si>
  <si>
    <t xml:space="preserve">{"power conversion efficiency": {"entity_name": "PCE", "entity_start": 108, "entity_end": 108, "property_value_start": 113, "property_value_end": 114, "property_numeric_value": 1.74, "property_unit": "%", "property_value_descriptor": ""}, "open circuit voltage": {}, "short circuit current": {}, "fill factor": {}, "highest occupied molecular orbital": {"entity_name": "HOMO energy levels", "entity_start": 82, "entity_end": 84, "property_value_start": 86, "property_value_end": 87, "property_numeric_value": -5.83, "property_unit": "eV", "property_value_descriptor": "and"}, "lowest unoccupied molecular orbital": {}, "bandgap": {}, "hole mobility": {}, "electron mobility": {}, "external quantum efficiency": {}}</t>
  </si>
  <si>
    <t xml:space="preserve">='PDI-CNTVT'</t>
  </si>
  <si>
    <t xml:space="preserve">[*]c9ccc(/C(C#N)=C/c8ccc(c1cc3c5ccc6c(=O)n(CC(CCCCCCCC)CCCCCCCCCC)c(=O)c7ccc(c4c([*])cc2c(=O)n(CC(CCCCCCCC)CCCCCCCCCC)c(=O)c1c2c34)c5c67)s8)s9</t>
  </si>
  <si>
    <t xml:space="preserve">['PDI-CNTVT']</t>
  </si>
  <si>
    <t xml:space="preserve">{"power conversion efficiency": {"entity_name": "PCE", "entity_start": 120, "entity_end": 120, "property_value_start": 124, "property_value_end": 125, "property_numeric_value": 3.8,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</si>
  <si>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10.1007/s10118-014-1458-1</t>
  </si>
  <si>
    <t xml:space="preserve">P-1</t>
  </si>
  <si>
    <t xml:space="preserve">[*]c9ccc(c7sc(c4ccc(c3cc2c(OCCCCCCCCCCCC)c1sc([*])cc1c(OCCCCCCCCCCCC)c2s3)s4)c8nc(c5ccc(CCCCCCCC)s5)c(c6ccc(CCCCCCCC)s6)nc78)s9</t>
  </si>
  <si>
    <t xml:space="preserve">['P-1']</t>
  </si>
  <si>
    <t xml:space="preserve">{"power conversion efficiency": {"entity_name": "power conversion efficiency", "entity_start": 134, "entity_end": 136, "property_value_start": 138, "property_value_end": 139, "property_numeric_value": 0.8, "property_unit": "%", "property_value_descriptor": ""}, "open circuit voltage": {}, "short circuit current": {}, "fill factor": {}, "highest occupied molecular orbital": {}, "lowest unoccupied molecular orbital": {}, "bandgap": {"entity_name": "optical band gaps", "entity_start": 68, "entity_end": 70, "property_value_start": 79, "property_value_end": 82, "property_numeric_value": 1.6749999999999998, "property_unit": "eV", "property_value_descriptor": "-"}, "hole mobility": {}, "electron mobility": {}, "external quantum efficiency": {}}</t>
  </si>
  <si>
    <t xml:space="preserve">10.1007/s10118-017-1967-9</t>
  </si>
  <si>
    <t xml:space="preserve">BT-SI-TPA</t>
  </si>
  <si>
    <t xml:space="preserve">{[*]c6cc(CCCCCC)c(c4ccc(c3sc2c1sc([*])cc1[Si](CCCCCC)(CCCCCC)c2c3CCCCCC)c5nsnc45)s6,[*]c7ccc(N(c2ccc(/C=C(C#N)/c1ccc(/C=C(C#N)/C#N)s1)cc2)c6ccc(c3cc5c(s3)c4sc([*])cc4[Si]5(CCCCCC)CCCCCC)cc6)cc7}</t>
  </si>
  <si>
    <t xml:space="preserve">['BT-SI-TPA']</t>
  </si>
  <si>
    <t xml:space="preserve">{"power conversion efficiency": {}, "open circuit voltage": {}, "short circuit current": {"entity_name": "J_{sc}", "entity_start": 227, "entity_end": 229, "property_value_start": 231, "property_value_end": 235, "property_numeric_value": 7.6, "property_unit": "mA/cm^{2}", "property_value_descriptor": ""}, "fill factor": {"entity_name": "FF", "entity_start": 241, "entity_end": 241, "property_value_start": 244, "property_value_end": 245, "property_numeric_value": 33.0,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</si>
  <si>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10.1007/s10118-017-1870-4</t>
  </si>
  <si>
    <t xml:space="preserve">[*]c9ccc(c8ccc(c1cc4c(=O)n(C(CCCCC)CCCCC)c(=O)c3ccc2c5c([*])cc7c(=O)n(C(CCCCC)CCCCCC)c(=O)c6ccc(c1c2c34)c5c67)s8)s9</t>
  </si>
  <si>
    <t xml:space="preserve">['Perylene bisimide', 'PBI']</t>
  </si>
  <si>
    <t xml:space="preserve">7.2 mA·cm^{-2}</t>
  </si>
  <si>
    <t xml:space="preserve">{"power conversion efficiency": {"entity_name": "PCE", "entity_start": 192, "entity_end": 192, "property_value_start": 194, "property_value_end": 195, "property_numeric_value": 2.5,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</si>
  <si>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10.1007/s10118-019-2188-1</t>
  </si>
  <si>
    <t xml:space="preserve">PA</t>
  </si>
  <si>
    <t xml:space="preserve">[*]C#Cc8ccc(C#Cc1cc4c(=O)n(CC(CCCCCC)CCCCCCCC)c(=O)c3ccc2c5c([*])cc7c(=O)n(CC(CCCCCC)CCCCCCCC)c(=O)c6ccc(c1c2c34)c5c67)cc8</t>
  </si>
  <si>
    <t xml:space="preserve">['PA', 'poly{4,8-bis[5-(2-ethylhexyl)-thiophen-2-yl]benzo[1,2-b:4,5-b′]dithiophene-2,6-diyl-alt-3-fluoro-2-[(2-ethylhexyl)- carbonyl]thieno[3,4-b]thiophene-4,6-diyl}']</t>
  </si>
  <si>
    <t xml:space="preserve">{"power conversion efficiency": {"entity_name": "PCE", "entity_start": 215, "entity_end": 215, "property_value_start": 218, "property_value_end": 219, "property_numeric_value": 4.03,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</si>
  <si>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MA</t>
  </si>
  <si>
    <t xml:space="preserve">['MA']</t>
  </si>
  <si>
    <t xml:space="preserve">10.1007/s10118-019-2309-x</t>
  </si>
  <si>
    <t xml:space="preserve">TPDCNC</t>
  </si>
  <si>
    <t xml:space="preserve">CCCCC(CC)Cn%14c(=O)c%13c(c1cc6c(s1)c5sc(C=c4c(=O)c3cc2ccccc2cc3c4=C(C#N)C#N)cc5C6(CC(CC)CCCC)CC(CC)CCCC)sc(c7cc%12c(s7)c%11sc(C=c%10c(=O)c9cc8ccccc8cc9c%10=C(C#N)C#N)cc%11C%12(CC(CC)CCCC)CC(CC)CCCC)c%13c%14=O</t>
  </si>
  <si>
    <t xml:space="preserve">['TPDCNC']</t>
  </si>
  <si>
    <t xml:space="preserve">{"power conversion efficiency": {"entity_name": "PCE", "entity_start": 284, "entity_end": 284, "property_value_start": 286, "property_value_end": 287, "property_numeric_value": 9.8, "property_unit": "%", "property_value_descriptor": ""}, "open circuit voltage": {}, "short circuit current": {"entity_name": "J_{SC}", "entity_start": 267, "entity_end": 268, "property_value_start": 271, "property_value_end": 273, "property_numeric_value": 18.16, "property_unit": "mA*cm^{-2}",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</si>
  <si>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TPDCIC</t>
  </si>
  <si>
    <t xml:space="preserve">CCCCC(CC)Cn%12c(=O)c%11c(c1cc5c(s1)c4sc(C=c3c(=O)c2ccccc2c3=C(C#N)C#N)cc4C5(CC(CC)CCCC)CC(CC)CCCC)sc(c6cc%10c(s6)c9sc(C=c8c(=O)c7ccccc7c8=C(C#N)C#N)cc9C%10(CC(CC)CCCC)CC(CC)CCCC)c%11c%12=O</t>
  </si>
  <si>
    <t xml:space="preserve">['TPDCIC']</t>
  </si>
  <si>
    <t xml:space="preserve">{"power conversion efficiency": {}, "open circuit voltage": {}, "short circuit current": {"entity_name": "J_{SC}", "entity_start": 290, "entity_end": 291, "property_value_start": 293, "property_value_end": 294, "property_numeric_value": 17.4, "property_unit": "mA*cm^{-2}",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</si>
  <si>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10.1021/am302408w</t>
  </si>
  <si>
    <t xml:space="preserve">TQ1</t>
  </si>
  <si>
    <t xml:space="preserve">['poly[2,3-bis-(3-octyloxyphenyl)quinoxaline-5,8-diyl-alt-thiophene-2,5-diyl]', 'TQ1']</t>
  </si>
  <si>
    <t xml:space="preserve">{"power conversion efficiency": {"entity_name": "PCE", "entity_start": 182, "entity_end": 182, "property_value_start": 200, "property_value_end": 201, "property_numeric_value": 5.39,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</si>
  <si>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["poly[N-9''-hepta-decanyl-2,7-carbazole-alt-5,5-(4',7'-dithienyl-2',1',3'-benzothiadiazole)]", 'PCDTBT']</t>
  </si>
  <si>
    <t xml:space="preserve">{"power conversion efficiency": {"entity_name": "PCE", "entity_start": 182, "entity_end": 182, "property_value_start": 197, "property_value_end": 198, "property_numeric_value": 6.59,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</si>
  <si>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10.1021/acsami.6b15717</t>
  </si>
  <si>
    <t xml:space="preserve">MPU1</t>
  </si>
  <si>
    <t xml:space="preserve">CCCCC(CC)Cn6c(c2ccc(C=c1sc(=S)n(CC)c1=O)s2)c5c(=O)n(CC(CC)CCCC)c(c4ccc(C=c3sc(=S)n(CC)c3=O)s4)c5c6=O</t>
  </si>
  <si>
    <t xml:space="preserve">['MPU1']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</si>
  <si>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 gap", "entity_start": 69, "entity_end": 71, "property_value_start": 73, "property_value_end": 74, "property_numeric_value": 1.48, "property_unit": "eV", "property_value_descriptor": ""}, "hole mobility": {}, "electron mobility": {}, "external quantum efficiency": {}}</t>
  </si>
  <si>
    <t xml:space="preserve">[*]c1cc%10c(s1)c9sc(c7c(F)cc(c2cc6c(s2)c5sc(c3cc(F)c([*])c4nn(C)nc34)cc5[Si]6(CCCCCCCC)CCCCCCCC)c8nn(C)nc78)cc9[Si]%10(CCCCCCCC)CCCCCCCC</t>
  </si>
  <si>
    <t xml:space="preserve">12.37 mA/cm^{2}</t>
  </si>
  <si>
    <t xml:space="preserve">{"power conversion efficiency": {"entity_name": "power conversion efficiency", "entity_start": 178, "entity_end": 180, "property_value_start": 182, "property_value_end": 183, "property_numeric_value": 7.52, "property_unit": "%", "property_value_descriptor": ""}, "open circuit voltage": {"entity_name": "V_{oc}", "entity_start": 192, "entity_end": 193, "property_value_start": 195, "property_value_end": 196, "property_numeric_value": 0.98, "property_unit": "V", "property_value_descriptor": ""}, "short circuit current": {}, "fill factor": {"entity_name": "fill factor", "entity_start": 199, "entity_end": 200, "property_value_start": 218, "property_value_end": 219, "property_numeric_value": 2.16,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</si>
  <si>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10.1021/am5087566</t>
  </si>
  <si>
    <t xml:space="preserve">p(DTG-TPD)</t>
  </si>
  <si>
    <t xml:space="preserve">[*]c1cc5c(s1)c4sc(c2sc([*])c3c(=O)n(CCCCCCCC)c(=O)c23)cc4[Ge]5(CC(CC)CCCC)CC(CC)CCCC</t>
  </si>
  <si>
    <t xml:space="preserve">['poly(dithienogermole-alt-thienopyrrolodione)','p(DTG-TPD)']</t>
  </si>
  <si>
    <t xml:space="preserve">{"power conversion efficiency": {"entity_name": "PCE", "entity_start": 120, "entity_end": 120, "property_value_start": 124, "property_value_end": 127, "property_numeric_value": 7.04,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</si>
  <si>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10.1021/jacs.6b04822</t>
  </si>
  <si>
    <t xml:space="preserve">{"power conversion efficiency": {}, "open circuit voltage": {}, "short circuit current": {}, "fill factor": {"entity_name": "FF", "entity_start": 228, "entity_end": 228, "property_value_start": 230, "property_value_end": 230, "property_numeric_value": 71.0,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</si>
  <si>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PNDI-T10</t>
  </si>
  <si>
    <t xml:space="preserve">{[*]c6ccc(c5ccc(c1cc3c(=O)n(CC(CCCCCCCC)CCCCCCCCCC)c(=O)c4c([*])cc2c(=O)n(CC(CCCCCCCC)CCCCCCCCCC)c(=O)c1c2c34)s5)s6,[*]c4ccc(c3ccc(c1sc([*])cc1C=c2sc(=C(C#N)C#N)n(CC)c2=O)s3)s4,[*]c5ccc(c1cc3c(=O)n(CC(CCCCCCCC)CCCCCCCCCC)c(=O)c4c([*])cc2c(=O)n(CC(CCCCCCCC)CCCCCCCCCC)c(=O)c1c2c34)s5}</t>
  </si>
  <si>
    <t xml:space="preserve">['PNDI-T10']</t>
  </si>
  <si>
    <t xml:space="preserve">{"power conversion efficiency": {"entity_name": "PCE", "entity_start": 207, "entity_end": 207, "property_value_start": 209, "property_value_end": 210, "property_numeric_value": 7.6,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</si>
  <si>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10.1021/acsami.6b08628</t>
  </si>
  <si>
    <t xml:space="preserve">{"power conversion efficiency": {"entity_name": "PCE", "entity_start": 108, "entity_end": 108, "property_value_start": 111, "property_value_end": 112, "property_numeric_value": 9.13, "property_unit": "%", "property_value_descriptor": ""}, "open circuit voltage": {"entity_name": "open circuit voltage", "entity_start": 124, "entity_end": 126, "property_value_start": 128, "property_value_end": 129, "property_numeric_value": 0.75, "property_unit": "V", "property_value_descriptor": ""}, "short circuit current": {"entity_name": "short circuit current", "entity_start": 114, "entity_end": 116, "property_value_start": 118, "property_value_end": 122, "property_numeric_value": 17.13, "property_unit": "mA/cm^{2}", "property_value_descriptor": ""}, "fill factor": {"entity_name": "fill factor", "entity_start": 131, "entity_end": 132, "property_value_start": 134, "property_value_end": 135, "property_numeric_value": 71.1,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</si>
  <si>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10.1021/acs.accounts.6b00347</t>
  </si>
  <si>
    <t xml:space="preserve">P_{D}</t>
  </si>
  <si>
    <t xml:space="preserve">['P_{D}']</t>
  </si>
  <si>
    <t xml:space="preserve">{"power conversion efficiency": {"entity_name": "PCEs", "entity_start": 52, "entity_end": 52, "property_value_start": 56, "property_value_end": 57,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</si>
  <si>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10.1021/acsami.7b18152</t>
  </si>
  <si>
    <t xml:space="preserve">P2FDTBT_{BO}</t>
  </si>
  <si>
    <t xml:space="preserve">[*]c4cc(F)c(c3sc(c1c(OCC(CCCC)CCCCCC)c(OCC(CCCC)CCCCCC)c([*])c2nsnc12)cc3F)s4</t>
  </si>
  <si>
    <t xml:space="preserve">['P2FDTBT_{BO}']</t>
  </si>
  <si>
    <t xml:space="preserve">{"power conversion efficiency": {"entity_name": "PCE", "entity_start": 152, "entity_end": 152, "property_value_start": 160, "property_value_end": 161, "property_numeric_value": 8.33,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</si>
  <si>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PDTBT_{BO}</t>
  </si>
  <si>
    <t xml:space="preserve">[*]c4ccc(c3ccc(c1c(OCC(CCCC)CCCCCC)c(OCC(CCCC)CCCCCC)c([*])c2nsnc12)s3)s4</t>
  </si>
  <si>
    <t xml:space="preserve">['PDTBT_{BO}']</t>
  </si>
  <si>
    <t xml:space="preserve">10.1021/acsomega.8b02053</t>
  </si>
  <si>
    <t xml:space="preserve">PfBTAZT-fBDT</t>
  </si>
  <si>
    <t xml:space="preserve">[*]c%10ccc(c8c1nn(CC(CCCCCC)CCCCCCCC)nc1c(c7ccc(c6cc5c(c2cc(F)c(CC(CC)CCCC)s2)c3sc([*])cc3c(c4cc(F)c(CC(CC)CCCC)s4)c5s6)s7)c9cc(F)sc89)s%10</t>
  </si>
  <si>
    <t xml:space="preserve">['PfBTAZT-fBDT']</t>
  </si>
  <si>
    <t xml:space="preserve">{"power conversion efficiency": {"entity_name": "power conversion efficiency", "entity_start": 171, "entity_end": 173, "property_value_start": 175, "property_value_end": 176, "property_numeric_value": 6.59,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</si>
  <si>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10.1021/acsami.7b04947</t>
  </si>
  <si>
    <t xml:space="preserve">{"power conversion efficiency": {"entity_name": "power conversion efficiency", "entity_start": 145, "entity_end": 147, "property_value_start": 154, "property_value_end": 155, "property_numeric_value": 9.726,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</si>
  <si>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10.1021/acsami.8b07342</t>
  </si>
  <si>
    <t xml:space="preserve">[6,6]-phenyl C_{71} butyric acid methyl ester</t>
  </si>
  <si>
    <t xml:space="preserve">['[6,6]-phenyl C_{71} butyric acid methyl ester']</t>
  </si>
  <si>
    <t xml:space="preserve">{"power conversion efficiency": {"entity_name": "PCE", "entity_start": 114, "entity_end": 114, "property_value_start": 144, "property_value_end": 145, "property_numeric_value": 8.18,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</si>
  <si>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10.1021/acsami.6b16538</t>
  </si>
  <si>
    <t xml:space="preserve">{"power conversion efficiency": {"entity_name": "PCE", "entity_start": 162, "entity_end": 162, "property_value_start": 168, "property_value_end": 169, "property_numeric_value": 8.5,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</si>
  <si>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10.1021/cm504391k</t>
  </si>
  <si>
    <t xml:space="preserve">[*]c1cc5c(s1)c4sc(c2ccc([*])c3nsnc23)cc4C5(CCCCCC(=O)OCC)CC(CC)CCCC</t>
  </si>
  <si>
    <t xml:space="preserve">{"power conversion efficiency": {"entity_name": "power conversion efficiency", "entity_start": 29, "entity_end": 31, "property_value_start": 35, "property_value_end": 36,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</si>
  <si>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10.1021/am301059j</t>
  </si>
  <si>
    <t xml:space="preserve">{"power conversion efficiency": {"entity_name": "PCE", "entity_start": 153, "entity_end": 153, "property_value_start": 155, "property_value_end": 156, "property_numeric_value": 3.8,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</si>
  <si>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10.1021/ja9057986</t>
  </si>
  <si>
    <t xml:space="preserve">['poly(2-(5-(5,6-bis(octyloxy)-4-(thiophen-2-yl)benzo[c][1,2,5]thiadiazol-7-yl)thiophen-2-yl)-9-octyl-9H-carbazole)', 'HXS-1']</t>
  </si>
  <si>
    <t xml:space="preserve">['[6,6]-phenyl C71-butyric acid methyl ester', 'PC71BM']</t>
  </si>
  <si>
    <t xml:space="preserve">{"power conversion efficiency": {"entity_name": "PCE", "entity_start": 70, "entity_end": 70, "property_value_start": 72, "property_value_end": 73, "property_numeric_value": 5.4, "property_unit": "%", "property_value_descriptor": ""}, "open circuit voltage": {"entity_name": "V_{oc}", "entity_start": 57, "entity_end": 58, "property_value_start": 60, "property_value_end": 61, "property_numeric_value": 0.81, "property_unit": "V", "property_value_descriptor": ""}, "short circuit current": {"entity_name": "J_{sc}", "entity_start": 47, "entity_end": 48, "property_value_start": 50, "property_value_end": 54, "property_numeric_value": 9.6, "property_unit": "mA/cm^{2}", "property_value_descriptor": ""}, "fill factor": {"entity_name": "FF", "entity_start": 64, "entity_end": 64, "property_value_start": 66, "property_value_end": 66, "property_numeric_value": 69.0,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</si>
  <si>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10.1021/am402684w</t>
  </si>
  <si>
    <t xml:space="preserve">ZnO</t>
  </si>
  <si>
    <t xml:space="preserve">['ZnO']</t>
  </si>
  <si>
    <t xml:space="preserve">{"power conversion efficiency": {"entity_name": "PCE", "entity_start": 166, "entity_end": 166, "property_value_start": 169, "property_value_end": 170, "property_numeric_value": 0.42,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</si>
  <si>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['[6,6]-phenyl C61-butyric acid methyl ester','PCBM']</t>
  </si>
  <si>
    <t xml:space="preserve">{"power conversion efficiency": {"entity_name": "PCE", "entity_start": 202, "entity_end": 202, "property_value_start": 204, "property_value_end": 205, "property_numeric_value": 4.69,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</si>
  <si>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10.1021/acsami.8b03603</t>
  </si>
  <si>
    <t xml:space="preserve">='PFPDI-T'</t>
  </si>
  <si>
    <t xml:space="preserve">[*]c%17ccc(c2cc3c(=O)n(C(CCCCC)CCCCC)c(=O)c4cc5c1c%10cc%13c(=O)n(C(CCCCC)CCCCC)c(=O)c%12ccc%11c%14c([*])cc%15c(=O)n(C(CCCCC)CCCCC)c(=O)c%16cc(c1c6cc9c(=O)n(C(CCCCC)CCCCC)c(=O)c8ccc7c2c(c34)c5c6c7c89)c(c%10c%11c%12%13)c%14c%15%16)s%17</t>
  </si>
  <si>
    <t xml:space="preserve">['PFPDI-T']</t>
  </si>
  <si>
    <t xml:space="preserve">{"power conversion efficiency": {"entity_name": "PCEs", "entity_start": 142, "entity_end": 142, "property_value_start": 145, "property_value_end": 147, "property_numeric_value": 6.0, "property_unit": "%", "property_value_descriptor": "&gt;"}, "open circuit voltage": {"entity_name": "V_{oc}", "entity_start": 190, "entity_end": 191, "property_value_start": 194, "property_value_end": 195, "property_numeric_value": 0.76, "property_unit": "V", "property_value_descriptor": ""}, "short circuit current": {}, "fill factor": {}, "highest occupied molecular orbital": {}, "lowest unoccupied molecular orbital": {}, "bandgap": {"entity_name": "optical bandgap", "entity_start": 68, "entity_end": 69, "property_value_start": 71, "property_value_end": 74, "property_numeric_value": 1.885, "property_unit": "eV", "property_value_descriptor": "-"}, "hole mobility": {}, "electron mobility": {}, "external quantum efficiency": {}}</t>
  </si>
  <si>
    <t xml:space="preserve">PFPDI-Se</t>
  </si>
  <si>
    <t xml:space="preserve">[*]c%17ccc(c2cc3c(=O)n(C(CCCCC)CCCCC)c(=O)c4cc5c1c%10cc%13c(=O)n(C(CCCCC)CCCCC)c(=O)c%12ccc%11c%14c([*])cc%15c(=O)n(C(CCCCC)CCCCC)c(=O)c%16cc(c1c6cc9c(=O)n(C(CCCCC)CCCCC)c(=O)c8ccc7c2c(c34)c5c6c7c89)c(c%10c%11c%12%13)c%14c%15%16)[se]%17</t>
  </si>
  <si>
    <t xml:space="preserve">['PFPDI-Se']</t>
  </si>
  <si>
    <t xml:space="preserve">{"power conversion efficiency": {"entity_name": "PCE", "entity_start": 162, "entity_end": 162, "property_value_start": 164, "property_value_end": 165, "property_numeric_value": 6.58, "property_unit": "%", "property_value_descriptor": ""}, "open circuit voltage": {}, "short circuit current": {"entity_name": "J_{sc}", "entity_start": 174, "entity_end": 175, "property_value_start": 178, "property_value_end": 182, "property_numeric_value": 13.96, "property_unit": "mA/cm^{2}", "property_value_descriptor": ""}, "fill factor": {"entity_name": "FF", "entity_start": 202, "entity_end": 202, "property_value_start": 205, "property_value_end": 206, "property_numeric_value": 62.0,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</si>
  <si>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10.1021/jz200428y</t>
  </si>
  <si>
    <t xml:space="preserve">{"power conversion efficiency": {"entity_name": "power conversion efficiency", "entity_start": 111, "entity_end": 113, "property_value_start": 115, "property_value_end": 116, "property_numeric_value": 1.22,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</si>
  <si>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10.1021/jp909135k</t>
  </si>
  <si>
    <t xml:space="preserve">PTB1</t>
  </si>
  <si>
    <t xml:space="preserve">[*]c5cc4c(OCCCCCCCC)c3sc(c1sc([*])c2cc(OOCCCCCCCCCCCC)sc12)cc3c(OCCCCCCCC)c4s5</t>
  </si>
  <si>
    <t xml:space="preserve">['poly(thienothiophene-benzodithiophene)','PTB1']</t>
  </si>
  <si>
    <t xml:space="preserve">{"power conversion efficiency": {"entity_name": "PCE", "entity_start": 227, "entity_end": 227, "property_value_start": 229, "property_value_end": 230, "property_numeric_value": 5.24,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</si>
  <si>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10.1021/acs.jpcc.5b09575</t>
  </si>
  <si>
    <t xml:space="preserve">{"power conversion efficiency": {"entity_name": "PCE", "entity_start": 143, "entity_end": 143, "property_value_start": 148, "property_value_end": 149, "property_numeric_value": 4.26,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</si>
  <si>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PBDT-TS1</t>
  </si>
  <si>
    <t xml:space="preserve">[*]c7cc6c(c1ccc(SCCCCCCCC)s1)c4sc(c2sc([*])c3c(F)c(C(=O)OCC(CC)CCCC)sc23)cc4c(c5ccc(SCCCCCCCC)s5)c6s7</t>
  </si>
  <si>
    <t xml:space="preserve">['PBDT-TS1']</t>
  </si>
  <si>
    <t xml:space="preserve">{"power conversion efficiency": {"entity_name": "PCE", "entity_start": 143, "entity_end": 143, "property_value_start": 155, "property_value_end": 156, "property_numeric_value": 9.02,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</si>
  <si>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10.1021/acsami.6b10264</t>
  </si>
  <si>
    <t xml:space="preserve">{"power conversion efficiency": {"entity_name": "PCE", "entity_start": 177, "entity_end": 177, "property_value_start": 182, "property_value_end": 183,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</si>
  <si>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10.1021/acsami.5b00308</t>
  </si>
  <si>
    <t xml:space="preserve">{"power conversion efficiency": {"entity_name": "PCE", "entity_start": 107, "entity_end": 107, "property_value_start": 119, "property_value_end": 120, "property_numeric_value": 3.35,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</si>
  <si>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10.1021/acsami.8b06822</t>
  </si>
  <si>
    <t xml:space="preserve">poly[4,8-bis(5-(2-ethylhexyl)thiophen-2-yl)benzo[1,2-b;4,5-b0]dithiophene-2,6-diyl</t>
  </si>
  <si>
    <t xml:space="preserve">['poly[4,8-bis(5-(2-ethylhexyl)thiophen-2-yl)benzo[1,2-b;4,5-b0]dithiophene-2,6-diyl', ']', 'poly[[9-(1-octylnonyl)-9H-carbazole-2,7-diyl]-2,5-thiophenediyl-2,1,3-benzothiadiazole-4,7-diyl-2,5-thiophenediyl]']</t>
  </si>
  <si>
    <t xml:space="preserve">3,9-bis(2-methylene-(3-(1,1-dicyanomethylene)-indanone)-5,5,11,11-tetrakis(4-hexylphenyl)-dithieno[2,3-d:2',3'-d']-s-indaceno[1,2-b:5,6-b']dithiophene)</t>
  </si>
  <si>
    <t xml:space="preserve">{"power conversion efficiency": {"entity_name": "PCE", "entity_start": 204, "entity_end": 204, "property_value_start": 210, "property_value_end": 211, "property_numeric_value": 12.15,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</si>
  <si>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10.1021/ja801877k</t>
  </si>
  <si>
    <t xml:space="preserve">{[*]c%11ccc(c%10ccc(c1cc3c(s1)c2cc7c(cc2C3(c4ccc(CCCCCC)cc4)c5ccc(CCCCCC)cc5)c6sc([*])cc6C7(c8ccc(CCCCCC)cc8)c9ccc(CCCCCC)cc9)s%10)s%11,[*]c4ccc(c3ccc(c1ccc([*])c2nsnc12)s3)s4}</t>
  </si>
  <si>
    <t xml:space="preserve">{[*]c%11ccc(c%10ccc(c1cc3c(s1)c2cc7c(cc2C3(c4ccc(CCCCCC)cc4)c5ccc(CCCCCC)cc5)c6sc([*])cc6C7(c8ccc(CCCCCC)cc8)c9ccc(CCCCCC)cc9)s%10)s%11,[*]c3ccc(c1ccc([*])c2nsnc12)s3}</t>
  </si>
  <si>
    <t xml:space="preserve">{"power conversion efficiency": {}, "open circuit voltage": {}, "short circuit current": {}, "fill factor": {}, "highest occupied molecular orbital": {}, "lowest unoccupied molecular orbital": {}, "bandgap": {"entity_name": "bandgaps", "entity_start": 77, "entity_end": 77, "property_value_start": 84, "property_value_end": 85, "property_numeric_value": 1.7, "property_unit": "eV", "property_value_descriptor": ""}, "hole mobility": {}, "electron mobility": {}, "external quantum efficiency": {}}</t>
  </si>
  <si>
    <t xml:space="preserve">10.1021/acs.chemmater.6b03189</t>
  </si>
  <si>
    <t xml:space="preserve">PBSF</t>
  </si>
  <si>
    <t xml:space="preserve">[*]c%18cc%17c(c1ccc(CC(CC)CCCC)s1)c%15sc(c2cc%14c(s2)c%13sc(c%11c(F)c(F)c(c3cc%10c(s3)c9sc(c8cc7c(c4ccc(CC(CC)CCCC)s4)c5sc([*])cc5c(c6ccc(CC(CC)CCCC)s6)c7s8)cc9[Si]%10(CC(CC)CCCC)CC(CC)CCCC)c%12nsnc%11%12)cc%13[Si]%14(CC(CC)CCCC)CC(CC)CCCC)cc%15c(c%16ccc(CC(CC)CCCC)s%16)c%17s%18</t>
  </si>
  <si>
    <t xml:space="preserve">['PBSF']</t>
  </si>
  <si>
    <t xml:space="preserve">['C_{70}']</t>
  </si>
  <si>
    <t xml:space="preserve">{"power conversion efficiency": {"entity_name": "PCE", "entity_start": 147, "entity_end": 147, "property_value_start": 149, "property_value_end": 150, "property_numeric_value": 5.3,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</si>
  <si>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10.1021/acsami.7b04214</t>
  </si>
  <si>
    <t xml:space="preserve">PBT</t>
  </si>
  <si>
    <t xml:space="preserve">[*]c7cc6sc5cc(c4sc(c2ccc(c1cc(CC(CCCCCCCC)CCCCCCCCCC)c([*])s1)c3nsnc23)cc4CC(CCCCCCCC)CCCCCCCCCC)sc5c6s7</t>
  </si>
  <si>
    <t xml:space="preserve">['PBT']</t>
  </si>
  <si>
    <t xml:space="preserve">{"power conversion efficiency": {"entity_name": "PCE", "entity_start": 213, "entity_end": 213, "property_value_start": 250, "property_value_end": 251, "property_numeric_value": 1.0, "property_unit": "%", "property_value_descriptor": ""}, "open circuit voltage": {}, "short circuit current": {}, "fill factor": {"entity_name": "fill factor", "entity_start": 190, "entity_end": 191, "property_value_start": 198, "property_value_end": 198, "property_numeric_value": 69.0,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</si>
  <si>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PFBT</t>
  </si>
  <si>
    <t xml:space="preserve">[*]c7cc6sc5cc(c4sc(c2c(F)cc(c1cc(CC(CCCCCCCC)CCCCCCCCCC)c([*])s1)c3nsnc23)cc4CC(CCCCCCCC)CCCCCCCCCC)sc5c6s7</t>
  </si>
  <si>
    <t xml:space="preserve">['PFBT']</t>
  </si>
  <si>
    <t xml:space="preserve">PDFBT</t>
  </si>
  <si>
    <t xml:space="preserve">[*]c7cc6sc5cc(c4sc(c2c(F)c(F)c(c1cc(CC(CCCCCCCC)CCCCCCCCCC)c([*])s1)c3nsnc23)cc4CC(CCCCCCCC)CCCCCCCCCC)sc5c6s7</t>
  </si>
  <si>
    <t xml:space="preserve">['PDFBT']</t>
  </si>
  <si>
    <t xml:space="preserve">10.1021/acsmacrolett.7b00547</t>
  </si>
  <si>
    <t xml:space="preserve">P4TIN</t>
  </si>
  <si>
    <t xml:space="preserve">[*]c8cc(C#N)c(c7sc(c6sc(c5ccc4c(=c2c(=O)n(CC(CCCCCCCCCC)CCCCCCCCCCCC)c3cc(c1cc(CCCCCCCCCCCC)c([*])s1)ccc23)c(=O)n(CC(CCCCCCCCCC)CCCCCCCCCCCC)c4c5)cc6CCCCCCCCCCCC)cc7C#N)s8</t>
  </si>
  <si>
    <t xml:space="preserve">['P4TIN']</t>
  </si>
  <si>
    <t xml:space="preserve">{"power conversion efficiency": {"entity_name": "power conversion efficiency", "entity_start": 139, "entity_end": 141, "property_value_start": 143, "property_value_end": 144, "property_numeric_value": 8.36, "property_unit": "%", "property_value_descriptor": ""}, "open circuit voltage": {"entity_name": "open circuit voltage", "entity_start": 131, "entity_end": 133, "property_value_start": 135, "property_value_end": 136, "property_numeric_value": 1.06,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</si>
  <si>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10.1021/acsami.8b15746</t>
  </si>
  <si>
    <t xml:space="preserve">{"power conversion efficiency": {"entity_name": "power conversion efficiency", "entity_start": 119, "entity_end": 121, "property_value_start": 123, "property_value_end": 124, "property_numeric_value": 2.665,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</si>
  <si>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10.1021/acsami.7b05422</t>
  </si>
  <si>
    <t xml:space="preserve">{"power conversion efficiency": {"entity_name": "PCE", "entity_start": 82, "entity_end": 82, "property_value_start": 85, "property_value_end": 86, "property_numeric_value": 4.18, "property_unit": "%", "property_value_descriptor": ""}, "open circuit voltage": {"entity_name": "V_{oc}", "entity_start": 102, "entity_end": 103, "property_value_start": 105, "property_value_end": 106, "property_numeric_value": 0.61, "property_unit": "V", "property_value_descriptor": ""}, "short circuit current": {"entity_name": "J_{sc}", "entity_start": 93, "entity_end": 94, "property_value_start": 96, "property_value_end": 99, "property_numeric_value": 10.94, "property_unit": "mA cm^{-2}", "property_value_descriptor": ""}, "fill factor": {"entity_name": "fill factor", "entity_start": 88, "entity_end": 89, "property_value_start": 91, "property_value_end": 91, "property_numeric_value": 63.0,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</si>
  <si>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10.1021/am505387q</t>
  </si>
  <si>
    <t xml:space="preserve">['poly[N-9″-hepta-decanyl-2,7-carbazole-alt-5,5- (4′,7′-di-2-thienyl-2′,1′,3′- benzothiadiazole)','PCDTBT']</t>
  </si>
  <si>
    <t xml:space="preserve">{"power conversion efficiency": {"entity_name": "PCE", "entity_start": 76, "entity_end": 76, "property_value_start": 147, "property_value_end": 148, "property_numeric_value": 5.84,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</si>
  <si>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10.1021/jacs.5b12664</t>
  </si>
  <si>
    <t xml:space="preserve">{"power conversion efficiency": {"entity_name": "PCEs", "entity_start": 278, "entity_end": 278, "property_value_start": 285, "property_value_end": 286, "property_numeric_value": 10.11,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</si>
  <si>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314, "entity_end": 314, "property_value_start": 317, "property_value_end": 318,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</si>
  <si>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10.1021/am404483g</t>
  </si>
  <si>
    <t xml:space="preserve">F8TBT</t>
  </si>
  <si>
    <t xml:space="preserve">[*]c7ccc6c5ccc(c4sc(c2ccc(c1cc(CCCCCC)c([*])s1)c3nsnc23)cc4CCCCCC)cc5C(CCCCCCCC)(CCCCCCCC)c6c7</t>
  </si>
  <si>
    <t xml:space="preserve">["poly{(9,9-dioctylfluorenyl-2,7-diyl)-alt-[4,7-bis(3-hexylthiophen-5-yl)-2,1,3-benzothiadiazole]-2',2''-diyl}", 'F8TBT']</t>
  </si>
  <si>
    <t xml:space="preserve">{"power conversion efficiency": {"entity_name": "power conversion efficiency", "entity_start": 144, "entity_end": 146, "property_value_start": 148, "property_value_end": 149, "property_numeric_value": 1.87, "property_unit": "%", "property_value_descriptor": ""}, "open circuit voltage": {"entity_name": "V_{oc}", "entity_start": 152, "entity_end": 153, "property_value_start": 155, "property_value_end": 156, "property_numeric_value": 1.35,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</si>
  <si>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10.1021/am506470b</t>
  </si>
  <si>
    <t xml:space="preserve">['indene–C_{60} bisadduct','ICBA']</t>
  </si>
  <si>
    <t xml:space="preserve">{"power conversion efficiency": {"entity_name": "PCE", "entity_start": 160, "entity_end": 160, "property_value_start": 200, "property_value_end": 201, "property_numeric_value": 4.21,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</si>
  <si>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10.1021/acsenergylett.9b00460</t>
  </si>
  <si>
    <t xml:space="preserve">BSS10</t>
  </si>
  <si>
    <t xml:space="preserve">{[*]c6ccc(c5ccc(c1cc3c(=O)n(CC(CCCCCCCC)CCCCCCCCCC)c(=O)c4c([*])cc2c(=O)n(CC(CCCCCCCC)CCCCCCCCCC)c(=O)c1c2c34)[se]5)[se]6,[*]c5ccc(c1cc3c(=O)n(CC(CCCCCCCC)CCCCCCCCCC)c(=O)c4c([*])cc2c(=O)n(CC(CCCCCCCC)CCCCCCCCCC)c(=O)c1c2c34)[se]5}</t>
  </si>
  <si>
    <t xml:space="preserve">['BSS10', 'BSS10-']</t>
  </si>
  <si>
    <t xml:space="preserve">{"power conversion efficiency": {"entity_name": "power conversion efficiency", "entity_start": 89, "entity_end": 91, "property_value_start": 93, "property_value_end": 94, "property_numeric_value": 97.0,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{"entity_name": "external quantum efficiency", "entity_start": 121, "entity_end": 123, "property_value_start": 125, "property_value_end": 127, "property_numeric_value": 85.0, "property_unit": "%", "property_value_descriptor": "&gt;"}}</t>
  </si>
  <si>
    <t xml:space="preserve">10.1021/am504939c</t>
  </si>
  <si>
    <t xml:space="preserve">['P3HT', 'P3HT)-base']</t>
  </si>
  <si>
    <t xml:space="preserve">AC_{61}BM</t>
  </si>
  <si>
    <t xml:space="preserve">COC(=O)CCCC%34(c2cc1ccccc1c3ccccc23)C4%35c5c6c%33c7c8c9c(c%10c%11c4c%12c%13c5c%14c%15c6c%16c7c%17c8c%18c%19c9c%10c%20c%21c%11c%12c%22c%23c%13c%14c%24c%25c%15c%16c%26c%17c%27c%18c%28c%19c%20c%29c%21c%22c%30c%23c%24c%31c%25c%26c%27c%32c%28c%29c%30c%31%32)C%33%34%35</t>
  </si>
  <si>
    <t xml:space="preserve">['AC_{61}BM']</t>
  </si>
  <si>
    <t xml:space="preserve">{"power conversion efficiency": {"entity_name": "PCEs", "entity_start": 224, "entity_end": 224, "property_value_start": 247, "property_value_end": 248, "property_numeric_value": 1.95,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mobility", "entity_start": 126, "entity_end": 127, "property_value_start": 167, "property_value_end": 176, "property_numeric_value": 0.000213, "property_unit": "cm^{2} V^{-1} s^{-1}", "property_value_descriptor": ""}, "external quantum efficiency": {}}</t>
  </si>
  <si>
    <t xml:space="preserve">NC_{61}BM</t>
  </si>
  <si>
    <t xml:space="preserve">COC(=O)CCCC%33(c2ccc1ccccc1c2)C3%34c4c5c%32c6c7c8c(c9c%10c3c%11c%12c4c%13c%14c5c%15c6c%16c7c%17c%18c8c9c%19c%20c%10c%11c%21c%22c%12c%13c%23c%24c%14c%15c%25c%16c%26c%17c%27c%18c%19c%28c%20c%21c%29c%22c%23c%30c%24c%25c%26c%31c%27c%28c%29c%30%31)C%32%33%34</t>
  </si>
  <si>
    <t xml:space="preserve">['NC_{61}BM']</t>
  </si>
  <si>
    <t xml:space="preserve">['[6,6]-phenyl C61-butyric acid methyl ester','PC_{61}BM']</t>
  </si>
  <si>
    <t xml:space="preserve">PyC_{61}BM</t>
  </si>
  <si>
    <t xml:space="preserve">COC(=O)CCCC%35(c1ccc2ccc3cccc4ccc1c2c34)C5%36c6c7c%34c8c9c%10c(c%11c%12c5c%13c%14c6c%15c%16c7c%17c8c%18c9c%19c%20c%10c%11c%21c%22c%12c%13c%23c%24c%14c%15c%25c%26c%16c%17c%27c%18c%28c%19c%29c%20c%21c%30c%22c%23c%31c%24c%25c%32c%26c%27c%28c%33c%29c%30c%31c%32%33)C%34%35%36</t>
  </si>
  <si>
    <t xml:space="preserve">['PyC_{61}BM']</t>
  </si>
  <si>
    <t xml:space="preserve">10.1021/acsenergylett.8b02114</t>
  </si>
  <si>
    <t xml:space="preserve">PFBDT-IDTIC</t>
  </si>
  <si>
    <t xml:space="preserve">[*]c%14ccc%13c(=O)c(=Cc1cc3c(s1)c2cc%12c(cc2C3(CCCCCCCCCCCCCCCC)CCCCCCCCCCCCCCCC)c%11sc(C=c%10c(=O)c9ccc(c8cc7c(c4cc(F)c(CC(CC)CCCC)s4)c5sc([*])cc5c(c6cc(F)c(CC(CC)CCCC)s6)c7s8)cc9c%10=C(C#N)C#N)cc%11C%12(CCCCCCCCCCCCCCCC)CCCCCCCCCCCCCCCC)c(=C(C#N)C#N)c%13c%14</t>
  </si>
  <si>
    <t xml:space="preserve">['PFBDT-IDTIC']</t>
  </si>
  <si>
    <t xml:space="preserve">{"power conversion efficiency": {"entity_name": "power conversion efficiency", "entity_start": 40, "entity_end": 42, "property_value_start": 44, "property_value_end": 45, "property_numeric_value": 10.3,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</si>
  <si>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10.1021/acsami.9b05463</t>
  </si>
  <si>
    <t xml:space="preserve">PPPyDPP</t>
  </si>
  <si>
    <t xml:space="preserve">[*]C#CC7=c%11ccc%12=C(C1=CC(OCC(CCCC)CCCCCC)=C(OCC(CCCC)CCCCCC)C(OCC(CCCC)CCCCCC)C1)c%13ccc%14=C(C#Cc5ccc(c4c3c(=O)n(CCCCCCCCCCCCCCCC)c(c2ccc([*])cn2)c3c(=O)n4CCCCCCCCCCCCCCCC)nc5)c9ccc%10C(c6cc(OCC(CCCC)CCCCCC)c(OCC(CCC)CCCCCC)c(OCC(CCCC)CCCCCC)c6)C8C=CC7=[N+]8[Zn](n9%10)(n%11%12)[n+]%13%14</t>
  </si>
  <si>
    <t xml:space="preserve">['PPPyDPP']</t>
  </si>
  <si>
    <t xml:space="preserve">ICzRd_{2}</t>
  </si>
  <si>
    <t xml:space="preserve">CCCCC(CC)Cn6c4ccc(c2ccc(C=c1sc(=S)n(CC)c1=O)c3nsnc23)cc4c5cc%11c(cc56)c%10cc(c8ccc(C=c7sc(=S)n(CC)c7=O)c9nsnc89)ccc%10n%11CC(CC)CCCC</t>
  </si>
  <si>
    <t xml:space="preserve">['bis(rhodanine)indolo-[3,2-b]-carbazole','ICzRd_{2}']</t>
  </si>
  <si>
    <t xml:space="preserve">{"power conversion efficiency": {"entity_name": "PCEs", "entity_start": 149, "entity_end": 149, "property_value_start": 154, "property_value_end": 155, "property_numeric_value": 9.16, "property_unit": "%", "property_value_descriptor": ""}, "open circuit voltage": {"entity_name": "V_{oc}", "entity_start": 177, "entity_end": 178, "property_value_start": 180, "property_value_end": 181, "property_numeric_value": 1.01, "property_unit": "V", "property_value_descriptor": ""}, "short circuit current": {}, "fill factor": {}, "highest occupied molecular orbital": {}, "lowest unoccupied molecular orbital": {"entity_name": "LUMO) energy level", "entity_start": 81, "entity_end": 84, "property_value_start": 91, "property_value_end": 92, "property_numeric_value": -3.78, "property_unit": "eV", "property_value_descriptor": ""}, "bandgap": {"entity_name": "optical band gap", "entity_start": 60, "entity_end": 62, "property_value_start": 64, "property_value_end": 65, "property_numeric_value": 1.46, "property_unit": "eV", "property_value_descriptor": ""}, "hole mobility": {}, "electron mobility": {}, "external quantum efficiency": {}}</t>
  </si>
  <si>
    <t xml:space="preserve">10.1021/acs.chemmater.8b05352</t>
  </si>
  <si>
    <t xml:space="preserve">J12</t>
  </si>
  <si>
    <t xml:space="preserve">[*]c9ccc(c7c(F)c(F)c(c6ccc(c5cc4c(c1cc(OCCCCCCCC)c(Cl)s1)c2sc([*])cc2c(c3cc(OCCCCCCCC)c(Cl)s3)c4s5)s6)c8nn(CC(CCCCCC)CCCCCCCC)nc78)s9</t>
  </si>
  <si>
    <t xml:space="preserve">['J12']</t>
  </si>
  <si>
    <t xml:space="preserve">m -ITTC</t>
  </si>
  <si>
    <t xml:space="preserve">CCCCCCc%15ccc(C7(c1ccc(CCCCCC)cc1)c2cc%10c(cc2c6sc5cc(C=c4c(=O)c3cscc3c4=C(C#N)C#N)sc5c67)C(c8ccc(CCCCCC)cc8)(c9ccc(CCCCCC)cc9)c%13c%10sc%14cc(C=c%12c(=O)c%11cscc%11c%12=C(C#N)C#N)sc%13%14)cc%15</t>
  </si>
  <si>
    <t xml:space="preserve">['m -ITTC']</t>
  </si>
  <si>
    <t xml:space="preserve">0.943 V</t>
  </si>
  <si>
    <t xml:space="preserve">{"power conversion efficiency": {"entity_name": "PCE", "entity_start": 191, "entity_end": 191, "property_value_start": 193, "property_value_end": 194, "property_numeric_value": 8.74, "property_unit": "%", "property_value_descriptor": ""}, "open circuit voltage": {}, "short circuit current": {}, "fill factor": {"entity_name": "FF", "entity_start": 208, "entity_end": 208, "property_value_start": 210, "property_value_end": 210, "property_numeric_value": 56.00000000000001,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</si>
  <si>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J11</t>
  </si>
  <si>
    <t xml:space="preserve">[*]c9ccc(c7c(F)c(F)c(c6ccc(c5cc4c(c1cc(CCCCCCCC)c(Cl)s1)c2sc([*])cc2c(c3cc(CCCCCCCC)c(Cl)s3)c4s5)s6)c8nn(CC(CCCCCC)CCCCCCCC)nc78)s9</t>
  </si>
  <si>
    <t xml:space="preserve">['J11']</t>
  </si>
  <si>
    <t xml:space="preserve">{"power conversion efficiency": {}, "open circuit voltage": {"entity_name": "V_{oc}", "entity_start": 200, "entity_end": 201, "property_value_start": 203, "property_value_end": 204, "property_numeric_value": 0.943,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</si>
  <si>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10.1021/acsami.7b12902</t>
  </si>
  <si>
    <t xml:space="preserve">PTzBI</t>
  </si>
  <si>
    <t xml:space="preserve">['PTzBI']</t>
  </si>
  <si>
    <t xml:space="preserve">IFBR-d</t>
  </si>
  <si>
    <t xml:space="preserve">CCCCCCc%15ccc(C7(c1ccc(CCCCCC)cc1)c2cc%13c(cc2c6sc(c4cc(F)c(/C=C/3CC(=S)N(CC)C3=O)c5nsnc45)cc67)C(c8ccc(CCCCCC)cc8)(c9ccc(CCCCCC)cc9)c%14cc(c%11cc(F)c(C=c%10sc(=S)n(CC)c%10=O)c%12nsnc%11%12)sc%13%14)cc%15</t>
  </si>
  <si>
    <t xml:space="preserve">['IFBR-d']</t>
  </si>
  <si>
    <t xml:space="preserve">{"power conversion efficiency": {"entity_name": "power conversion efficiency", "entity_start": 96, "entity_end": 98, "property_value_start": 119, "property_value_end": 122, "property_numeric_value": 5.2,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</si>
  <si>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IFBR-p</t>
  </si>
  <si>
    <t xml:space="preserve">CCCCCCc%15ccc(C7(c1ccc(CCCCCC)cc1)c2cc%13c(cc2c6sc(c4c(F)cc(/C=C/3CC(=S)N(CC)C3=O)c5nsnc45)cc67)C(c8ccc(CCCCCC)cc8)(c9ccc(CCCCCC)cc9)c%14cc(c%11c(F)cc(C=c%10sc(=S)n(CC)c%10=O)c%12nsnc%11%12)sc%13%14)cc%15</t>
  </si>
  <si>
    <t xml:space="preserve">['IFBR-p']</t>
  </si>
  <si>
    <t xml:space="preserve">10.1021/ja303813s</t>
  </si>
  <si>
    <t xml:space="preserve">IPCBM</t>
  </si>
  <si>
    <t xml:space="preserve">COC(=O)CCCC2(c1ccccc1)c3c4cc5c7c9c2c%10c%11cc%12c%20c3c%21c%24c4c%25c5c8c%27c6c%28c%26c%23c%32c%22c%19c%13c%31c%15c(c%17c6c(c78)c%18c9c%10c%16c%14c%11c%12c(c%13c%14c%15c%16c%17%18)c%19c%20c%21c%22c%23c%24c%25c%26%27)C%28%33C%30CC(c%29ccccc%29%30)C%31%32%33</t>
  </si>
  <si>
    <t xml:space="preserve">['IPCBM']</t>
  </si>
  <si>
    <t xml:space="preserve">{"power conversion efficiency": {"entity_name": "PCE", "entity_start": 114, "entity_end": 114, "property_value_start": 151, "property_value_end": 151, "property_numeric_value": 3.06,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</si>
  <si>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114, "entity_end": 114, "property_value_start": 153, "property_value_end": 154, "property_numeric_value": 6.21,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</si>
  <si>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10.1021/acs.chemrev.9b00044</t>
  </si>
  <si>
    <t xml:space="preserve">P_{D}s</t>
  </si>
  <si>
    <t xml:space="preserve">['P_{D}s']</t>
  </si>
  <si>
    <t xml:space="preserve">P_{A}s</t>
  </si>
  <si>
    <t xml:space="preserve">['P_{A}s']</t>
  </si>
  <si>
    <t xml:space="preserve">{"power conversion efficiency": {"entity_name": "PCEs", "entity_start": 107, "entity_end": 107, "property_value_start": 114, "property_value_end": 115, "property_numeric_value": 11.0,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</si>
  <si>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10.1021/acsami.6b11978</t>
  </si>
  <si>
    <t xml:space="preserve">{"power conversion efficiency": {"entity_name": "power conversion efficiency", "entity_start": 169, "entity_end": 171, "property_value_start": 196, "property_value_end": 197, "property_numeric_value": 9.54,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</si>
  <si>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10.1021/jp212254g</t>
  </si>
  <si>
    <t xml:space="preserve">OPFTh-C60</t>
  </si>
  <si>
    <t xml:space="preserve">CCCCCCCCOc%37ccc(C%36(c%33ccc(C%31N(C)CC1%32c2c3c%30c4c5c6c(c7c8c1c9c%10c2c%11c%12c3c%13c4c%14c5c%15c%16c6c7c%17c%18c8c9c%19c%20c%10c%11c%21c%22c%12c%13c%23c%14c%24c%15c%25c%16c%17c%26c%18c%19c%27c%20c%21c%28c%22c%23c%24c%29c%25c%26c%27c%28%29)C%30%31%32)s%33)c%34ccccc%34c%35ccccc%35%36)cc%37</t>
  </si>
  <si>
    <t xml:space="preserve">['OPFTh-C60', 'OPFTh-C60-based']</t>
  </si>
  <si>
    <t xml:space="preserve">{"power conversion efficiency": {"entity_name": "power conversion efficiency", "entity_start": 215, "entity_end": 217, "property_value_start": 219, "property_value_end": 220, "property_numeric_value": 2.8, "property_unit": "%", "property_value_descriptor": ""}, "open circuit voltage": {"entity_name": "V_{oc}", "entity_start": 202, "entity_end": 203, "property_value_start": 206, "property_value_end": 207, "property_numeric_value": 0.63, "property_unit": "V", "property_value_descriptor": ""}, "short circuit current": {"entity_name": "I_{sc}", "entity_start": 187, "entity_end": 188, "property_value_start": 191, "property_value_end": 195, "property_numeric_value": 8.68, "property_unit": "mA/cm^{2}", "property_value_descriptor": ""}, "fill factor": {"entity_name": "fill factor", "entity_start": 209, "entity_end": 210, "property_value_start": 212, "property_value_end": 212, "property_numeric_value": 51.0,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</si>
  <si>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10.1021/am201537p</t>
  </si>
  <si>
    <t xml:space="preserve">["poly[(4,4'-bis(2-ethylhexyl)dithieno[3,2-b:2',3'-d]silole)-2,6-diyl-alt-(2,1,3-benzothiadiazole)-4,7-diyl]", 'PDTS-BTD']</t>
  </si>
  <si>
    <t xml:space="preserve">['{6,6}-phenyl-C71 butyric acid methyl ester', 'PC_{71}BM']</t>
  </si>
  <si>
    <t xml:space="preserve">{"power conversion efficiency": {"entity_name": "power conversion efficiency", "entity_start": 122, "entity_end": 124, "property_value_start": 134, "property_value_end": 135, "property_numeric_value": 4.91,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</si>
  <si>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10.1021/acs.jpcc.6b03124</t>
  </si>
  <si>
    <t xml:space="preserve">C 60 DAM</t>
  </si>
  <si>
    <t xml:space="preserve">CCCCC(CC)COc%34ccc(C%32(c1ccc(C(=O)OC)cc1)C2%33c3c4c%31c5c6c7c(c8c9c2c%10c%11c3c%12c%13c4c%14c5c%15c6c%16c%17c7c8c%18c%19c9c%10c%20c%21c%11c%12c%22c%23c%13c%14c%24c%15c%25c%16c%26c%17c%18c%27c%19c%20c%28c%21c%22c%29c%23c%24c%25c%30c%26c%27c%28c%29%30)C%31%32%33)cc%34OCC(CC)CCCC</t>
  </si>
  <si>
    <t xml:space="preserve">{"power conversion efficiency": {"entity_name": "PCE", "entity_start": 234, "entity_end": 234, "property_value_start": 243, "property_value_end": 244, "property_numeric_value": 4.95,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</si>
  <si>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C 70 DAM</t>
  </si>
  <si>
    <t xml:space="preserve">CCCCC(CC)COc%39ccc(CC%37(c1ccc(C(=O)OC)cc1)C2%38c3c4c5c%36c6c7c(c8c9c2c%10c3c%11c%12c4c%13c5c%14c6c%15c%16c7c%17c8c%18c9c%19c%10c%20c%11c%21c%12c%22c%13c%23c%14c%24c%15c%25c%16c%26c%17c%27c%18c%28c%19c%20c%29c%21c%30c%22c%31c%23c%24c%32c%25c%33c%26c%27c%34c%28c%29c%35c%30c%31c%32c%33c%34%35)C%36%37%38)cc%39OCC(CC)CCCC</t>
  </si>
  <si>
    <t xml:space="preserve">10.1021/acsami.6b16341</t>
  </si>
  <si>
    <t xml:space="preserve">{"power conversion efficiency": {"entity_name": "power conversion efficiency", "entity_start": 325, "entity_end": 327, "property_value_start": 329, "property_value_end": 330, "property_numeric_value": 6.58,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</si>
  <si>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10.1021/acsami.9b01792</t>
  </si>
  <si>
    <t xml:space="preserve">poly[N-9'-heptadecanyl-2,7-carbazole-alt-5,5-(4',7'-di-2-thienyl-2',1',3'-benzothiadiazole)]</t>
  </si>
  <si>
    <t xml:space="preserve">["poly[N-9'-heptadecanyl-2,7-carbazole-alt-5,5-(4',7'-di-2-thienyl-2',1',3'-benzothiadiazole)]", 'PCDTBT']</t>
  </si>
  <si>
    <t xml:space="preserve">{"power conversion efficiency": {"entity_name": "PCE", "entity_start": 180, "entity_end": 180, "property_value_start": 182, "property_value_end": 183, "property_numeric_value": 7.42,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</si>
  <si>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10.1021/acsami.7b19548</t>
  </si>
  <si>
    <t xml:space="preserve">[*]c%11cc%10c(c2ccc(c1ccc(OCC(CC)CCCC)c(F)c1)s2)c7sc(c6sc(c4sc(c3cc(CCCCCCCC)c([*])s3)c5c(=O)n(CC(CC)CCCC)c(=O)c45)cc6CCCCCCCC)cc7c(c9ccc(c8ccc(OCC(CC)CCCC)c(F)c8)s9)c%10s%11</t>
  </si>
  <si>
    <t xml:space="preserve">["poly[4,8-bis(2-(4-(2-ethylhexyloxy)3-fluorophenyl)-5-thienyl)benzo[1,2-b:4,5-b']dithiophene-alt-1,3-bis(4-octylthien-2-yl)-5-(2-ethylhexyl)thieno[3,4-c]pyrrole-4,6-dione]", 'P1']</t>
  </si>
  <si>
    <t xml:space="preserve">{"power conversion efficiency": {"entity_name": "PCE", "entity_start": 113, "entity_end": 113, "property_value_start": 115, "property_value_end": 116, "property_numeric_value": 10.11,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</si>
  <si>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10.1002/adfm.201303219</t>
  </si>
  <si>
    <t xml:space="preserve">P7</t>
  </si>
  <si>
    <t xml:space="preserve">[*]c6ccc(/C(OCC)=C(OCC)/c5ccc(c1cc3c(=O)n(CC(CCCCCCCC)CCCCCCCCCC)c(=O)c4c([*])cc2c(=O)n(CC(CCCCCCCC)CCCCCCCCCC)c(=O)c1c2c34)s5)s6</t>
  </si>
  <si>
    <t xml:space="preserve">['P7']</t>
  </si>
  <si>
    <t xml:space="preserve">{"power conversion efficiency": {"entity_name": "PCE", "entity_start": 222, "entity_end": 222, "property_value_start": 225, "property_value_end": 226, "property_numeric_value": 1.7,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</si>
  <si>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10.1002/adma.201804723</t>
  </si>
  <si>
    <t xml:space="preserve">poly[(2,6-(4,8-bis(5-(2-ethylhexyl)thiophen-2-yl)-benzo[1,2-b:4,5-b']dithiophene))-alt-(5,5-(1',3'-di-2-thienyl-5',7'-bis(2-ethylhexyl)benzo[1',2'-c:4',5'-c']dithiophene-4,8-dione</t>
  </si>
  <si>
    <t xml:space="preserve">["poly[(2,6-(4,8-bis(5-(2-ethylhexyl)thiophen-2-yl)-benzo[1,2-b:4,5-b']dithiophene))-alt-(5,5-(1',3'-di-2-thienyl-5',7'-bis(2-ethylhexyl)benzo[1',2'-c:4',5'-c']dithiophene-4,8-dione"]</t>
  </si>
  <si>
    <t xml:space="preserve">{"power conversion efficiency": {"entity_name": "power conversion efficiency", "entity_start": 156, "entity_end": 158, "property_value_start": 160, "property_value_end": 161, "property_numeric_value": 14.52, "property_unit": "%", "property_value_descriptor": ""}, "open circuit voltage": {"entity_name": "V_{oc}", "entity_start": 172, "entity_end": 173, "property_value_start": 175, "property_value_end": 176, "property_numeric_value": 1.82, "property_unit": "V", "property_value_descriptor": ""}, "short circuit current": {"entity_name": "J_{sc}", "entity_start": 188, "entity_end": 189, "property_value_start": 191, "property_value_end": 193, "property_numeric_value": 10.68, "property_unit": "mA cm^{-2}", "property_value_descriptor": ""}, "fill factor": {"entity_name": "FF", "entity_start": 180, "entity_end": 180, "property_value_start": 182, "property_value_end": 183, "property_numeric_value": 74.7,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</si>
  <si>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10.1002/adma.201701507</t>
  </si>
  <si>
    <t xml:space="preserve">{"power conversion efficiency": {"entity_name": "power conversion efficiency", "entity_start": 110, "entity_end": 112, "property_value_start": 115, "property_value_end": 116, "property_numeric_value": 10.07,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</si>
  <si>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10.1002/adma.201401494</t>
  </si>
  <si>
    <t xml:space="preserve">PDCBT</t>
  </si>
  <si>
    <t xml:space="preserve">[*]c4ccc(c3ccc(c2sc(c1cc(C(=O)OCC(CCCC)CCCCCC)c([*])s1)cc2C(=O)OCC(CCCC)CCCCCC)s3)s4</t>
  </si>
  <si>
    <t xml:space="preserve">['PDCBT']</t>
  </si>
  <si>
    <t xml:space="preserve">{"power conversion efficiency": {"entity_name": "power conversion efficiency", "entity_start": 67, "entity_end": 69, "property_value_start": 71, "property_value_end": 72, "property_numeric_value": 7.2,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</si>
  <si>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10.1002/aenm.201100601</t>
  </si>
  <si>
    <t xml:space="preserve">{"power conversion efficiency": {"entity_name": "PCE", "entity_start": 247, "entity_end": 247, "property_value_start": 249, "property_value_end": 250, "property_numeric_value": 1.4,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</si>
  <si>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10.1002/aenm.201700834</t>
  </si>
  <si>
    <t xml:space="preserve">PBDT(T)[2F]T</t>
  </si>
  <si>
    <t xml:space="preserve">[*]c6cc5c(c1ccc(CC(CC)CCCC)s1)c3sc(c2sc([*])c(F)c2F)cc3c(c4ccc(CC(CC)CCCC)s4)c5s6</t>
  </si>
  <si>
    <t xml:space="preserve">['PBDT(T)[2F]T']</t>
  </si>
  <si>
    <t xml:space="preserve">{"power conversion efficiency": {"entity_name": "power conversion efficiencies", "entity_start": 151, "entity_end": 153, "property_value_start": 157, "property_value_end": 158, "property_numeric_value": 9.8,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</si>
  <si>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10.1002/pc.24311</t>
  </si>
  <si>
    <t xml:space="preserve">{"power conversion efficiency": {"entity_name": "power conversion efficiency", "entity_start": 157, "entity_end": 159, "property_value_start": 181, "property_value_end": 182, "property_numeric_value": 5.89,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</si>
  <si>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['[6,6]-phenyl C_{61} butyric acid methyl ester','PC_{61}BM']</t>
  </si>
  <si>
    <t xml:space="preserve">10.1002/aenm.201701450</t>
  </si>
  <si>
    <t xml:space="preserve">NT812</t>
  </si>
  <si>
    <t xml:space="preserve">[*]c8cc(CC(CCCCCCCC)CCCCCCCCCC)c(c7cc6sc(c5sc(c3cc1c(cc([*])c2nsnc12)c4nsnc34)cc5CC(CCCCCCCC)CCCCCCCCCC)cc6s7)s8</t>
  </si>
  <si>
    <t xml:space="preserve">['NT812']</t>
  </si>
  <si>
    <t xml:space="preserve">='PC71BM'</t>
  </si>
  <si>
    <t xml:space="preserve">{"power conversion efficiency": {"entity_name": "power conversion efficiency", "entity_start": 71, "entity_end": 73, "property_value_start": 75, "property_value_end": 77, "property_numeric_value": 9.0, "property_unit": "%", "property_value_descriptor": "&gt;"},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</si>
  <si>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10.1002/adfm.201503833</t>
  </si>
  <si>
    <t xml:space="preserve">{"power conversion efficiency": {"entity_name": "PCE", "entity_start": 154, "entity_end": 154, "property_value_start": 156, "property_value_end": 157, "property_numeric_value": 7.41,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</si>
  <si>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10.1002/adma.201700309</t>
  </si>
  <si>
    <t xml:space="preserve">NDP-V</t>
  </si>
  <si>
    <t xml:space="preserve">[*]/C=C/c2cc3c(=O)n(C(CCCCC)CCCCC)c(=O)c4cc5c1c%10cc%13c(=O)n(C(CCCCC)CCCCC)c(=O)c%12ccc%11c%14c([*])cc%15c(=O)n(C(CCCCC)CCCCC)c(=O)c%16cc(c1c6cc9c(=O)n(C(CCCCC)CCCCC)c(=O)c8ccc7c2c(c34)c5c6c7c89)c(c%10c%11c%12%13)c%14c%15%16</t>
  </si>
  <si>
    <t xml:space="preserve">['naphthodiperylenetetraimide-vinylene', 'NDP-V']</t>
  </si>
  <si>
    <t xml:space="preserve">{"power conversion efficiency": {"entity_name": "PCE", "entity_start": 203, "entity_end": 203, "property_value_start": 205, "property_value_end": 206, "property_numeric_value": 8.48, "property_unit": "%", "property_value_descriptor": ""}, "open circuit voltage": {}, "short circuit current": {"entity_name": "J_{sc}", "entity_start": 183, "entity_end": 184, "property_value_start": 187, "property_value_end": 189, "property_numeric_value": 17.07, "property_unit": "mA cm^{-2}", "property_value_descriptor": ""}, "fill factor": {"entity_name": "FF", "entity_start": 196, "entity_end": 196, "property_value_start": 199, "property_value_end": 199, "property_numeric_value": 67.0,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</si>
  <si>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10.1002/marc.201700782</t>
  </si>
  <si>
    <t xml:space="preserve">PIDT-BOT</t>
  </si>
  <si>
    <t xml:space="preserve">[*]c1cc3c(s1)c2cc%11c(cc2C3(c4ccc(CCCCCC)cc4)c5ccc(CCCCCC)cc5)c%10sc(c9cc8c6nsnc6c7cc([*])sc7c8s9)cc%10C%11(c%12ccc(CCCCCC)cc%12)c%13ccc(CCCCCC)cc%13</t>
  </si>
  <si>
    <t xml:space="preserve">['PIDT-BOT']</t>
  </si>
  <si>
    <t xml:space="preserve">{"power conversion efficiency": {"entity_name": "power conversion efficiency", "entity_start": 232, "entity_end": 234, "property_value_start": 236, "property_value_end": 237, "property_numeric_value": 6.08,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</si>
  <si>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PIDT-BO</t>
  </si>
  <si>
    <t xml:space="preserve">[*]c1cc3c(s1)c2cc9c(cc2C3(c4ccc(CCCCCC)cc4)c5ccc(CCCCCC)cc5)c8sc(c6ccc([*])c7nsnc67)cc8C9(c%10ccc(CCCCCC)cc%10)c%11ccc(CCCCCC)cc%11</t>
  </si>
  <si>
    <t xml:space="preserve">['PIDT-BO']</t>
  </si>
  <si>
    <t xml:space="preserve">10.1002/pssa.201600580</t>
  </si>
  <si>
    <t xml:space="preserve">{"power conversion efficiency": {"entity_name": "PCE", "entity_start": 196, "entity_end": 196, "property_value_start": 203, "property_value_end": 204,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</si>
  <si>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10.1002/pola.24389</t>
  </si>
  <si>
    <t xml:space="preserve">PCAZCN</t>
  </si>
  <si>
    <t xml:space="preserve">[*]c7ccc(N(c2ccc(/C=C(C#N)/c1ccc(/C=C(C#N)/C#N)s1)cc2)c6ccc(c5ccc4c3ccc([*])cc3n(C(C)C)c4c5)cc6)cc7</t>
  </si>
  <si>
    <t xml:space="preserve">['PCAZCN']</t>
  </si>
  <si>
    <t xml:space="preserve">{"power conversion efficiency": {"entity_name": "power conversion efficiency", "entity_start": 202, "entity_end": 204, "property_value_start": 206, "property_value_end": 207, "property_numeric_value": 1.28, "property_unit": "%", "property_value_descriptor": ""}, "open circuit voltage": {}, "short circuit current": {"entity_name": "J_{sc}", "entity_start": 216, "entity_end": 217, "property_value_start": 219, "property_value_end": 223, "property_numeric_value": 4.93, "property_unit": "mA/cm^{2}", "property_value_descriptor": ""}, "fill factor": {}, "highest occupied molecular orbital": {}, "lowest unoccupied molecular orbital": {}, "bandgap": {"entity_name": "optical bandgaps", "entity_start": 76, "entity_end": 77, "property_value_start": 79, "property_value_end": 82, "property_numeric_value": 1.69, "property_unit": "eV", "property_value_descriptor": "-"}, "hole mobility": {}, "electron mobility": {}, "external quantum efficiency": {}}</t>
  </si>
  <si>
    <t xml:space="preserve">10.1002/aenm.201300031</t>
  </si>
  <si>
    <t xml:space="preserve">PBDTDTBT</t>
  </si>
  <si>
    <t xml:space="preserve">[*]c7cc6c(OCC(CC)CCCC)c5sc(c4sc(c2ccc(c1cc(CC(CC)CCCC)c([*])s1)c3nsnc23)cc4CC(CC)CCCC)cc5c(OCC(CC)CCCC)c6s7</t>
  </si>
  <si>
    <t xml:space="preserve">['PBDTDTBT']</t>
  </si>
  <si>
    <t xml:space="preserve">{"power conversion efficiency": {"entity_name": "PCE", "entity_start": 53, "entity_end": 53, "property_value_start": 56, "property_value_end": 57, "property_numeric_value": 7.4,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</si>
  <si>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10.1002/macp.201300294</t>
  </si>
  <si>
    <t xml:space="preserve">[*]c9sc8c7sc(c6sc(c4sc(c1cc(CCCCCC)c([*])s1)c5nc3c2ccccc2c(=O)c3nc45)cc6CCCCCC)cc7[Si](CC(C)CCCC)(CC(CC)CCCC)c8c9C</t>
  </si>
  <si>
    <t xml:space="preserve">{"power conversion efficiency": {}, "open circuit voltage": {}, "short circuit current": {}, "fill factor": {}, "highest occupied molecular orbital": {}, "lowest unoccupied molecular orbital": {}, "bandgap": {"entity_name": "bandgap", "entity_start": 94, "entity_end": 94, "property_value_start": 96, "property_value_end": 97, "property_numeric_value": 1.24, "property_unit": "eV", "property_value_descriptor": ""}, "hole mobility": {}, "electron mobility": {}, "external quantum efficiency": {}}</t>
  </si>
  <si>
    <t xml:space="preserve">10.1002/aenm.201200726</t>
  </si>
  <si>
    <t xml:space="preserve">poly(indacenodithiophene- co-phananthrene-quinoxaline)</t>
  </si>
  <si>
    <t xml:space="preserve">['poly(indacenodithiophene- co-phananthrene-quinoxaline)', 'PIDT-PhanQ']</t>
  </si>
  <si>
    <t xml:space="preserve">{"power conversion efficiency": {"entity_name": "PCE", "entity_start": 87, "entity_end": 87, "property_value_start": 97, "property_value_end": 98, "property_numeric_value": 7.5,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</si>
  <si>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10.1002/pola.24235</t>
  </si>
  <si>
    <t xml:space="preserve">PCTDBI</t>
  </si>
  <si>
    <t xml:space="preserve">[*]c9ccc8c7ccc(c6ccc(c4c1nsnc1c(c2ccc([*])s2)c5nc(c3ccc(OC(CCCCCCCC)CCCCCCCC)cc3)[nH]c45)s6)cc7n(C(CCCCCCCC)CCCCCCCC)c8c9</t>
  </si>
  <si>
    <t xml:space="preserve">['PCTDBI']</t>
  </si>
  <si>
    <t xml:space="preserve">{"power conversion efficiency": {"entity_name": "power conversion efficiency", "entity_start": 140, "entity_end": 142, "property_value_start": 144, "property_value_end": 145, "property_numeric_value": 1.2, "property_unit": "%", "property_value_descriptor": ""}, "open circuit voltage": {}, "short circuit current": {}, "fill factor": {}, "highest occupied molecular orbital": {}, "lowest unoccupied molecular orbital": {}, "bandgap": {"entity_name": "optical band gap", "entity_start": 73, "entity_end": 75, "property_value_start": 77, "property_value_end": 78, "property_numeric_value": 1.75, "property_unit": "eV", "property_value_descriptor": ""}, "hole mobility": {}, "electron mobility": {}, "external quantum efficiency": {}}</t>
  </si>
  <si>
    <t xml:space="preserve">{"power conversion efficiency": {"entity_name": "PCE", "entity_start": 163, "entity_end": 163, "property_value_start": 165, "property_value_end": 166, "property_numeric_value": 1.84,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</si>
  <si>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10.1002/asia.201501199</t>
  </si>
  <si>
    <t xml:space="preserve">['poly[N-9-heptadecanyl-2,7-carbazole-alt-5,5-(4,7-di-2-thienyl-2,1,3-benzothiadiazole)]', 'PCDTBT']</t>
  </si>
  <si>
    <t xml:space="preserve">{"power conversion efficiency": {"entity_name": "PCE", "entity_start": 207, "entity_end": 207, "property_value_start": 209, "property_value_end": 210, "property_numeric_value": 5.86,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</si>
  <si>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10.1002/polb.23214</t>
  </si>
  <si>
    <t xml:space="preserve">{"power conversion efficiency": {"entity_name": "power conversion efficiency", "entity_start": 158, "entity_end": 160, "property_value_start": 163, "property_value_end": 164,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</si>
  <si>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10.1002/polb.24347</t>
  </si>
  <si>
    <t xml:space="preserve">PNTZ</t>
  </si>
  <si>
    <t xml:space="preserve">[*]c7ccc(c6nnc(c5ccc(c1cc4c(=O)n(CC(CCCCCCCC)CCCCCCCCCC)c(=O)c3cc([*])c2c(=O)n(CC(CCCCCCCC)CCCCCCCCCC)c(=O)c1c2c34)s5)s6)s7</t>
  </si>
  <si>
    <t xml:space="preserve">['PNTZ']</t>
  </si>
  <si>
    <t xml:space="preserve">{"power conversion efficiency": {"entity_name": "power conversion efficiency", "entity_start": 146, "entity_end": 148, "property_value_start": 150, "property_value_end": 151, "property_numeric_value": 4.35, "property_unit": "%", "property_value_descriptor": ""}, "open circuit voltage": {}, "short circuit current": {"entity_name": "short-circuit current density", "entity_start": 155, "entity_end": 159, "property_value_start": 161, "property_value_end": 163, "property_numeric_value": 13.26,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</si>
  <si>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10.1002/adfm.201504734</t>
  </si>
  <si>
    <t xml:space="preserve">{"power conversion efficiency": {"entity_name": "power conversion efficiency", "entity_start": 162, "entity_end": 164, "property_value_start": 166, "property_value_end": 167, "property_numeric_value": 10.1,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</si>
  <si>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10.1002/cssc.201701917</t>
  </si>
  <si>
    <t xml:space="preserve">["poly[(2,6-(4,8-bis(5-(2-ethylhexyl)thiophen-2-yl)benzo[1,2-b:4,5-b′]dithiophene)-co-(1,3-di(5-thiophene-2-yl)-5,7-bis(2-ethylhexyl)-benzo[1,2-c:4,5-c′]dithiophene-4,8-dione)]", 'PBDB-T']</t>
  </si>
  <si>
    <t xml:space="preserve">PTIC</t>
  </si>
  <si>
    <t xml:space="preserve">CCCCCCc%13ccc(C6(c1ccc(CCCCCC)cc1)Oc2cc%11c(cc2c5sc(C=c4c(=O)c3ccccc3c4=C(C#N)C#N)cc56)OC(c7ccc(CCCCCC)cc7)(c8ccc(CCCCCC)cc8)c%12cc(C=c%10c(=O)c9ccccc9c%10=C(C#N)C#N)sc%11%12)cc%13</t>
  </si>
  <si>
    <t xml:space="preserve">['PTIC']</t>
  </si>
  <si>
    <t xml:space="preserve">{"power conversion efficiency": {"entity_name": "PCE", "entity_start": 147, "entity_end": 147, "property_value_start": 150, "property_value_end": 151, "property_numeric_value": 7.66,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</si>
  <si>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10.1002/pola.28752</t>
  </si>
  <si>
    <t xml:space="preserve">{[*]c5cc4c(OCC(CC)CCCC)c3sc(c1ccc([*])c2nn(CC(CCCCCCCC)CCCCCCCCCC)nc12)cc3c(OCC(CC)CCCC)c4s5,[*]c9ccc(N(c1ccccc1)c8ccc(c7ccc(N(c2ccccc2)c6ccc(c5cc4c(OCC(CC)CCCC)c3sc([*])cc3c(OCC(CC)CCCC)c4s5)cc6)cc7)cc8)cc9}</t>
  </si>
  <si>
    <t xml:space="preserve">0.79 V</t>
  </si>
  <si>
    <t xml:space="preserve">9.45 mA cm^{-2}</t>
  </si>
  <si>
    <t xml:space="preserve">{"power conversion efficiency": {"entity_name": "power conversion efficiency", "entity_start": 154, "entity_end": 156, "property_value_start": 164, "property_value_end": 165, "property_numeric_value": 3.5, "property_unit": "%", "property_value_descriptor": ""}, "open circuit voltage": {}, "short circuit current": {}, "fill factor": {"entity_name": "fill factor", "entity_start": 183, "entity_end": 184, "property_value_start": 186, "property_value_end": 186, "property_numeric_value": 53.0,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</si>
  <si>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{[*]c6ccc(c4ccc(c3cc2c(OCC(CC)CCCC)c1sc([*])cc1c(OCC(CC)CCCC)c2s3)c5nn(CC(CCCCCCCC)CCCCCCCCCC)nc45)s6,[*]c9ccc(N(c1ccccc1)c8ccc(c7ccc(N(c2ccccc2)c6ccc(c5cc4c(OCC(CC)CCCC)c3sc([*])cc3c(OCC(CC)CCCC)c4s5)cc6)cc7)cc8)cc9}</t>
  </si>
  <si>
    <t xml:space="preserve">{"power conversion efficiency": {}, "open circuit voltage": {}, "short circuit current": {"entity_name": "short circuit current", "entity_start": 221, "entity_end": 223, "property_value_start": 225, "property_value_end": 228, "property_numeric_value": 8.59, "property_unit": "mA cm^{-2}", "property_value_descriptor": ""}, "fill factor": {"entity_name": "fill factor", "entity_start": 230, "entity_end": 231, "property_value_start": 233, "property_value_end": 233, "property_numeric_value": 49.0,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</si>
  <si>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10.1002/pola.26605</t>
  </si>
  <si>
    <t xml:space="preserve">='P3'</t>
  </si>
  <si>
    <t xml:space="preserve">{[*]c9cc(CCCCCCCC)c(c8ccc(c7nc(c6ccc(c5sc(c1cc3c(s1)c2sc([*])cc2n3c4ccc(CCCCCCCC)cc4)cc5CCCCCCCC)cc6)no7)cc8)s9,[*]c1cc5c(s1)c4sc(c2ccc([*])c3nsnc23)cc4n5c6ccc(CCCCCCCC)cc6}</t>
  </si>
  <si>
    <t xml:space="preserve">{"power conversion efficiency": {"entity_name": "power conversion efficiency", "entity_start": 189, "entity_end": 191, "property_value_start": 193, "property_value_end": 194, "property_numeric_value": 1.33, "property_unit": "%", "property_value_descriptor": ""}, "open circuit voltage": {"entity_name": "V_{oc}", "entity_start": 206, "entity_end": 207, "property_value_start": 209, "property_value_end": 210, "property_numeric_value": 0.68, "property_unit": "V", "property_value_descriptor": ""}, "short circuit current": {"entity_name": "Jsc", "entity_start": 197, "entity_end": 197, "property_value_start": 199, "property_value_end": 203, "property_numeric_value": 4.95, "property_unit": "mA/cm^{2}", "property_value_descriptor": ""}, "fill factor": {"entity_name": "FF", "entity_start": 214, "entity_end": 214, "property_value_start": 216, "property_value_end": 217, "property_numeric_value": 40.0,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</si>
  <si>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10.1002/pola.26614</t>
  </si>
  <si>
    <t xml:space="preserve">PBDT-CBP</t>
  </si>
  <si>
    <t xml:space="preserve">[*]c%10ccc9c4ccc(c3cc2c(OCC(CC)CCCC)c1sc([*])cc1c(OCC(CC)CCCC)c2s3)cc4n(c7cc6nc5ccccc5nc6c8ccccc78)c9c%10</t>
  </si>
  <si>
    <t xml:space="preserve">['PBDT-CBP']</t>
  </si>
  <si>
    <t xml:space="preserve">{"power conversion efficiency": {"entity_name": "power conversion efficiency", "entity_start": 202, "entity_end": 204, "property_value_start": 206, "property_value_end": 207, "property_numeric_value": 2.33, "property_unit": "%", "property_value_descriptor": ""}, "open circuit voltage": {"entity_name": "open-circuit voltage", "entity_start": 211, "entity_end": 214, "property_value_start": 216, "property_value_end": 217, "property_numeric_value": 0.81, "property_unit": "V", "property_value_descriptor": ""}, "short circuit current": {"entity_name": "short-circuit current", "entity_start": 220, "entity_end": 223, "property_value_start": 225, "property_value_end": 229, "property_numeric_value": 6.97, "property_unit": "mA/cm^{2}", "property_value_descriptor": ""}, "fill factor": {"entity_name": "FF", "entity_start": 236, "entity_end": 236, "property_value_start": 239, "property_value_end": 239, "property_numeric_value": 41.0,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</si>
  <si>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10.1002/pola.26400</t>
  </si>
  <si>
    <t xml:space="preserve">='P2'</t>
  </si>
  <si>
    <t xml:space="preserve">[*]c8ccc7c(=c5c(=O)n(CC(CCCCCCCC)CCCCCCCCCC)c6cc(c4cc(CCCCCCCCCC)c(c3cc2sc(c1sc([*])cc1CCCCCCCCCC)cc2s3)s4)ccc56)c(=O)n(CC(CCCCCCCC)CCCCCCCCCC)c7c8</t>
  </si>
  <si>
    <t xml:space="preserve">{"power conversion efficiency": {"entity_name": "Power conversion efficiency", "entity_start": 157, "entity_end": 159, "property_value_start": 170, "property_value_end": 171, "property_numeric_value": 4.69,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</si>
  <si>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10.1002/adfm.201602181</t>
  </si>
  <si>
    <t xml:space="preserve">{"power conversion efficiency": {"entity_name": "PCE", "entity_start": 179, "entity_end": 179, "property_value_start": 181, "property_value_end": 182, "property_numeric_value": 10.8, "property_unit": "%", "property_value_descriptor": ""}, "open circuit voltage": {"entity_name": "V_{oc}", "entity_start": 159, "entity_end": 160, "property_value_start": 162, "property_value_end": 163, "property_numeric_value": 0.82, "property_unit": "V", "property_value_descriptor": ""}, "short circuit current": {"entity_name": "J_{sc}", "entity_start": 165, "entity_end": 166, "property_value_start": 168, "property_value_end": 171, "property_numeric_value": 19.1, "property_unit": "mA cm^{-2}", "property_value_descriptor": ""}, "fill factor": {"entity_name": "FF", "entity_start": 173, "entity_end": 173, "property_value_start": 175, "property_value_end": 176, "property_numeric_value": 69.1,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</si>
  <si>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10.1002/pc.22449</t>
  </si>
  <si>
    <t xml:space="preserve">[6,6]-phenyl C61-butyric acid methyl ester</t>
  </si>
  <si>
    <t xml:space="preserve">['[6,6]-phenyl C61-butyric acid methyl ester']</t>
  </si>
  <si>
    <t xml:space="preserve">{"power conversion efficiency": {"entity_name": "power conversion efficiency", "entity_start": 187, "entity_end": 189, "property_value_start": 191, "property_value_end": 192, "property_numeric_value": 1.5,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</si>
  <si>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10.1002/pola.24360</t>
  </si>
  <si>
    <t xml:space="preserve">PPTPT</t>
  </si>
  <si>
    <t xml:space="preserve">[*]c5ccc(c3ccc(c2ccc(c1cc(OCCCCCCCC)c([*])cc1OCCCCCCCC)s2)n3c4c(C(C)C)cccc4C(C)C)s5</t>
  </si>
  <si>
    <t xml:space="preserve">["poly[1,4-(2,5-bis(octyloxy)phenylene)-alt-5,5'-(1-(2,6-diisopropylphenyl)-2,5-di(2-thienyl)pyrrole)]", "PPTPT"]</t>
  </si>
  <si>
    <t xml:space="preserve">{"power conversion efficiency": {"entity_name": "PCE", "entity_start": 175, "entity_end": 175, "property_value_start": 178, "property_value_end": 179, "property_numeric_value": 1.35, "property_unit": "%", "property_value_descriptor": ""}, "open circuit voltage": {"entity_name": "V_{oc}", "entity_start": 190, "entity_end": 191, "property_value_start": 193, "property_value_end": 194, "property_numeric_value": 0.56, "property_unit": "V", "property_value_descriptor": ""}, "short circuit current": {"entity_name": "J_{sc}", "entity_start": 181, "entity_end": 182, "property_value_start": 184, "property_value_end": 188, "property_numeric_value": 7.41, "property_unit": "mA/cm^{2}", "property_value_descriptor": ""}, "fill factor": {"entity_name": "FF", "entity_start": 196, "entity_end": 196, "property_value_start": 198, "property_value_end": 199, "property_numeric_value": 33.0,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</si>
  <si>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10.1002/aenm.201290053</t>
  </si>
  <si>
    <t xml:space="preserve">PDTGTPD</t>
  </si>
  <si>
    <t xml:space="preserve">['PDTGTPD']</t>
  </si>
  <si>
    <t xml:space="preserve">{"power conversion efficiency": {"entity_name": "power conversion efficiency", "entity_start": 70, "entity_end": 72, "property_value_start": 82, "property_value_end": 83, "property_numeric_value": 8.1,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</si>
  <si>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10.1002/marc.201400044</t>
  </si>
  <si>
    <t xml:space="preserve">[*]c1ccc7c(c1)c(CC(CC)CCCC)c(CC(CC)CCCC)c6cc(c5ccc(c3c(OCCCCCCC(C)C)c(OCCCCCCCC)c(c2ccc([*])s2)c4nsnc34)s5)ccc67</t>
  </si>
  <si>
    <t xml:space="preserve">{"power conversion efficiency": {}, "open circuit voltage": {}, "short circuit current": {}, "fill factor": {}, "highest occupied molecular orbital": {"entity_name": "HOMO energy", "entity_start": 44, "entity_end": 45, "property_value_start": 49, "property_value_end": 50, "property_numeric_value": -5.3, "property_unit": "eV", "property_value_descriptor": ""}, "lowest unoccupied molecular orbital": {}, "bandgap": {"entity_name": "bandgaps", "entity_start": 35, "entity_end": 35, "property_value_start": 37, "property_value_end": 38, "property_numeric_value": 2.0, "property_unit": "eV", "property_value_descriptor": ""}, "hole mobility": {"entity_name": "hole mobilities", "entity_start": 55, "entity_end": 56, "property_value_start": 62, "property_value_end": 73, "property_numeric_value": 0.0118, "property_unit": "cm^{2} V^{-1} s^{-1}", "property_value_descriptor": "to"}, "electron mobility": {}, "external quantum efficiency": {}}</t>
  </si>
  <si>
    <t xml:space="preserve">10.1002/aenm.201501213</t>
  </si>
  <si>
    <t xml:space="preserve">P9</t>
  </si>
  <si>
    <t xml:space="preserve">[*]c1cc5c(s1)c4sc(c2[se]c([*])c3c(=O)n(CCCCCCCC)c(=O)c23)cc4[Si]5(CC(CC)CCCC)CC(CC)CCCC</t>
  </si>
  <si>
    <t xml:space="preserve">['P9']</t>
  </si>
  <si>
    <t xml:space="preserve">{"power conversion efficiency": {"entity_name": "power conversion efficiencies", "entity_start": 123, "entity_end": 125, "property_value_start": 130, "property_value_end": 131, "property_numeric_value": 7.1,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</si>
  <si>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[*]c5sc(c4ccc(c3cc(CCCCCCCCCCCC)c(c1[se]c([*])c2c(=O)n(C(CCCCCCCC)CCCCCCCC)c(=O)c12)s3)s4)cc5CCCCCCCCCCCC</t>
  </si>
  <si>
    <t xml:space="preserve">10.1002/pola.26217</t>
  </si>
  <si>
    <t xml:space="preserve">PTADT4</t>
  </si>
  <si>
    <t xml:space="preserve">[*]c%10ccc(c9sc(c8cc(CCCCCCCCCCCC)c(c7ccc(c6cc5cc4c(C#C[Si](C(C)C)(C(C)C)C(C)C)c2cc1sc([*])cc1cc2c(C#C[Si](C(C)C)(C(C)C)C(C)C=c3cc(C)sc3=C)c4cc5s6)s7)s8)cc9CCCCCCCCCCCC)s%10</t>
  </si>
  <si>
    <t xml:space="preserve">["poly((TIPS-ADT)-(2,2'-(4,4'-didodecyl-2,2'-bithiophene)dithiophene))", 'PTADT4']</t>
  </si>
  <si>
    <t xml:space="preserve">['(6,6)-phenyl-C70-butyric acid methyl ester','PC_{70}BM']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</si>
  <si>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164, "entity_end": 165, "property_value_start": 167, "property_value_end": 172, "property_numeric_value": 0.0005700000000000001, "property_unit": "cm^{2}/V s", "property_value_descriptor": ""}, "electron mobility": {}, "external quantum efficiency": {}}</t>
  </si>
  <si>
    <t xml:space="preserve">PTADT2</t>
  </si>
  <si>
    <t xml:space="preserve">[*]c8cc7cc6c(C#C[Si](C(C)C)(C(C)C)C(C)C=c1cc(C)sc1=C)c5cc4sc(c3sc(c2cc(CCCCCCCCCCCC)c([*])s2)cc3CCCCCCCCCCCC)cc4cc5c(C#C[Si](C(C)C)(C(C)C)C(C)C)c6cc7s8</t>
  </si>
  <si>
    <t xml:space="preserve">["poly((TIPS-ADT)-(4,4'-didodecyl-2,2'-bithiophene))", 'PTADT2']</t>
  </si>
  <si>
    <t xml:space="preserve">{"power conversion efficiency": {"entity_name": "PCE", "entity_start": 241, "entity_end": 241, "property_value_start": 243, "property_value_end": 244, "property_numeric_value": 0.55,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164, "entity_end": 165, "property_value_start": 179, "property_value_end": 184, "property_numeric_value": 2.8e-05, "property_unit": "cm^{2}/V s", "property_value_descriptor": ""}, "electron mobility": {}, "external quantum efficiency": {}}</t>
  </si>
  <si>
    <t xml:space="preserve">10.1002/adfm.200304399</t>
  </si>
  <si>
    <t xml:space="preserve">['poly[2-methoxy-5-(3,7-dimethyl octyloxy)-1,4-phenylene vinylene]','OC_{1}C_{10}-PPV']</t>
  </si>
  <si>
    <t xml:space="preserve">['PCBM', 'phenyl-C61 butyric acid methyl ester']</t>
  </si>
  <si>
    <t xml:space="preserve">{"power conversion efficiency": {"entity_name": "power conversion efficiency", "entity_start": 219, "entity_end": 221, "property_value_start": 238, "property_value_end": 239, "property_numeric_value": 2.5,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</si>
  <si>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10.1002/adfm.201803613</t>
  </si>
  <si>
    <t xml:space="preserve">='PBDTTTPD'</t>
  </si>
  <si>
    <t xml:space="preserve">[*]c7cc6c(c1ccc(CC(CC)CCCC)s1)c4sc(c2sc([*])c3c(=O)n(CCCCCCCC)c(=O)c23)cc4c(c5ccc(CC(CC)CCCC)s5)c6s7</t>
  </si>
  <si>
    <t xml:space="preserve">P(NDI3-T)</t>
  </si>
  <si>
    <t xml:space="preserve">[*]c5ccc(c1cc3c(=O)n(CCCC(CCCCCC)CCCCCC)c(=O)c4c([*])cc2c(=O)n(CCCC(CCCCCC)CCCCCC)c(=O)c1c2c34)s5</t>
  </si>
  <si>
    <t xml:space="preserve">['P(NDI3-T)']</t>
  </si>
  <si>
    <t xml:space="preserve">{"power conversion efficiency": {"entity_name": "power conversion efficiency", "entity_start": 221, "entity_end": 223, "property_value_start": 225, "property_value_end": 226, "property_numeric_value": 7.1,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mobilities", "entity_start": 142, "entity_end": 143, "property_value_start": 165, "property_value_end": 171, "property_numeric_value": 0.22, "property_unit": "cm^{2} V^{-1} s^{-1}", "property_value_descriptor": ""}, "external quantum efficiency": {}}</t>
  </si>
  <si>
    <t xml:space="preserve">10.1002/adfm.201504191</t>
  </si>
  <si>
    <t xml:space="preserve">P(NDI2HD-T2)</t>
  </si>
  <si>
    <t xml:space="preserve">[*]c6ccc(c5ccc(c1cc3c(=O)n(CC(CCCCCC)CCCCCCCC)c(=O)c4c([*])cc2c(=O)n(CC(CCCCCC)CCCCCCCC)c(=O)c1c2c34)s5)s6</t>
  </si>
  <si>
    <t xml:space="preserve">['P(NDI2HD-T2)']</t>
  </si>
  <si>
    <t xml:space="preserve">{"power conversion efficiency": {"entity_name": "PCE", "entity_start": 282, "entity_end": 282, "property_value_start": 284, "property_value_end": 285, "property_numeric_value": 6.11,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mobility", "entity_start": 191, "entity_end": 192, "property_value_start": 194, "property_value_end": 200, "property_numeric_value": 1.9, "property_unit": "cm^{2} V^{-1} s^{-1}", "property_value_descriptor": ""}, "external quantum efficiency": {}}</t>
  </si>
  <si>
    <t xml:space="preserve">10.1002/adma.201402473</t>
  </si>
  <si>
    <t xml:space="preserve">NT</t>
  </si>
  <si>
    <t xml:space="preserve">[*]c%11cc%10c(c1cc(CCCCCCCCCC)c(CCCCCCCCCC)s1)c8sc(c7sc(c5cc3c(cc(c2cc(CCCCCC)c([*])s2)c4nsnc34)c6nsnc56)cc7CCCCCC)cc8c(c9cc(CCCCCCCCCC)c(CCCCCCCCCC)s9)c%10s%11</t>
  </si>
  <si>
    <t xml:space="preserve">['NT']</t>
  </si>
  <si>
    <t xml:space="preserve">11.5 mA cm-2</t>
  </si>
  <si>
    <t xml:space="preserve">{"power conversion efficiency": {"entity_name": "power conversion efficiency", "entity_start": 37, "entity_end": 39, "property_value_start": 43, "property_value_end": 44,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</si>
  <si>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10.1002/marc.201100417</t>
  </si>
  <si>
    <t xml:space="preserve">P4TBT</t>
  </si>
  <si>
    <t xml:space="preserve">[*]c1cc4c(s1)c3sc2c%10c(sc2c3C4(c5ccc(CCCCCC)cc5)c6ccc(CCCCCC)cc6)c9sc(c7ccc([*])c8nsnc78)cc9C%10(c%11ccc(CCCCCC)cc%11)c%12ccc(CCCCCC)cc%12</t>
  </si>
  <si>
    <t xml:space="preserve">['P4TBT']</t>
  </si>
  <si>
    <t xml:space="preserve">{"power conversion efficiency": {"entity_name": "power conversion efficiencies", "entity_start": 63, "entity_end": 65, "property_value_start": 67, "property_value_end": 68, "property_numeric_value": 2.5,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</si>
  <si>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10.1002/pola.27589</t>
  </si>
  <si>
    <t xml:space="preserve">='PTB-F_{50}'</t>
  </si>
  <si>
    <t xml:space="preserve">{[*]c6cc5c(OCC(CC)CCCC)c4sc(c2sc([*])c3cc(C(=O)Oc1ccc(F)cc1)sc23)cc4c(OCC(CC)CCCC)c5s6,[*]c5cc4c(OCC(CC)CCCC)c3sc(c1sc([*])c2cc(C(=O)OCCCCCCCC)sc12)cc3c(OCC(CC)CCCC)c4s5}</t>
  </si>
  <si>
    <t xml:space="preserve">['PTB-F_{50}']</t>
  </si>
  <si>
    <t xml:space="preserve">{"power conversion efficiency": {"entity_name": "power conversion efficiencies", "entity_start": 163, "entity_end": 165, "property_value_start": 173, "property_value_end": 174, "property_numeric_value": 3.96,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</si>
  <si>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10.1002/aenm.201700232</t>
  </si>
  <si>
    <t xml:space="preserve">{"power conversion efficiency": {"entity_name": "power conversion efficiency", "entity_start": 129, "entity_end": 131, "property_value_start": 133, "property_value_end": 134, "property_numeric_value": 10.06,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</si>
  <si>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10.1002/aenm.201301645</t>
  </si>
  <si>
    <t xml:space="preserve">poly(indacenodithiophene-co-phananthrene-quinoxaline)</t>
  </si>
  <si>
    <t xml:space="preserve">['poly(indacenodithiophene-co-phananthrene-quinoxaline)', 'PIDT-phanQ']</t>
  </si>
  <si>
    <t xml:space="preserve">['[6,6]-phenyl-C_{61}-butyric acid methyl ester', 'PC_{61}BM', '[6,6]-phenyl-C_{71}-butyric acid methyl ester', 'PC_{71}BM']</t>
  </si>
  <si>
    <t xml:space="preserve">{"power conversion efficiency": {"entity_name": "PCE", "entity_start": 151, "entity_end": 151, "property_value_start": 153, "property_value_end": 154, "property_numeric_value": 7.4, "property_unit": "%", "property_value_descriptor": ""}, "open circuit voltage": {"entity_name": "open-circuit voltage", "entity_start": 60, "entity_end": 63, "property_value_start": 65, "property_value_end": 66, "property_numeric_value": 1.71,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</si>
  <si>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poly[2,6-(4,4-bis(2-ethylhexyl)-4H-cyclopenta[2,1-b;3,4-b']dithiophene)-alt-4,7-(5-fluoro-2,1,3-benzothia-diazole)]</t>
  </si>
  <si>
    <t xml:space="preserve">["poly[2,6-(4,4-bis(2-ethylhexyl)-4H-cyclopenta[2,1-b;3,4-b']dithiophene)-alt-4,7-(5-fluoro-2,1,3-benzothia-diazole)]", 'PCPDTFBT']</t>
  </si>
  <si>
    <t xml:space="preserve">{"power conversion efficiency": {"entity_name": "PCEs", "entity_start": 119, "entity_end": 119, "property_value_start": 122, "property_value_end": 123, "property_numeric_value": 7.9,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</si>
  <si>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10.1002/cplu.201700035</t>
  </si>
  <si>
    <t xml:space="preserve">PPDPP</t>
  </si>
  <si>
    <t xml:space="preserve">[*]CCc7c%11ccc%12c(c1cc(OCC(CCCC)CCCCCC)c(OCC(CCCC)CCCCCC)c(OCC(CCCC)CCCCCC)c1)c%10ccc9c(CCc5ccc(c4c3c(=O)n(CC(CC)CCCC)c(c2ccc([*])s2)c3c(=O)n4CC(CC)CCCC)s5)c%13ccc%14c(c6cc(OCC(CCCC)CCCCCC)c(OCC(CCCC)CCCCCC)c(OCC(CCCC)CCCCCC)c6)c8ccc7c8[Zn](c9%10)(C%11%12)C%13%14</t>
  </si>
  <si>
    <t xml:space="preserve">['poly(porphyrin-diketopyrrolopyrrole)', 'PPDPP']</t>
  </si>
  <si>
    <t xml:space="preserve">['[6,6]-phenyl C_{71} butyric acid methyl ester', 'PC_{71}BM']</t>
  </si>
  <si>
    <t xml:space="preserve">{"power conversion efficiency": {"entity_name": "power conversion efficiencies", "entity_start": 71, "entity_end": 73, "property_value_start": 77, "property_value_end": 78, "property_numeric_value": 6.44,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</si>
  <si>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10.1002/adfm.201705847</t>
  </si>
  <si>
    <t xml:space="preserve">{"power conversion efficiency": {"entity_name": "PCE", "entity_start": 182, "entity_end": 182, "property_value_start": 184, "property_value_end": 185, "property_numeric_value": 9.32,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</si>
  <si>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10.1002/marc.201700526</t>
  </si>
  <si>
    <t xml:space="preserve">poly[(2,5-bis(2-hexyldecyloxy)phenylene)-alt-(4,7-di(thiophen-2-yl)-benzo[c][1,2,5]thiadiazole)]</t>
  </si>
  <si>
    <t xml:space="preserve">[*]c7ccc(c5ccc(c4ccc(c2cc(Oc1cscc1CCCCCCCCCCCC)c([*])cc2Oc3cscc3CCCCCCCCCCCC)s4)c6nsnc56)s7</t>
  </si>
  <si>
    <t xml:space="preserve">['poly[(2,5-bis(2-hexyldecyloxy)phenylene)-alt-(4,7-di(thiophen-2-yl)-benzo[c][1,2,5]thiadiazole)]', 'PPDTBT']</t>
  </si>
  <si>
    <t xml:space="preserve">{"power conversion efficiency": {"entity_name": "power conversion efficiency", "entity_start": 134, "entity_end": 136, "property_value_start": 138, "property_value_end": 139,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</si>
  <si>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10.1002/aenm.201100193</t>
  </si>
  <si>
    <t xml:space="preserve">PDTSTTz</t>
  </si>
  <si>
    <t xml:space="preserve">[*]c7cc(CCCCCC)c(c6nc5sc(c4sc(c1cc3c(s1)c2sc([*])cc2[Si]3(CC(CC)CCCC)CC(CC)CCCC)cc4CCCCCC)nc5s6)s7</t>
  </si>
  <si>
    <t xml:space="preserve">['PDTSTTz']</t>
  </si>
  <si>
    <t xml:space="preserve">{"power conversion efficiency": {"entity_name": "power conversion efficiency", "entity_start": 38, "entity_end": 40, "property_value_start": 67, "property_value_end": 68, "property_numeric_value": 5.59, "property_unit": "%", "property_value_descriptor": ""}, "open circuit voltage": {"entity_name": "V_{OC}", "entity_start": 78, "entity_end": 79, "property_value_start": 81, "property_value_end": 82, "property_numeric_value": 0.77, "property_unit": "V", "property_value_descriptor": ""}, "short circuit current": {"entity_name": "J_{SC}", "entity_start": 70, "entity_end": 71, "property_value_start": 73, "property_value_end": 76, "property_numeric_value": 11.9, "property_unit": "mA cm^{-2}", "property_value_descriptor": ""}, "fill factor": {"entity_name": "FF", "entity_start": 85, "entity_end": 85, "property_value_start": 87, "property_value_end": 87, "property_numeric_value": 61.0,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</si>
  <si>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10.1002/pola.26908</t>
  </si>
  <si>
    <t xml:space="preserve">PNDT-T</t>
  </si>
  <si>
    <t xml:space="preserve">[*]c5ccc(c4cc3c1cc(OCC(CCCCCCCC)CCCCCCCCCC)c(OCC(CCCCCCCC)CCCCCCCCCC)cc1c2cc([*])sc2c3s4)s5</t>
  </si>
  <si>
    <t xml:space="preserve">['PNDT-T']</t>
  </si>
  <si>
    <t xml:space="preserve">{"power conversion efficiency": {"entity_name": "power conversion efficiencies", "entity_start": 142, "entity_end": 144, "property_value_start": 163, "property_value_end": 164, "property_numeric_value": 1.3,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</si>
  <si>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PNDT-TTT</t>
  </si>
  <si>
    <t xml:space="preserve">[*]c7ccc(c6ccc(c5ccc(c4cc3c1cc(OCC(CCCCCCCC)CCCCCCCCCC)c(OCC(CCCCCCCC)CCCCCCCCCC)cc1c2cc([*])sc2c3s4)s5)s6)s7</t>
  </si>
  <si>
    <t xml:space="preserve">['PNDT-TTT']</t>
  </si>
  <si>
    <t xml:space="preserve">PNDT-TET</t>
  </si>
  <si>
    <t xml:space="preserve">[*]c6ccc(/C=C/c5ccc(c4cc3c1cc(OCC(CCCCCCCC)CCCCCCCCCC)c(OCC(CCCCCCCC)CCCCCCCCCC)cc1c2cc([*])sc2c3s4)s5)s6</t>
  </si>
  <si>
    <t xml:space="preserve">['PNDT-TET']</t>
  </si>
  <si>
    <t xml:space="preserve">10.1002/macp.201300291</t>
  </si>
  <si>
    <t xml:space="preserve">PP-DBT</t>
  </si>
  <si>
    <t xml:space="preserve">[*]/C=C/c5cc(OCCCCCC)c(c3ccc(c2cc(OCCCCCC)c(/C=C/c1cc(OCC(CC)CCCC)c([*])cc1OC)cc2OCCCCCC)c4nsnc34)cc5OCCCCCC</t>
  </si>
  <si>
    <t xml:space="preserve">['poly(phenylenevinylene-alt-4,7-diphenyl-2,1,3-benzothiadiazole)', 'PP-DBT']</t>
  </si>
  <si>
    <t xml:space="preserve">['[6,6]-phenyl C71 butyric acid methyl-ester','PC_{71}BM']</t>
  </si>
  <si>
    <t xml:space="preserve">7.46 mW cm^{-2}</t>
  </si>
  <si>
    <t xml:space="preserve">{"power conversion efficiency": {"entity_name": "PCE", "entity_start": 168, "entity_end": 168, "property_value_start": 170, "property_value_end": 171, "property_numeric_value": 3.36, "property_unit": "%", "property_value_descriptor": ""}, "open circuit voltage": {"entity_name": "open-circuit voltage", "entity_start": 142, "entity_end": 145, "property_value_start": 147, "property_value_end": 148, "property_numeric_value": 0.9, "property_unit": "V", "property_value_descriptor": ""}, "short circuit current": {}, "fill factor": {"entity_name": "FF", "entity_start": 162, "entity_end": 162, "property_value_start": 165, "property_value_end": 165, "property_numeric_value": 50.0,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</si>
  <si>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10.1002/adfm.201601625</t>
  </si>
  <si>
    <t xml:space="preserve">PBTA-BO</t>
  </si>
  <si>
    <t xml:space="preserve">['PBTA-BO']</t>
  </si>
  <si>
    <t xml:space="preserve">{"power conversion efficiency": {"entity_name": "power conversion efficiency", "entity_start": 165, "entity_end": 167, "property_value_start": 178, "property_value_end": 179, "property_numeric_value": 7.91,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</si>
  <si>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10.1002/app.41587</t>
  </si>
  <si>
    <t xml:space="preserve">HSD-a</t>
  </si>
  <si>
    <t xml:space="preserve">[*]c9ccc8c7ccc(c6ccc(c5ccc(c3c(OCCCCCCCC)c(OCCCCCCCC)c(c2ccc(c1ccc([*])s1)s2)c4nsnc34)s5)s6)cc7n(CCCCCCCC)c8c9</t>
  </si>
  <si>
    <t xml:space="preserve">['HSD-a']</t>
  </si>
  <si>
    <t xml:space="preserve">8.75 mA/cm^{-2}</t>
  </si>
  <si>
    <t xml:space="preserve">{"power conversion efficiency": {"entity_name": "PCE", "entity_start": 171, "entity_end": 171, "property_value_start": 173, "property_value_end": 174, "property_numeric_value": 2.15, "property_unit": "%", "property_value_descriptor": ""}, "open circuit voltage": {}, "short circuit current": {}, "fill factor": {"entity_name": "FF", "entity_start": 134, "entity_end": 134, "property_value_start": 137, "property_value_end": 137, "property_numeric_value": 38.0, "property_unit": "%", "property_value_descriptor": ""}, "highest occupied molecular orbital": {}, "lowest unoccupied molecular orbital": {}, "bandgap": {"entity_name": "band gap", "entity_start": 57, "entity_end": 58, "property_value_start": 63, "property_value_end": 64, "property_numeric_value": 1.97, "property_unit": "eV", "property_value_descriptor": ""}, "hole mobility": {}, "electron mobility": {}, "external quantum efficiency": {}}</t>
  </si>
  <si>
    <t xml:space="preserve">HSD-b</t>
  </si>
  <si>
    <t xml:space="preserve">[*]c9ccc8c7ccc(c6sc5cc(c3c(OCCCCCCCC)c(OCCCCCCCC)c(c2cc1sc([*])c(CCCCCCCCCCC)c1s2)c4nsnc34)sc5c6CCCCCCCCCCC)cc7n(CCCCCCCC)c8c9</t>
  </si>
  <si>
    <t xml:space="preserve">['HSD-b']</t>
  </si>
  <si>
    <t xml:space="preserve">{"power conversion efficiency": {}, "open circuit voltage": {"entity_name": "V_{oc}", "entity_start": 178, "entity_end": 179, "property_value_start": 181, "property_value_end": 182, "property_numeric_value": 0.64, "property_unit": "V", "property_value_descriptor": ""}, "short circuit current": {"entity_name": "J_{sc}", "entity_start": 119, "entity_end": 120, "property_value_start": 122, "property_value_end": 126, "property_numeric_value": 7.3, "property_unit": "mA/cm^{2}", "property_value_descriptor": ""}, "fill factor": {"entity_name": "FF", "entity_start": 194, "entity_end": 194, "property_value_start": 196, "property_value_end": 196, "property_numeric_value": 40.0, "property_unit": "%", "property_value_descriptor": ""}, "highest occupied molecular orbital": {"entity_name": "HOMO energy levels", "entity_start": 67, "entity_end": 69, "property_value_start": 78, "property_value_end": 79, "property_numeric_value": -5.63, "property_unit": "eV", "property_value_descriptor": ""}, "lowest unoccupied molecular orbital": {}, "bandgap": {}, "hole mobility": {}, "electron mobility": {}, "external quantum efficiency": {}}</t>
  </si>
  <si>
    <t xml:space="preserve">10.1002/adfm.201503256</t>
  </si>
  <si>
    <t xml:space="preserve">rr-P3HT</t>
  </si>
  <si>
    <t xml:space="preserve">['rr-P3HT', 'regioregular poly(3-hexylthiophene-2,5-diyl)']</t>
  </si>
  <si>
    <t xml:space="preserve">{"power conversion efficiency": {"entity_name": "PCE", "entity_start": 106, "entity_end": 106, "property_value_start": 111, "property_value_end": 112,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</si>
  <si>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10.1002/ajoc.201800389</t>
  </si>
  <si>
    <t xml:space="preserve">IDTBOR</t>
  </si>
  <si>
    <t xml:space="preserve">CCCCCCCCC6(CCCCCCCC)c1cc%10c(cc1c5sc(c3ccc(C=c2sc(=S)n(CC)c2=O)c4nonc34)cc56)C(CCCCCCCC)(CCCCCCCC)c%11cc(c8ccc(C=c7sc(=S)n(CC)c7=O)c9nonc89)sc%10%11</t>
  </si>
  <si>
    <t xml:space="preserve">['IDTBOR']</t>
  </si>
  <si>
    <t xml:space="preserve">{"power conversion efficiency": {"entity_name": "power conversion efficiencies", "entity_start": 124, "entity_end": 126, "property_value_start": 128, "property_value_end": 131, "property_numeric_value": 7.345000000000001, "property_unit": "%", "property_value_descriptor": "and"}, "open circuit voltage": {"entity_name": "open-circuit voltage", "entity_start": 137, "entity_end": 140, "property_value_start": 142, "property_value_end": 143, "property_numeric_value": 0.95, "property_unit": "V", "property_value_descriptor": ""}, "short circuit current": {"entity_name": "short-circuit current density", "entity_start": 160, "entity_end": 164, "property_value_start": 166, "property_value_end": 170, "property_numeric_value": 15.98, "property_unit": "mA/cm^{2}", "property_value_descriptor": ""}, "fill factor": {"entity_name": "fill factor", "entity_start": 172, "entity_end": 173, "property_value_start": 175, "property_value_end": 176, "property_numeric_value": 54.67,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</si>
  <si>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IDTBSR</t>
  </si>
  <si>
    <t xml:space="preserve">CCCCCCCCC6(CCCCCCCC)c1cc%10c(cc1c5sc(c3ccc(C=c2sc(=S)n(CC)c2=O)c4n[se]nc34)cc56)C(CCCCCCCC)(CCCCCCCC)c%11cc(c8ccc(C=c7sc(=S)n(CC)c7=O)c9n[se]nc89)sc%10%11</t>
  </si>
  <si>
    <t xml:space="preserve">['IDTBSR']</t>
  </si>
  <si>
    <t xml:space="preserve">10.1002/aenm.201300324</t>
  </si>
  <si>
    <t xml:space="preserve">PDTSTTz-4</t>
  </si>
  <si>
    <t xml:space="preserve">[*]c1cc7c(s1)c6sc(c5cc(CCCCCC)c(c4nc3sc(c2cc(CCCCCC)c([*])s2)nc3s4)s5)cc6[Si]7(CC(CC)CCCC)CC(CC)CCCC</t>
  </si>
  <si>
    <t xml:space="preserve">['PDTSTTz-4']</t>
  </si>
  <si>
    <t xml:space="preserve">{"power conversion efficiency": {"entity_name": "Power conversion efficiencies", "entity_start": 164, "entity_end": 166, "property_value_start": 170, "property_value_end": 171, "property_numeric_value": 3.5, "property_unit": "%", "property_value_descriptor": ""}, "open circuit voltage": {}, "short circuit current": {}, "fill factor": {"entity_name": "fill factors", "entity_start": 146, "entity_end": 147, "property_value_start": 151, "property_value_end": 152, "property_numeric_value": 59.0,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</si>
  <si>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10.1002/macp.201600606</t>
  </si>
  <si>
    <t xml:space="preserve">='iso-PNDIBT'</t>
  </si>
  <si>
    <t xml:space="preserve">[*]c6ccc(c5ccc(c3cc1c(cc([*])c2c(=O)n(CC(CCCCCCCC)CCCCCCCCCC)c(=O)c12)c4c(=O)n(CC(CCCCCCCC)CCCCCCCCCC)c(=O)c34)s5)s6</t>
  </si>
  <si>
    <t xml:space="preserve">['iso-PNDIBT']</t>
  </si>
  <si>
    <t xml:space="preserve">{"power conversion efficiency": {"entity_name": "power conversion efficiency", "entity_start": 210, "entity_end": 212, "property_value_start": 214, "property_value_end": 215, "property_numeric_value": 0.27, "property_unit": "%", "property_value_descriptor": ""}, "open circuit voltage": {"entity_name": "V_{OC}", "entity_start": 204, "entity_end": 205, "property_value_start": 207, "property_value_end": 208, "property_numeric_value": 0.9,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</si>
  <si>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10.1002/pola.24405</t>
  </si>
  <si>
    <t xml:space="preserve">[*]c2ccc1c4c(sc1c2)c3cc%13c(cc3C4(c5ccc(CCCCCC)cc5)c6ccc(CCCCCC)cc6)c%12sc%11cc(c%10sc(c8ccc(c7cc(CCCCCCCC)c([*])s7)c9nsnc89)cc%10CCCCCCCC)ccc%11c%12C%13(c%14ccc(CCCCCC)cc%14)c%15ccc(CCCCCC)cc%15</t>
  </si>
  <si>
    <t xml:space="preserve">{"power conversion efficiency": {"entity_name": "power conversion efficiency", "entity_start": 194, "entity_end": 196, "property_value_start": 198, "property_value_end": 199, "property_numeric_value": 1.21, "property_unit": "%", "property_value_descriptor": ""}, "open circuit voltage": {"entity_name": "open-circuit voltage", "entity_start": 163, "entity_end": 166, "property_value_start": 168, "property_value_end": 169, "property_numeric_value": 0.61, "property_unit": "V", "property_value_descriptor": ""}, "short circuit current": {"entity_name": "short-circuit current density", "entity_start": 172, "entity_end": 176, "property_value_start": 178, "property_value_end": 182, "property_numeric_value": 6.19, "property_unit": "mA/cm^{2}", "property_value_descriptor": ""}, "fill factor": {"entity_name": "fill factor", "entity_start": 186, "entity_end": 187, "property_value_start": 189, "property_value_end": 189, "property_numeric_value": 32.0, "property_unit": "%", "property_value_descriptor": ""}, "highest occupied molecular orbital": {"entity_name": "HOMO", "entity_start": 107, "entity_end": 107, "property_value_start": 110, "property_value_end": 113, "property_numeric_value": 5.355, "property_unit": "eV", "property_value_descriptor": "to"}, "lowest unoccupied molecular orbital": {}, "bandgap": {}, "hole mobility": {}, "electron mobility": {}, "external quantum efficiency": {}}</t>
  </si>
  <si>
    <t xml:space="preserve">10.1002/pola.24938</t>
  </si>
  <si>
    <t xml:space="preserve">[*]c6nc5sc(c4sc(c3cc(CCCCCCCCCCCC)c(c2sc(c1cc(CCCCCCCCCCCC)c([*])s1)cc2CCCCCCCCCCCC)s3)cc4CCCCCCCCCCCC)nc5s6</t>
  </si>
  <si>
    <t xml:space="preserve">{"power conversion efficiency": {"entity_name": "power conversion efficiency", "entity_start": 138, "entity_end": 140, "property_value_start": 142, "property_value_end": 143, "property_numeric_value": 2.7,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</si>
  <si>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10.1002/aenm.201200609</t>
  </si>
  <si>
    <t xml:space="preserve">{"power conversion efficiency": {"entity_name": "PCE", "entity_start": 125, "entity_end": 125, "property_value_start": 132, "property_value_end": 133, "property_numeric_value": 6.4,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</si>
  <si>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10.1002/aenm.201600637</t>
  </si>
  <si>
    <t xml:space="preserve">['PPDT2FBT']</t>
  </si>
  <si>
    <t xml:space="preserve">{"power conversion efficiency": {"entity_name": "power conversion efficiency", "entity_start": 61, "entity_end": 63, "property_value_start": 65, "property_value_end": 66, "property_numeric_value": 9.46,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</si>
  <si>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10.1002/aenm.201300785</t>
  </si>
  <si>
    <t xml:space="preserve">{"power conversion efficiency": {"entity_name": "power conversion efficiencies", "entity_start": 48, "entity_end": 50, "property_value_start": 54, "property_value_end": 55, "property_numeric_value": 2.7,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</si>
  <si>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10.1002/adfm.201102054</t>
  </si>
  <si>
    <t xml:space="preserve">{"power conversion efficiency": {"entity_name": "PCE", "entity_start": 199, "entity_end": 199, "property_value_start": 201, "property_value_end": 202, "property_numeric_value": 6.2,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</si>
  <si>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10.1002/adma.201601814</t>
  </si>
  <si>
    <t xml:space="preserve">{"power conversion efficiency": {"entity_name": "PCE", "entity_start": 62, "entity_end": 62, "property_value_start": 64, "property_value_end": 65, "property_numeric_value": 8.93,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</si>
  <si>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10.1002/slct.201801845</t>
  </si>
  <si>
    <t xml:space="preserve">PBDTT-FTTE</t>
  </si>
  <si>
    <t xml:space="preserve">['PBDTT-FTTE']</t>
  </si>
  <si>
    <t xml:space="preserve">{"power conversion efficiency": {"entity_name": "PCEs", "entity_start": 74, "entity_end": 74, "property_value_start": 83, "property_value_end": 85, "property_numeric_value": 4.08,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</si>
  <si>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10.1002/pola.26180</t>
  </si>
  <si>
    <t xml:space="preserve">='PT-DTBTMT'</t>
  </si>
  <si>
    <t xml:space="preserve">[*]c9cc8c(OCC(CC)CCCC)c7sc(c6cc(/C=C/c5sc(c3ccc(c2cc(CCCCCC)c(c1ccc(C)s1)s2)c4nsnc34)cc5CCCCCC)c([*])s6)cc7c(OCC(CC)CCCC)c8s9</t>
  </si>
  <si>
    <t xml:space="preserve">['PT-DTBTMT']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</si>
  <si>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 gaps", "entity_start": 96, "entity_end": 98, "property_value_start": 103, "property_value_end": 106, "property_numeric_value": 1.775, "property_unit": "eV", "property_value_descriptor": "-"}, "hole mobility": {}, "electron mobility": {}, "external quantum efficiency": {}}</t>
  </si>
  <si>
    <t xml:space="preserve">10.1002/pola.27767</t>
  </si>
  <si>
    <t xml:space="preserve">PDPPBTD</t>
  </si>
  <si>
    <t xml:space="preserve">[*]c%10ccc(c9c8c(=O)n(CC(CC)CCCC)c(c7ccc(c6cc(/C=C/c5ccc(c4ccc(c3ccc(N(c1ccccc1)c2ccccc2)cc3)s4)s5)c([*])s6)s7)c8c(=O)n9CC(CC)CCCC)s%10</t>
  </si>
  <si>
    <t xml:space="preserve">['PDPPBTD']</t>
  </si>
  <si>
    <t xml:space="preserve">PC61BM</t>
  </si>
  <si>
    <t xml:space="preserve">['PC61BM']</t>
  </si>
  <si>
    <t xml:space="preserve">0.60 V</t>
  </si>
  <si>
    <t xml:space="preserve">12.6 mA/cm2</t>
  </si>
  <si>
    <t xml:space="preserve">{"power conversion efficiency": {"entity_name": "PCE", "entity_start": 91, "entity_end": 91, "property_value_start": 111, "property_value_end": 112, "property_numeric_value": 4.1,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</si>
  <si>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PDPPMTD</t>
  </si>
  <si>
    <t xml:space="preserve">[*]c9ccc(c8c7c(=O)n(CC(CC)CCCC)c(c6ccc(c5cc(/C=C/c4ccc(c3ccc(N(c1ccccc1)c2ccccc2)cc3)s4)c([*])s5)s6)c7c(=O)n8CC(CC)CCCC)s9</t>
  </si>
  <si>
    <t xml:space="preserve">['PDPPMTD']</t>
  </si>
  <si>
    <t xml:space="preserve">14.5 mA/cm2</t>
  </si>
  <si>
    <t xml:space="preserve">{"power conversion efficiency": {}, "open circuit voltage": {"entity_name": "Voc", "entity_start": 123, "entity_end": 123, "property_value_start": 125, "property_value_end": 126, "property_numeric_value": 0.59, "property_unit": "V", "property_value_descriptor": ""}, "short circuit current": {}, "fill factor": {"entity_name": "FF", "entity_start": 129, "entity_end": 129, "property_value_start": 131, "property_value_end": 132, "property_numeric_value": 48.0,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</si>
  <si>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10.1002/adfm.201102968</t>
  </si>
  <si>
    <t xml:space="preserve">{"power conversion efficiency": {"entity_name": "power conversion efficiency", "entity_start": 180, "entity_end": 182, "property_value_start": 184, "property_value_end": 185,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</si>
  <si>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10.1002/aenm.201803438</t>
  </si>
  <si>
    <t xml:space="preserve">J52</t>
  </si>
  <si>
    <t xml:space="preserve">['J52']</t>
  </si>
  <si>
    <t xml:space="preserve">{"power conversion efficiency": {"entity_name": "PCE", "entity_start": 119, "entity_end": 119, "property_value_start": 121, "property_value_end": 122, "property_numeric_value": 7.75,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</si>
  <si>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10.1002/cphc.201800814</t>
  </si>
  <si>
    <t xml:space="preserve">[*]c9ccc(c8sc(c7ccc(c5c(F)c(F)c(c2ccc(c1cc(CCCCCCCCCCCC)c([*])s1)s2)c6nc(c3cccc(OCCCCCCCC)c3)c(c4cccc(OCCCCCCCC)c4)nc56)s7)cc8CCCCCCCCCCCC)s9</t>
  </si>
  <si>
    <t xml:space="preserve">PCBM[70]</t>
  </si>
  <si>
    <t xml:space="preserve">['PCBM[70]']</t>
  </si>
  <si>
    <t xml:space="preserve">{"power conversion efficiency": {"entity_name": "power conversion efficiencies", "entity_start": 203, "entity_end": 205, "property_value_start": 212, "property_value_end": 213, "property_numeric_value": 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</si>
  <si>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[*]c%13cc%12c(c1ccc(CCCCCCCC)s1)c%10sc(c9sc(c8ccc(c6c(F)c(F)c(c3ccc(c2cc(CCCCCCCCCCCC)c([*])s2)s3)c7nc(c4cccc(OCCCCCCCC)c4)c(c5cccc(OCCCCCCCC)c5)nc67)s8)cc9CCCCCCCCCCCC)cc%10c(c%11ccc(CCCCCCCC)s%11)c%12s%13</t>
  </si>
  <si>
    <t xml:space="preserve">10.1002/advs.201600032</t>
  </si>
  <si>
    <t xml:space="preserve">PTZBIBDT</t>
  </si>
  <si>
    <t xml:space="preserve">['PTZBIBDT']</t>
  </si>
  <si>
    <t xml:space="preserve">13.50 mA cm^{-2}</t>
  </si>
  <si>
    <t xml:space="preserve">{"power conversion efficiency": {}, "open circuit voltage": {}, "short circuit current": {}, "fill factor": {}, "highest occupied molecular orbital": {"entity_name": "highest occupied molecular orbital energy level", "entity_start": 67, "entity_end": 72, "property_value_start": 74, "property_value_end": 75, "property_numeric_value": -5.34, "property_unit": "eV", "property_value_descriptor": ""}, "lowest unoccupied molecular orbital": {}, "bandgap": {"entity_name": "bandgap", "entity_start": 59, "entity_end": 59, "property_value_start": 61, "property_value_end": 62, "property_numeric_value": 1.81, "property_unit": "eV", "property_value_descriptor": ""}, "hole mobility": {}, "electron mobility": {}, "external quantum efficiency": {}}</t>
  </si>
  <si>
    <t xml:space="preserve">10.1002/marc.201400527</t>
  </si>
  <si>
    <t xml:space="preserve">HD-PDFC-DTBT</t>
  </si>
  <si>
    <t xml:space="preserve">[*]c7ccc(c5c(OCCCCCCCC)c(OCCCCCCCC)c(c4ccc(c1cc3c(cc1F)c2cc(F)c([*])cc2n3CC(CCCCCC)CCCCCCCC)s4)c6nsnc56)s7</t>
  </si>
  <si>
    <t xml:space="preserve">['HD-PDFC-DTBT']</t>
  </si>
  <si>
    <t xml:space="preserve">{"power conversion efficiency": {"entity_name": "PCE", "entity_start": 83, "entity_end": 83, "property_value_start": 86, "property_value_end": 87, "property_numeric_value": 7.39, "property_unit": "%", "property_value_descriptor": ""}, "open circuit voltage": {"entity_name": "V_{oc}", "entity_start": 90, "entity_end": 91, "property_value_start": 93, "property_value_end": 94, "property_numeric_value": 0.93, "property_unit": "V", "property_value_descriptor": ""}, "short circuit current": {"entity_name": "J_{sc}", "entity_start": 97, "entity_end": 98, "property_value_start": 100, "property_value_end": 103, "property_numeric_value": 14.11, "property_unit": "mA cm^{-2}", "property_value_descriptor": ""}, "fill factor": {"entity_name": "FF", "entity_start": 107, "entity_end": 107, "property_value_start": 109, "property_value_end": 109, "property_numeric_value": 56.00000000000001, "property_unit": "%", "property_value_descriptor": ""}, "highest occupied molecular orbital": {}, "lowest unoccupied molecular orbital": {}, "bandgap": {"entity_name": "bandgap", "entity_start": 44, "entity_end": 44, "property_value_start": 46, "property_value_end": 47, "property_numeric_value": 1.96, "property_unit": "eV", "property_value_descriptor": ""}, "hole mobility": {"entity_name": "hole mobility", "entity_start": 51, "entity_end": 52, "property_value_start": 54, "property_value_end": 59, "property_numeric_value": 0.16, "property_unit": "cm^{2} V^{-1} s^{-1}", "property_value_descriptor": ""}, "electron mobility": {}, "external quantum efficiency": {}}</t>
  </si>
  <si>
    <t xml:space="preserve">10.1002/pola.24444</t>
  </si>
  <si>
    <t xml:space="preserve">PTCNME</t>
  </si>
  <si>
    <t xml:space="preserve">[*]c4ccc(c3sc(c2ccc(c1sc([*])c(CCCCCCCC)c1CCCCCCCC)s2)cc3/C=C(C#N)/C(=O)OC)s4</t>
  </si>
  <si>
    <t xml:space="preserve">['PTCNME']</t>
  </si>
  <si>
    <t xml:space="preserve">{"power conversion efficiency": {"entity_name": "PCE", "entity_start": 244, "entity_end": 244, "property_value_start": 257, "property_value_end": 258, "property_numeric_value": 0.56, "property_unit": "%", "property_value_descriptor": ""}, "open circuit voltage": {"entity_name": "V_{oc}", "entity_start": 213, "entity_end": 214, "property_value_start": 217, "property_value_end": 218, "property_numeric_value": 0.61, "property_unit": "V", "property_value_descriptor": ""}, "short circuit current": {"entity_name": "J_{sc}", "entity_start": 225, "entity_end": 226, "property_value_start": 229, "property_value_end": 233, "property_numeric_value": 3.9, "property_unit": "mA/cm^{2}", "property_value_descriptor": ""}, "fill factor": {"entity_name": "fill factor", "entity_start": 237, "entity_end": 238, "property_value_start": 240, "property_value_end": 241, "property_numeric_value": 30.3, "property_unit": "%", "property_value_descriptor": ""}, "highest occupied molecular orbital": {"entity_name": "Highest occupied molecular orbital energy levels", "entity_start": 55, "entity_end": 60, "property_value_start": 92, "property_value_end": 93, "property_numeric_value": -4.81, "property_unit": "eV", "property_value_descriptor": ""}, "lowest unoccupied molecular orbital": {}, "bandgap": {"entity_name": "Optical band gaps", "entity_start": 35, "entity_end": 37, "property_value_start": 46, "property_value_end": 47, "property_numeric_value": 1.73, "property_unit": "eV", "property_value_descriptor": ""}, "hole mobility": {}, "electron mobility": {}, "external quantum efficiency": {}}</t>
  </si>
  <si>
    <t xml:space="preserve">PTDCN</t>
  </si>
  <si>
    <t xml:space="preserve">[*]c4ccc(c3sc(c2ccc(c1sc([*])c(CCCCCCCC)c1CCCCCCCC)s2)cc3/C=C(C#N)/C#N)s4</t>
  </si>
  <si>
    <t xml:space="preserve">['PTDCN']</t>
  </si>
  <si>
    <t xml:space="preserve">10.1155/2016/6725106</t>
  </si>
  <si>
    <t xml:space="preserve">{"power conversion efficiency": {"entity_name": "PCE", "entity_start": 117, "entity_end": 117, "property_value_start": 120, "property_value_end": 121, "property_numeric_value": 3.91,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</si>
  <si>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10.1155/2015/826985</t>
  </si>
  <si>
    <t xml:space="preserve">['P3HT-PNBI-P3HT']</t>
  </si>
  <si>
    <t xml:space="preserve">4.43 mA/cm^{2}</t>
  </si>
  <si>
    <t xml:space="preserve">{"power conversion efficiency": {"entity_name": "PCE", "entity_start": 133, "entity_end": 133, "property_value_start": 136, "property_value_end": 137, "property_numeric_value": 1.6, "property_unit": "%", "property_value_descriptor": ""}, "open circuit voltage": {"entity_name": "open-circuit voltage", "entity_start": 142, "entity_end": 145, "property_value_start": 147, "property_value_end": 148, "property_numeric_value": 0.59, "property_unit": "V", "property_value_descriptor": ""}, "short circuit current": {}, "fill factor": {"entity_name": "FF", "entity_start": 164, "entity_end": 164, "property_value_start": 167, "property_value_end": 167, "property_numeric_value": 61.0,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</si>
  <si>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10.1155/2015/893916</t>
  </si>
  <si>
    <t xml:space="preserve">['poly-(3-hexylthiophene)','P3HT']</t>
  </si>
  <si>
    <t xml:space="preserve">{"power conversion efficiency": {"entity_name": "PCE", "entity_start": 166, "entity_end": 166, "property_value_start": 173, "property_value_end": 174, "property_numeric_value": 2.8,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</si>
  <si>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10.1155/2014/854749</t>
  </si>
  <si>
    <t xml:space="preserve">{"power conversion efficiency": {"entity_name": "PCE", "entity_start": 84, "entity_end": 84, "property_value_start": 87, "property_value_end": 88, "property_numeric_value": 3.74,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</si>
  <si>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10.1080/10601325.2016.1151648</t>
  </si>
  <si>
    <t xml:space="preserve">['[6,6]-phenylC_{61}-butyric acid methyl ester', 'PC_{61}BM']</t>
  </si>
  <si>
    <t xml:space="preserve">{"power conversion efficiency": {"entity_name": "PCEs", "entity_start": 173, "entity_end": 173, "property_value_start": 178, "property_value_end": 179, "property_numeric_value": 4.53,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</si>
  <si>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10.1080/15421406.2017.1328228</t>
  </si>
  <si>
    <t xml:space="preserve">{"power conversion efficiency": {"entity_name": "PCE", "entity_start": 77, "entity_end": 77, "property_value_start": 96, "property_value_end": 97, "property_numeric_value": 3.65,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</si>
  <si>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10.1080/00914037.2014.958826</t>
  </si>
  <si>
    <t xml:space="preserve">C_{60}-g-DHPVC</t>
  </si>
  <si>
    <t xml:space="preserve">[*]CCCCC(CC(Cl)CC([*])Cl)C1c2c3c4Cc5c6c7c1c8c9c2c%10c%11c3c%12c%13c4c%14c5c%15c6c%16c%17c7c8c%18c%19c9c%10c%20c%21c%11c%12c%22c%23c%13c%14c%24c%15c%25c%16c%26c%17c%18c%27c%19c%20c%28c%21c%22c%29c%23c%24c%25c%30c%26c%27c%28c%29%30</t>
  </si>
  <si>
    <t xml:space="preserve">['C_{60}-g-DHPVC']</t>
  </si>
  <si>
    <t xml:space="preserve">{"power conversion efficiency": {"entity_name": "power conversion efficiency", "entity_start": 93, "entity_end": 95, "property_value_start": 116, "property_value_end": 117, "property_numeric_value": 1.34,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</si>
  <si>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10.1016/j.nanoen.2019.06.022</t>
  </si>
  <si>
    <t xml:space="preserve">{"power conversion efficiency": {"entity_name": "PCE", "entity_start": 105, "entity_end": 105, "property_value_start": 123, "property_value_end": 124, "property_numeric_value": 3.67,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</si>
  <si>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10.1016/j.orgel.2013.12.020</t>
  </si>
  <si>
    <t xml:space="preserve">PIDT-FBTA</t>
  </si>
  <si>
    <t xml:space="preserve">[*]c%13ccc(c%11c(F)c(F)c(c%10ccc(c1cc3c(s1)c2cc7c(cc2C3(c4ccc(CCCCCC)cc4)c5ccc(CCCCCC)cc5)c6sc([*])cc6C7(c8ccc(CCCCCC)cc8)c9ccc(CCCCCC)cc9)s%10)c%12nn(CCCCCCCC)nc%11%12)s%13</t>
  </si>
  <si>
    <t xml:space="preserve">['PIDT-FBTA']</t>
  </si>
  <si>
    <t xml:space="preserve">{"power conversion efficiency": {"entity_name": "PCE", "entity_start": 126, "entity_end": 126, "property_value_start": 129, "property_value_end": 130, "property_numeric_value": 4.9, "property_unit": "%", "property_value_descriptor": ""}, "open circuit voltage": {"entity_name": "V_{oc}", "entity_start": 132, "entity_end": 133, "property_value_start": 136, "property_value_end": 137, "property_numeric_value": 0.92,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</si>
  <si>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10.1016/j.orgel.2016.12.011</t>
  </si>
  <si>
    <t xml:space="preserve">{"power conversion efficiency": {"entity_name": "PCE", "entity_start": 123, "entity_end": 123, "property_value_start": 125, "property_value_end": 126, "property_numeric_value": 8.67,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</si>
  <si>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81, "entity_end": 81, "property_value_start": 106, "property_value_end": 107, "property_numeric_value": 6.18,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</si>
  <si>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10.1016/j.jpowsour.2015.09.079</t>
  </si>
  <si>
    <t xml:space="preserve">{"power conversion efficiency": {"entity_name": "power conversion efficiency", "entity_start": 108, "entity_end": 110, "property_value_start": 119, "property_value_end": 120, "property_numeric_value": 7.74,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</si>
  <si>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10.1016/j.orgel.2017.11.031</t>
  </si>
  <si>
    <t xml:space="preserve">3MT-Th-S</t>
  </si>
  <si>
    <t xml:space="preserve">[*]c6cc5c(c1ccc(SCC(CC)CCCC)s1)c3sc(c2cc(C(=O)OC)c([*])s2)cc3c(c4ccc(SCC(CC)CCCC)s4)c5s6</t>
  </si>
  <si>
    <t xml:space="preserve">['3MT-Th-S']</t>
  </si>
  <si>
    <t xml:space="preserve">{"power conversion efficiency": {"entity_name": "power conversion efficiency", "entity_start": 211, "entity_end": 213, "property_value_start": 215, "property_value_end": 216, "property_numeric_value": 7.86, "property_unit": "%", "property_value_descriptor": ""}, "open circuit voltage": {"entity_name": "open circuit voltage", "entity_start": 232, "entity_end": 234, "property_value_start": 236, "property_value_end": 237, "property_numeric_value": 0.96, "property_unit": "V", "property_value_descriptor": ""}, "short circuit current": {"entity_name": "short-circuit current density", "entity_start": 220, "entity_end": 224, "property_value_start": 226, "property_value_end": 229, "property_numeric_value": 16.11,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</si>
  <si>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10.1016/j.orgel.2015.01.008</t>
  </si>
  <si>
    <t xml:space="preserve">P(IID-DTC)</t>
  </si>
  <si>
    <t xml:space="preserve">[*]c9ccc8c(=c6c(=O)n(CC(CCCCCCCC)CCCCCCCCCC)c7cc(c2cc1cc5c(cc1s2)c4cc3sc([*])cc3cc4n5CCCCCCCCCCCC)ccc67)c(=O)n(CC(CCCCCCCC)CCCCCCCCCC)c8c9</t>
  </si>
  <si>
    <t xml:space="preserve">['P(IID-DTC)']</t>
  </si>
  <si>
    <t xml:space="preserve">['di-PBI']</t>
  </si>
  <si>
    <t xml:space="preserve">{"power conversion efficiency": {"entity_name": "power conversion efficiency", "entity_start": 194, "entity_end": 196, "property_value_start": 215, "property_value_end": 216, "property_numeric_value": 2.95,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</si>
  <si>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10.1016/j.orgel.2013.05.022</t>
  </si>
  <si>
    <t xml:space="preserve">[*]c9ccc(N(c4ccc(c3ccc2c1ccc([*])cc1C(CCCCCC)(CCCCCC)c2c3)cc4)c8ccc(c6ccc(c5ccc(/C=C(C#N)/C#N)s5)c7nsnc67)cc8)cc9</t>
  </si>
  <si>
    <t xml:space="preserve">{"power conversion efficiency": {"entity_name": "power conversion efficiency", "entity_start": 145, "entity_end": 147, "property_value_start": 149, "property_value_end": 150, "property_numeric_value": 1.78, "property_unit": "%", "property_value_descriptor": ""}, "open circuit voltage": {"entity_name": "V_{oc}", "entity_start": 157, "entity_end": 158, "property_value_start": 161, "property_value_end": 162, "property_numeric_value": 0.79, "property_unit": "V", "property_value_descriptor": ""}, "short circuit current": {"entity_name": "J_{sc}", "entity_start": 168, "entity_end": 170, "property_value_start": 172, "property_value_end": 175, "property_numeric_value": 6.63, "property_unit": "mA cm^{-2}", "property_value_descriptor": ""}, "fill factor": {"entity_name": "FF", "entity_start": 180, "entity_end": 180, "property_value_start": 183, "property_value_end": 183, "property_numeric_value": 34.0,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</si>
  <si>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10.1016/j.renene.2019.03.018</t>
  </si>
  <si>
    <t xml:space="preserve">{[*]c5cc4c(OCC(CC)CCCC)c3sc(c1c(F)cc([*])c2nsnc12)cc3c(OCC(CC)CCCC)c4s5,[*]c7ccc(c5ccc(c4ccc(c3cc2c(OCC(CC)CCCC)c1sc([*])cc1c(OCC(CC)CCCC)c2s3)s4)c6nn(CC(CCCCCCCC)CCCCCCCCCC)nc56)s7}</t>
  </si>
  <si>
    <t xml:space="preserve">{"power conversion efficiency": {"entity_name": "power conversion efficiency", "entity_start": 183, "entity_end": 185, "property_value_start": 198, "property_value_end": 199, "property_numeric_value": 3.83, "property_unit": "%", "property_value_descriptor": ""}, "open circuit voltage": {}, "short circuit current": {}, "fill factor": {}, "highest occupied molecular orbital": {}, "lowest unoccupied molecular orbital": {}, "bandgap": {"entity_name": "Optical band gap", "entity_start": 49, "entity_end": 51, "property_value_start": 73, "property_value_end": 74, "property_numeric_value": 1.73, "property_unit": "eV", "property_value_descriptor": ""}, "hole mobility": {}, "electron mobility": {}, "external quantum efficiency": {}}</t>
  </si>
  <si>
    <t xml:space="preserve">{[*]c5cc4c(OCC(CC)CCCC)c3sc(c1c(F)cc([*])c2nsnc12)cc3c(OCC(CC)CCCC)c4s5,[*]c6cc5c(OCC(CC)CCCC)c4sc(c3ccc(c1ccc([*])c2nn(CC(CCCCCCCC)CCCCCCCCCC)nc12)[se]3)cc4c(OCC(CC)CCCC)c5s6}</t>
  </si>
  <si>
    <t xml:space="preserve">{[*]c5cc4c(OCC(CC)CCCC)c3sc(c1ccc([*])c2nn(CC(CCCCCCCC)CCCCCCCCCC)nc12)cc3c(OCC(CC)CCCC)c4s5,[*]c5cc4c(OCC(CC)CCCC)c3sc(c1c(F)cc([*])c2nsnc12)cc3c(OCC(CC)CCCC)c4s5}</t>
  </si>
  <si>
    <t xml:space="preserve">{[*]c5cc4c(OCC(CC)CCCC)c3sc(c1ccc([*])c2nn(CC(CCCCCCCC)CCCCCCCCCC)nc12)cc3c(OCC(CC)CCCC)c4s5,[*]c5cc4c(OCC(CC)CCCC)c3sc(c1ccc([*])c2nsnc12)cc3c(OCC(CC)CCCC)c4s5}</t>
  </si>
  <si>
    <t xml:space="preserve">10.1016/j.solmat.2010.05.028</t>
  </si>
  <si>
    <t xml:space="preserve">{"power conversion efficiency": {"entity_name": "power conversion efficiency", "entity_start": 104, "entity_end": 106, "property_value_start": 113, "property_value_end": 114, "property_numeric_value": 4.3, "property_unit": "%", "property_value_descriptor": ""}, "open circuit voltage": {}, "short circuit current": {}, "fill factor": {"entity_name": "fill factor", "entity_start": 118, "entity_end": 119, "property_value_start": 121, "property_value_end": 122, "property_numeric_value": 64.0,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</si>
  <si>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10.1016/j.synthmet.2015.10.001</t>
  </si>
  <si>
    <t xml:space="preserve">PDPPDBSi</t>
  </si>
  <si>
    <t xml:space="preserve">[*]c7ccc6c5ccc(c4ccc(c3c2c(=O)n(CCCCCCCC)c(c1ccc([*])s1)c2c(=O)n3CCCCCCCC)s4)cc5[Si](CCCCCCCC)(CCCCCCCC)c6c7</t>
  </si>
  <si>
    <t xml:space="preserve">['PDPPDBSi']</t>
  </si>
  <si>
    <t xml:space="preserve">{"power conversion efficiency": {"entity_name": "PCE", "entity_start": 185, "entity_end": 185, "property_value_start": 190, "property_value_end": 191, "property_numeric_value": 4.13, "property_unit": "%", "property_value_descriptor": ""}, "open circuit voltage": {"entity_name": "V_{oc}", "entity_start": 224, "entity_end": 225, "property_value_start": 228, "property_value_end": 229, "property_numeric_value": 0.71, "property_unit": "V", "property_value_descriptor": ""}, "short circuit current": {"entity_name": "J_{sc}", "entity_start": 200, "entity_end": 201, "property_value_start": 204, "property_value_end": 208, "property_numeric_value": -11.3, "property_unit": "mA/cm^{2}", "property_value_descriptor": ""}, "fill factor": {"entity_name": "FF", "entity_start": 213, "entity_end": 213, "property_value_start": 216, "property_value_end": 216, "property_numeric_value": 52.0,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</si>
  <si>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10.1016/j.solener.2017.09.060</t>
  </si>
  <si>
    <t xml:space="preserve">poly[4,8-bis(5-(2-ethylhexyl)thiophen-2-yl)-benzo[1,2-b:4,5-b]dithiophene-co-3-fluorothieno[3,4-b]-thiophene-2-carboxylate]</t>
  </si>
  <si>
    <t xml:space="preserve">['poly[4,8-bis(5-(2-ethylhexyl)thiophen-2-yl)-benzo[1,2-b:4,5-b]dithiophene-co-3-fluorothieno[3,4-b]-thiophene-2-carboxylate]', 'PTB7-Th']</t>
  </si>
  <si>
    <t xml:space="preserve">{"power conversion efficiency": {"entity_name": "PCE", "entity_start": 122, "entity_end": 122, "property_value_start": 129, "property_value_end": 130, "property_numeric_value": 9.29,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</si>
  <si>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10.1016/j.orgel.2009.03.001</t>
  </si>
  <si>
    <t xml:space="preserve">{"power conversion efficiency": {"entity_name": "Power conversion efficiency", "entity_start": 55, "entity_end": 57, "property_value_start": 66, "property_value_end": 67, "property_numeric_value": 2.6,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</si>
  <si>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10.1016/j.synthmet.2012.02.004</t>
  </si>
  <si>
    <t xml:space="preserve">PFDTBT</t>
  </si>
  <si>
    <t xml:space="preserve">['PFDTBT']</t>
  </si>
  <si>
    <t xml:space="preserve">{"power conversion efficiency": {"entity_name": "PCE", "entity_start": 118, "entity_end": 118, "property_value_start": 161, "property_value_end": 162, "property_numeric_value": 1.66,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</si>
  <si>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PFDTBT-BTBT</t>
  </si>
  <si>
    <t xml:space="preserve">{[*]c7ccc6c5ccc(c1ccc3c(c1)sc4c2ccc([*])cc2sc34)cc5C(CCCCCCCCCC)(CCCCCCCCCC)c6c7,[*]c7ccc6c5ccc(c4ccc(c2ccc(c1ccc([*])s1)c3nsnc23)s4)cc5C(CCCCCCCCCC)(CCCCCCCCCC)c6c7}</t>
  </si>
  <si>
    <t xml:space="preserve">['PFDTBT-BTBT']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</si>
  <si>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232, "entity_end": 233, "property_value_start": 240, "property_value_end": 244, "property_numeric_value": 0.00062, "property_unit": "cm^{2}/Vs", "property_value_descriptor": ""}, "electron mobility": {}, "external quantum efficiency": {}}</t>
  </si>
  <si>
    <t xml:space="preserve">10.1016/j.dyepig.2017.07.057</t>
  </si>
  <si>
    <t xml:space="preserve">PTBFTPD</t>
  </si>
  <si>
    <t xml:space="preserve">[*]c7cc6c(c1ccc(CC(CC)CCCC)s1)c4oc(c2sc([*])c3c(=O)n(CC(CC)CCCC)c(=O)c23)cc4c(c5ccc(CC(CC)CCCC)s5)c6s7</t>
  </si>
  <si>
    <t xml:space="preserve">['PTBFTPD']</t>
  </si>
  <si>
    <t xml:space="preserve">{"power conversion efficiency": {"entity_name": "PCE", "entity_start": 203, "entity_end": 203, "property_value_start": 206, "property_value_end": 207, "property_numeric_value": 4.33, "property_unit": "%", "property_value_descriptor": ""}, "open circuit voltage": {"entity_name": "V_{oc}", "entity_start": 215, "entity_end": 217, "property_value_start": 222, "property_value_end": 223, "property_numeric_value": 1.09, "property_unit": "V", "property_value_descriptor": ""}, "short circuit current": {}, "fill factor": {}, "highest occupied molecular orbital": {}, "lowest unoccupied molecular orbital": {}, "bandgap": {"entity_name": "bandgap", "entity_start": 131, "entity_end": 131, "property_value_start": 138, "property_value_end": 139, "property_numeric_value": 1.85, "property_unit": "eV", "property_value_descriptor": ""}, "hole mobility": {}, "electron mobility": {}, "external quantum efficiency": {}}</t>
  </si>
  <si>
    <t xml:space="preserve">10.1016/j.synthmet.2012.05.011</t>
  </si>
  <si>
    <t xml:space="preserve">N-phenylethylaziridino[60]fullerene</t>
  </si>
  <si>
    <t xml:space="preserve">c%33ccc(CCN%31C1%32c2c3c%30c4c5c6c(c7c8c1c9c%10c2c%11c%12c3c%13c4c%14c5c%15c%16c6c7c%17c%18c8c9c%19c%20c%10c%11c%21c%22c%12c%13c%23c%14c%24c%15c%25c%16c%17c%26c%18c%19c%27c%20c%21c%28c%22c%23c%24c%29c%25c%26c%27c%28%29)C%30%31%32)cc%33</t>
  </si>
  <si>
    <t xml:space="preserve">['N-phenylethylaziridino[60]fullerene']</t>
  </si>
  <si>
    <t xml:space="preserve">{"power conversion efficiency": {"entity_name": "power conversion efficiency", "entity_start": 95, "entity_end": 97, "property_value_start": 99, "property_value_end": 100, "property_numeric_value": 2.92,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</si>
  <si>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10.1016/j.orgel.2019.01.052</t>
  </si>
  <si>
    <t xml:space="preserve">poly[(2,6-(4,8-bis(5-(2-ethylhexyl)thiophen-2-yl)-benzo[1,2-b:4,5-b']dithiophene))-alt-(5,5-(1',3'-di-2-thienyl-5',7'-bis(2-ethylhexyl)benzo[1',2'-c:4',5'-c']dithiophene-4,8-dione))]</t>
  </si>
  <si>
    <t xml:space="preserve">["poly[(2,6-(4,8-bis(5-(2-ethylhexyl)thiophen-2-yl)-benzo[1,2-b:4,5-b']dithiophene))-alt-(5,5-(1',3'-di-2-thienyl-5',7'-bis(2-ethylhexyl)benzo[1',2'-c:4',5'-c']dithiophene-4,8-dione))]", 'PBDB-T']</t>
  </si>
  <si>
    <t xml:space="preserve">='TfIF-IC-C8'</t>
  </si>
  <si>
    <t xml:space="preserve">CCCCCCCCC5(CCCCCCCC)c3cc2c1cc%13c(cc1C(CCCCCCCC)(CCCCCCCC)c2cc3c4cc9c(cc45)c8sc(C=c7c(=O)c6ccccc6c7=C(C#N)C#N)cc8C9(CCCCCCCC)CCCCCCCC)c%12sc(C=c%11c(=O)c%10ccccc%10c%11=C(C#N)C#N)cc%12C%13(CCCCCCCC)CCCCCCCC</t>
  </si>
  <si>
    <t xml:space="preserve">['TfIF-IC-C8']</t>
  </si>
  <si>
    <t xml:space="preserve">{"power conversion efficiency": {"entity_name": "PCE", "entity_start": 151, "entity_end": 151, "property_value_start": 153, "property_value_end": 154, "property_numeric_value": 8.57,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</si>
  <si>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10.1016/j.nanoen.2013.03.011</t>
  </si>
  <si>
    <t xml:space="preserve">{"power conversion efficiency": {"entity_name": "PCE", "entity_start": 146, "entity_end": 146, "property_value_start": 169, "property_value_end": 170, "property_numeric_value": 3.8,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</si>
  <si>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10.1016/j.orgel.2014.11.023</t>
  </si>
  <si>
    <t xml:space="preserve">{"power conversion efficiency": {"entity_name": "PCE", "entity_start": 105, "entity_end": 105, "property_value_start": 116, "property_value_end": 117, "property_numeric_value": 7.84,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</si>
  <si>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10.1016/j.solmat.2016.09.008</t>
  </si>
  <si>
    <t xml:space="preserve">{"power conversion efficiency": {"entity_name": "power conversion efficiency", "entity_start": 210, "entity_end": 212, "property_value_start": 214, "property_value_end": 215, "property_numeric_value": 1.9,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</si>
  <si>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10.1016/j.orgel.2017.01.014</t>
  </si>
  <si>
    <t xml:space="preserve">[*]c1ccc7c(c1)c(OCC(CC)CCCC)c(OCC(CC)CCCC)c6cc(c5ccc(c4c3c(=O)n(CC(CCCC)CCCCCC)c(c2ccc([*])s2)c3c(=O)n4CC(CCCC)CCCCCC)s5)ccc67</t>
  </si>
  <si>
    <t xml:space="preserve">{"power conversion efficiency": {"entity_name": "power conversion efficiency", "entity_start": 148, "entity_end": 150, "property_value_start": 152, "property_value_end": 153, "property_numeric_value": 2.73, "property_unit": "%", "property_value_descriptor": ""}, "open circuit voltage": {"entity_name": "V_{oc}", "entity_start": 126, "entity_end": 127, "property_value_start": 129, "property_value_end": 130, "property_numeric_value": 0.79, "property_unit": "V", "property_value_descriptor": ""}, "short circuit current": {"entity_name": "J_{sc}", "entity_start": 133, "entity_end": 134, "property_value_start": 136, "property_value_end": 139, "property_numeric_value": 5.97, "property_unit": "mA cm^{-2}", "property_value_descriptor": ""}, "fill factor": {"entity_name": "fill factor", "entity_start": 142, "entity_end": 143, "property_value_start": 145, "property_value_end": 145, "property_numeric_value": 62.0, "property_unit": "%", "property_value_descriptor": ""}, "highest occupied molecular orbital": {}, "lowest unoccupied molecular orbital": {}, "bandgap": {"entity_name": "optical bandgap", "entity_start": 48, "entity_end": 49, "property_value_start": 55, "property_value_end": 56, "property_numeric_value": 1.6, "property_unit": "eV", "property_value_descriptor": ""}, "hole mobility": {}, "electron mobility": {}, "external quantum efficiency": {}}</t>
  </si>
  <si>
    <t xml:space="preserve">10.1016/j.orgel.2015.06.043</t>
  </si>
  <si>
    <t xml:space="preserve">['[6,6]-phenyl-C_{61}-butyric-acidmethyl-ester', 'PC_{61}BM']</t>
  </si>
  <si>
    <t xml:space="preserve">{"power conversion efficiency": {"entity_name": "PCE", "entity_start": 191, "entity_end": 191, "property_value_start": 213, "property_value_end": 214, "property_numeric_value": 3.17, "property_unit": "%", "property_value_descriptor": ""}, "open circuit voltage": {"entity_name": "V_{oc}", "entity_start": 168, "entity_end": 169, "property_value_start": 172, "property_value_end": 173, "property_numeric_value": 0.62, "property_unit": "V", "property_value_descriptor": ""}, "short circuit current": {"entity_name": "J_{sc}", "entity_start": 153, "entity_end": 154, "property_value_start": 157, "property_value_end": 160, "property_numeric_value": 9.63, "property_unit": "mA cm^{-2}", "property_value_descriptor": ""}, "fill factor": {"entity_name": "FF", "entity_start": 179, "entity_end": 179, "property_value_start": 182, "property_value_end": 183, "property_numeric_value": 64.9,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</si>
  <si>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10.1016/j.jpowsour.2017.08.061</t>
  </si>
  <si>
    <t xml:space="preserve">IDTIDT-IC</t>
  </si>
  <si>
    <t xml:space="preserve">CCCCCCc%22ccc(C6(c1ccc(CCCCCC)cc1)c2cc9c(cc2c5sc(C=c4c(=O)c3ccccc3c4=C(C#N)C#N)cc56)C(c7ccc(CCCCCC)cc7)(c8ccc(CCCCCC)cc8)c%10c9sc%11c%13c(sc%10%11)c%12cc%19c(cc%12C%13(c%14ccc(CCCCCC)cc%14)c%15ccc(CCCCCC)cc%15)c%18sc(C=c%17c(=O)c%16ccccc%16c%17=C(C#N)C#N)cc%18C%19(c%20ccc(CCCCCC)cc%20)c%21ccc(CCCCCC)cc%21)cc%22</t>
  </si>
  <si>
    <t xml:space="preserve">['IDTIDT-IC']</t>
  </si>
  <si>
    <t xml:space="preserve">{"power conversion efficiency": {"entity_name": "PCE", "entity_start": 131, "entity_end": 131, "property_value_start": 150, "property_value_end": 151, "property_numeric_value": 3.64,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</si>
  <si>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10.1016/j.orgel.2014.04.041</t>
  </si>
  <si>
    <t xml:space="preserve">{"power conversion efficiency": {"entity_name": "PCE", "entity_start": 68, "entity_end": 68, "property_value_start": 71, "property_value_end": 72, "property_numeric_value": 4.56,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</si>
  <si>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10.1016/j.nanoen.2016.04.048</t>
  </si>
  <si>
    <t xml:space="preserve">{"power conversion efficiency": {"entity_name": "PCE", "entity_start": 196, "entity_end": 196, "property_value_start": 198, "property_value_end": 199, "property_numeric_value": 10.2,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</si>
  <si>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10.1016/j.synthmet.2013.11.009</t>
  </si>
  <si>
    <t xml:space="preserve">PBDTPO-FBT</t>
  </si>
  <si>
    <t xml:space="preserve">[*]c9cc8c(c1ccc(OCC(CC)CCCC)cc1)c6sc(c5sc(c3c(F)cc(c2cc(CCCCCCCCCCCC)c([*])s2)c4nsnc34)cc5CCCCCCCCCCCC)cc6c(c7ccc(OCC(CC)CCCC)cc7)c8s9</t>
  </si>
  <si>
    <t xml:space="preserve">['PBDTPO-FBT']</t>
  </si>
  <si>
    <t xml:space="preserve">{"power conversion efficiency": {"entity_name": "power conversion efficiency", "entity_start": 204, "entity_end": 206, "property_value_start": 208, "property_value_end": 209, "property_numeric_value": 2.7, "property_unit": "%", "property_value_descriptor": ""}, "open circuit voltage": {"entity_name": "V oc", "entity_start": 211, "entity_end": 212, "property_value_start": 214, "property_value_end": 215, "property_numeric_value": 0.7, "property_unit": "V", "property_value_descriptor": ""}, "short circuit current": {"entity_name": "J sc", "entity_start": 217, "entity_end": 218, "property_value_start": 220, "property_value_end": 224, "property_numeric_value": 7.23, "property_unit": "mA/cm^{2}", "property_value_descriptor": ""}, "fill factor": {"entity_name": "FF", "entity_start": 226, "entity_end": 226, "property_value_start": 228, "property_value_end": 229, "property_numeric_value": 47.08, "property_unit": "%", "property_value_descriptor": ""}, "highest occupied molecular orbital": {}, "lowest unoccupied molecular orbital": {}, "bandgap": {"entity_name": "optical bandgap", "entity_start": 99, "entity_end": 100, "property_value_start": 102, "property_value_end": 103, "property_numeric_value": 1.53, "property_unit": "eV", "property_value_descriptor": ""}, "hole mobility": {}, "electron mobility": {}, "external quantum efficiency": {}}</t>
  </si>
  <si>
    <t xml:space="preserve">10.1016/j.solmat.2015.08.039</t>
  </si>
  <si>
    <t xml:space="preserve">{"power conversion efficiency": {"entity_name": "power conversion efficiency", "entity_start": 168, "entity_end": 170, "property_value_start": 172, "property_value_end": 173, "property_numeric_value": 4.82,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</si>
  <si>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10.1016/j.dyepig.2017.02.022</t>
  </si>
  <si>
    <t xml:space="preserve">PBO</t>
  </si>
  <si>
    <t xml:space="preserve">[*]c9ccc(c7c(OCCCCCCCCCCCC)c(OCCCCCCCCCCCC)c(c6ccc(c5cc4c(c1ccc(SCC(CC)CCCC)cc1)c2sc([*])cc2c(c3ccc(SCC(CC)CCCC)cc3)c4s5)s6)c8nonc78)s9</t>
  </si>
  <si>
    <t xml:space="preserve">['PBO']</t>
  </si>
  <si>
    <t xml:space="preserve">{"power conversion efficiency": {"entity_name": "Power conversion efficiency", "entity_start": 90, "entity_end": 92, "property_value_start": 95, "property_value_end": 96, "property_numeric_value": 7.0, "property_unit": "%", "property_value_descriptor": ""}, "open circuit voltage": {}, "short circuit current": {}, "fill factor": {}, "highest occupied molecular orbital": {"entity_name": "HOMO level", "entity_start": 66, "entity_end": 67, "property_value_start": 69, "property_value_end": 70, "property_numeric_value": -5.52, "property_unit": "eV", "property_value_descriptor": ""}, "lowest unoccupied molecular orbital": {}, "bandgap": {}, "hole mobility": {}, "electron mobility": {}, "external quantum efficiency": {}}</t>
  </si>
  <si>
    <t xml:space="preserve">10.1016/j.synthmet.2012.03.017</t>
  </si>
  <si>
    <t xml:space="preserve">['[6,6]-phenyl-C_{61} butyric acid methyl ester', 'PCBM']</t>
  </si>
  <si>
    <t xml:space="preserve">{"power conversion efficiency": {"entity_name": "PCE", "entity_start": 129, "entity_end": 129, "property_value_start": 131, "property_value_end": 132, "property_numeric_value": 3.6,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</si>
  <si>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10.1016/j.orgel.2016.09.026</t>
  </si>
  <si>
    <t xml:space="preserve">PIDT2FBT</t>
  </si>
  <si>
    <t xml:space="preserve">[*]c8ccc7c(=c5c(=O)n(CC(CCCCCCCCCC)CCCCCCCCCCCC)c6cc(c4ccc(c2c(F)c(F)c(c1ccc([*])s1)c3nsnc23)s4)ccc56)c(=O)n(CC(CCCCCCCCCC)CCCCCCCCCCCC)c7c8</t>
  </si>
  <si>
    <t xml:space="preserve">['PIDT2FBT']</t>
  </si>
  <si>
    <t xml:space="preserve">1.1 V</t>
  </si>
  <si>
    <t xml:space="preserve">{"power conversion efficiency": {"entity_name": "power conversion efficiency", "entity_start": 101, "entity_end": 103, "property_value_start": 106, "property_value_end": 107, "property_numeric_value": 4.1,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</si>
  <si>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10.1016/j.solmat.2012.04.044</t>
  </si>
  <si>
    <t xml:space="preserve">PolyS</t>
  </si>
  <si>
    <t xml:space="preserve">[*]c5cc4c(OCC(CC)CCCC)c3sc(c2sc(c1cc(SCCCCCCCC)c([*])s1)cc2SCCCCCCCC)cc3c(OCC(CC)CCCC)c4s5</t>
  </si>
  <si>
    <t xml:space="preserve">["poly[4,8-bis(2-ethylhexyloxy)benzo[1,2-b:4,5-b']dithiophene-alt-4,4'-bis(octylsulfanyl)-2,2'-bithiophene]", 'PolyS']</t>
  </si>
  <si>
    <t xml:space="preserve">[60]PCBM</t>
  </si>
  <si>
    <t xml:space="preserve">['[60]PCBM']</t>
  </si>
  <si>
    <t xml:space="preserve">{"power conversion efficiency": {"entity_name": "power conversion efficiency", "entity_start": 126, "entity_end": 128, "property_value_start": 135, "property_value_end": 136, "property_numeric_value": 2.3,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</si>
  <si>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10.1016/j.synthmet.2015.11.022</t>
  </si>
  <si>
    <t xml:space="preserve">F_{6}</t>
  </si>
  <si>
    <t xml:space="preserve">COc%34ccc(COC(=O)CCCC%32(c1ccccc1)C2%33c3c4c%31c5c6c7c(c8c9c2c%10c%11c3c%12c%13c4c%14c5c%15c6c%16c%17c7c8c%18c%19c9c%10c%20c%21c%11c%12c%22c%23c%13c%14c%24c%15c%25c%16c%26c%17c%18c%27c%19c%20c%28c%21c%22c%29c%23c%24c%25c%30c%26c%27c%28c%29%30)C%31%32%33)cc%34</t>
  </si>
  <si>
    <t xml:space="preserve">['F_{6}']</t>
  </si>
  <si>
    <t xml:space="preserve">{"power conversion efficiency": {"entity_name": "power conversion efficiency", "entity_start": 180, "entity_end": 182, "property_value_start": 203, "property_value_end": 204,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</si>
  <si>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10.1016/j.solmat.2015.07.048</t>
  </si>
  <si>
    <t xml:space="preserve">{"power conversion efficiency": {"entity_name": "power conversion efficiency", "entity_start": 32, "entity_end": 34, "property_value_start": 56, "property_value_end": 57, "property_numeric_value": 3.19,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</si>
  <si>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10.1016/j.orgel.2017.04.009</t>
  </si>
  <si>
    <t xml:space="preserve">PFF</t>
  </si>
  <si>
    <t xml:space="preserve">[*]c%15ccc(c%13c(F)c(F)c(c%10ccc(c1cc3c(s1)c2cc7c(cc2C3(c4ccc(CCCCCC)cc4)c5ccc(CCCCCC)cc5)c6sc([*])cc6C7(c8ccc(CCCCCC)cc8)c9ccc(CCCCCC)cc9)s%10)c%14nc(c%11cc(F)cc(OCCCCCCCC)c%11)c(c%12cc(F)cc(OCCCCCCCC)c%12)nc%13%14)s%15</t>
  </si>
  <si>
    <t xml:space="preserve">['PFF']</t>
  </si>
  <si>
    <t xml:space="preserve">{"power conversion efficiency": {"entity_name": "PCE", "entity_start": 233, "entity_end": 233, "property_value_start": 236, "property_value_end": 237, "property_numeric_value": 2.9, "property_unit": "%", "property_value_descriptor": ""}, "open circuit voltage": {"entity_name": "V_{oc}", "entity_start": 240, "entity_end": 241, "property_value_start": 243, "property_value_end": 244, "property_numeric_value": 0.92, "property_unit": "V", "property_value_descriptor": ""}, "short circuit current": {"entity_name": "J_{sc}", "entity_start": 247, "entity_end": 248, "property_value_start": 250, "property_value_end": 254, "property_numeric_value": 4.61, "property_unit": "mA/cm^{2}", "property_value_descriptor": ""}, "fill factor": {"entity_name": "FF", "entity_start": 227, "entity_end": 227, "property_value_start": 228, "property_value_end": 228, "property_numeric_value": 70.0,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</si>
  <si>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PFH</t>
  </si>
  <si>
    <t xml:space="preserve">[*]c%15ccc(c%13c(F)c(F)c(c%10ccc(c1cc3c(s1)c2cc7c(cc2C3(c4ccc(CCCCCC)cc4)c5ccc(CCCCCC)cc5)c6sc([*])cc6C7(c8ccc(CCCCCC)cc8)c9ccc(CCCCCC)cc9)s%10)c%14nc(c%11cccc(OCCCCCCCC)c%11)c(c%12cccc(OCCCCCCCC)c%12)nc%13%14)s%15</t>
  </si>
  <si>
    <t xml:space="preserve">['PFH']</t>
  </si>
  <si>
    <t xml:space="preserve">{"power conversion efficiency": {"entity_name": "PCE", "entity_start": 204, "entity_end": 204, "property_value_start": 206, "property_value_end": 207, "property_numeric_value": 6.19, "property_unit": "%", "property_value_descriptor": ""}, "open circuit voltage": {}, "short circuit current": {"entity_name": "J_{sc}", "entity_start": 217, "entity_end": 218, "property_value_start": 220, "property_value_end": 224, "property_numeric_value": 9.57, "property_unit": "mA/cm^{2}", "property_value_descriptor": ""}, "fill factor": {"entity_name": "FF", "entity_start": 257, "entity_end": 257, "property_value_start": 259, "property_value_end": 259, "property_numeric_value": 68.0,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</si>
  <si>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PHF</t>
  </si>
  <si>
    <t xml:space="preserve">[*]c%15ccc(c%13ccc(c%10ccc(c1cc3c(s1)c2cc7c(cc2C3(c4ccc(CCCCCC)cc4)c5ccc(CCCCCC)cc5)c6sc([*])cc6C7(c8ccc(CCCCCC)cc8)c9ccc(CCCCCC)cc9)s%10)c%14nc(c%11cc(F)cc(OCCCCCCCC)c%11)c(c%12cc(F)cc(OCCCCCCCC)c%12)nc%13%14)s%15</t>
  </si>
  <si>
    <t xml:space="preserve">['PHF']</t>
  </si>
  <si>
    <t xml:space="preserve">12.46 mA/cm^{2}</t>
  </si>
  <si>
    <t xml:space="preserve">10.1016/j.diamond.2013.11.007</t>
  </si>
  <si>
    <t xml:space="preserve">{"power conversion efficiency": {"entity_name": "PCE", "entity_start": 81, "entity_end": 81, "property_value_start": 84, "property_value_end": 85, "property_numeric_value": 3.02, "property_unit": "%", "property_value_descriptor": ""}, "open circuit voltage": {}, "short circuit current": {"entity_name": "short-circuit current density", "entity_start": 88, "entity_end": 92, "property_value_start": 94, "property_value_end": 98, "property_numeric_value": 11.46,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</si>
  <si>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10.1016/j.synthmet.2011.07.023</t>
  </si>
  <si>
    <t xml:space="preserve">{"power conversion efficiency": {"entity_name": "PCE", "entity_start": 90, "entity_end": 90, "property_value_start": 92, "property_value_end": 93, "property_numeric_value": 2.36, "property_unit": "%", "property_value_descriptor": ""}, "open circuit voltage": {}, "short circuit current": {"entity_name": "Jsc", "entity_start": 80, "entity_end": 80, "property_value_start": 82, "property_value_end": 86, "property_numeric_value": 2.08,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</si>
  <si>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10.1016/j.jphotochem.2007.08.003</t>
  </si>
  <si>
    <t xml:space="preserve">['1-(3-methoxycarbonyl)-propyl-1-phenyl-(6,6)C61','PCBM']</t>
  </si>
  <si>
    <t xml:space="preserve">{"power conversion efficiency": {"entity_name": "power conversion efficiency", "entity_start": 119, "entity_end": 121, "property_value_start": 123, "property_value_end": 124, "property_numeric_value": 4.3,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</si>
  <si>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10.1016/j.nanoen.2016.05.011</t>
  </si>
  <si>
    <t xml:space="preserve">{"power conversion efficiency": {"entity_name": "PCE", "entity_start": 167, "entity_end": 167, "property_value_start": 171, "property_value_end": 172, "property_numeric_value": 10.24,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</si>
  <si>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10.1016/j.orgel.2012.05.015</t>
  </si>
  <si>
    <t xml:space="preserve">['poly (3-hexylthiophene)', 'P3HT']</t>
  </si>
  <si>
    <t xml:space="preserve">{"power conversion efficiency": {"entity_name": "PCE", "entity_start": 122, "entity_end": 122, "property_value_start": 128, "property_value_end": 129, "property_numeric_value": 4.7,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</si>
  <si>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10.1016/j.synthmet.2014.11.039</t>
  </si>
  <si>
    <t xml:space="preserve">='PBDTFPQ'</t>
  </si>
  <si>
    <t xml:space="preserve">[*]c1cc8c(s1)C(OCC(CCCCCCCC)CCCCCCCCCC)c7cc(c5c(F)cc([*])c6nc4c2ccccc2c3ccccc3c4nc56)sc7C8OCC(CCCCCCCC)CCCCCCCCCC</t>
  </si>
  <si>
    <t xml:space="preserve">['PBDTFPQ']</t>
  </si>
  <si>
    <t xml:space="preserve">[6,6]-phenyl-C71-butyric acid methyl ester</t>
  </si>
  <si>
    <t xml:space="preserve">['[6,6]-phenyl-C71-butyric acid methyl ester']</t>
  </si>
  <si>
    <t xml:space="preserve">{"power conversion efficiency": {"entity_name": "power conversion efficiency", "entity_start": 78, "entity_end": 80, "property_value_start": 82, "property_value_end": 83, "property_numeric_value": 1.9, "property_unit": "%", "property_value_descriptor": ""}, "open circuit voltage": {"entity_name": "open-circuit voltage", "entity_start": 88, "entity_end": 91, "property_value_start": 93, "property_value_end": 94, "property_numeric_value": 0.72, "property_unit": "V", "property_value_descriptor": ""}, "short circuit current": {}, "fill factor": {}, "highest occupied molecular orbital": {"entity_name": "highest occupied molecular orbit energy level", "entity_start": 30, "entity_end": 35, "property_value_start": 37, "property_value_end": 38, "property_numeric_value": -5.34, "property_unit": "eV", "property_value_descriptor": ""}, "lowest unoccupied molecular orbital": {}, "bandgap": {"entity_name": "bandgap", "entity_start": 43, "entity_end": 43, "property_value_start": 45, "property_value_end": 46, "property_numeric_value": 1.53, "property_unit": "eV", "property_value_descriptor": ""}, "hole mobility": {}, "electron mobility": {}, "external quantum efficiency": {}}</t>
  </si>
  <si>
    <t xml:space="preserve">10.1016/j.orgel.2015.04.012</t>
  </si>
  <si>
    <t xml:space="preserve">{"power conversion efficiency": {"entity_name": "PCE", "entity_start": 162, "entity_end": 162, "property_value_start": 169, "property_value_end": 170, "property_numeric_value": 3.45,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</si>
  <si>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10.1016/j.orgel.2016.11.034</t>
  </si>
  <si>
    <t xml:space="preserve">{[*]c9ccc(c7ccc(c6ccc(c5cc4c1cc([*])sc1c3nc2c(=O)n(CC(CCCCCCCC)CCCCCCCCCC)c(=O)c2nc3c4s5)s6)c8nsnc78)s9,[*]c9ccc(c7ccc(c6ccc(c5ccc(c3c1nsnc1c(c2ccc([*])s2)c4nc(CCCCCCCC)c(CCCCCCCC)nc34)s5)s6)c8nsnc78)s9}</t>
  </si>
  <si>
    <t xml:space="preserve">{"power conversion efficiency": {"entity_name": "PCE", "entity_start": 164, "entity_end": 164, "property_value_start": 167, "property_value_end": 168, "property_numeric_value": 7.22, "property_unit": "%", "property_value_descriptor": ""}, "open circuit voltage": {}, "short circuit current": {}, "fill factor": {}, "highest occupied molecular orbital": {}, "lowest unoccupied molecular orbital": {}, "bandgap": {"entity_name": "bandgap", "entity_start": 65, "entity_end": 65, "property_value_start": 68, "property_value_end": 69, "property_numeric_value": 1.18, "property_unit": "eV", "property_value_descriptor": ""}, "hole mobility": {}, "electron mobility": {}, "external quantum efficiency": {}}</t>
  </si>
  <si>
    <t xml:space="preserve">[*]c9ccc(c7ccc(c6ccc(c5cc4c1cc([*])sc1c3nc2c(=O)n(CC(CCCCCCCC)CCCCCCCCCC)c(=O)c2nc3c4s5)s6)c8nsnc78)s9</t>
  </si>
  <si>
    <t xml:space="preserve">{"power conversion efficiency": {"entity_name": "PCE", "entity_start": 182, "entity_end": 182, "property_value_start": 184, "property_value_end": 185, "property_numeric_value": 6.56, "property_unit": "%", "property_value_descriptor": ""}, "open circuit voltage": {}, "short circuit current": {}, "fill factor": {}, "highest occupied molecular orbital": {}, "lowest unoccupied molecular orbital": {}, "bandgap": {"entity_name": "bandgap", "entity_start": 65, "entity_end": 65, "property_value_start": 78, "property_value_end": 79, "property_numeric_value": 1.5, "property_unit": "eV", "property_value_descriptor": ""}, "hole mobility": {}, "electron mobility": {}, "external quantum efficiency": {}}</t>
  </si>
  <si>
    <t xml:space="preserve">10.1016/j.synthmet.2015.12.013</t>
  </si>
  <si>
    <t xml:space="preserve">PDTTDPP-DT</t>
  </si>
  <si>
    <t xml:space="preserve">[*]c9ccc(c8c7c(=O)n(C(CCCCCCCCCC)CCCCCCCCCCCC)c(c6ccc(c5cc(CCCCCCCCCCCC)c(c4cc3sc2cc(c1sc([*])cc1CCCCCCCCCCCC)sc2c3s4)s5)s6)c7c(=O)n8C(CCCCCCCCCC)CCCCCCCCCCCC)s9</t>
  </si>
  <si>
    <t xml:space="preserve">['PDTTDPP-DT']</t>
  </si>
  <si>
    <t xml:space="preserve">{"power conversion efficiency": {"entity_name": "power conversion efficiency", "entity_start": 188, "entity_end": 190, "property_value_start": 192, "property_value_end": 193, "property_numeric_value": 3.44,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</si>
  <si>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10.1016/j.dyepig.2017.01.049</t>
  </si>
  <si>
    <t xml:space="preserve">LGC-D054</t>
  </si>
  <si>
    <t xml:space="preserve">[*]c%12cc%11c(c1ccc(CC(CC)CCCC)s1)c9sc(c7sc(c6sc(c5ccc(c4ccc(c2sc([*])c3c(=O)n(CCCCCCCCCCCC)c(=O)c23)s4)s5)cc6CCCCCCCCCCCC)c8c(=O)n(CCCCCCCCCCCC)c(=O)c78)cc9c(c%10ccc(CC(CC)CCCC)s%10)c%11s%12</t>
  </si>
  <si>
    <t xml:space="preserve">['LGC-D054']</t>
  </si>
  <si>
    <t xml:space="preserve">{"power conversion efficiency": {"entity_name": "PCE", "entity_start": 187, "entity_end": 187, "property_value_start": 189, "property_value_end": 190, "property_numeric_value": 5.08, "property_unit": "%", "property_value_descriptor": ""}, "open circuit voltage": {}, "short circuit current": {"entity_name": "J_{sc}", "entity_start": 193, "entity_end": 194, "property_value_start": 196, "property_value_end": 200, "property_numeric_value": 9.08, "property_unit": "mA/cm^{2}", "property_value_descriptor": ""}, "fill factor": {"entity_name": "FF", "entity_start": 203, "entity_end": 203, "property_value_start": 205, "property_value_end": 206, "property_numeric_value": 66.02, "property_unit": "%", "property_value_descriptor": ""}, "highest occupied molecular orbital": {"entity_name": "HOMO) leve", "entity_start": 82, "entity_end": 84, "property_value_start": 86, "property_value_end": 87, "property_numeric_value": -5.25, "property_unit": "eV", "property_value_descriptor": ""}, "lowest unoccupied molecular orbital": {}, "bandgap": {"entity_name": "optical bandgap", "entity_start": 69, "entity_end": 70, "property_value_start": 72, "property_value_end": 73, "property_numeric_value": 1.81, "property_unit": "eV", "property_value_descriptor": ""}, "hole mobility": {}, "electron mobility": {}, "external quantum efficiency": {}}</t>
  </si>
  <si>
    <t xml:space="preserve">10.1016/j.orgel.2013.05.015</t>
  </si>
  <si>
    <t xml:space="preserve">='PBDT-2T-TTz'</t>
  </si>
  <si>
    <t xml:space="preserve">[*]c%10cc9c(c1ccc(CC(CC)CCCC)s1)c7sc(c6sc(c5sc(c4nnc(c3cc(CCCCCC)c(c2cc(CCCCCC)c([*])s2)s3)nn4)cc5CCCCCC)cc6CCCCCC)cc7c(c8ccc(CC(CC)CCCC)s8)c9s%10</t>
  </si>
  <si>
    <t xml:space="preserve">['PBDT-2T-TTz']</t>
  </si>
  <si>
    <t xml:space="preserve">{"power conversion efficiency": {"entity_name": "power conversion efficiency", "entity_start": 153, "entity_end": 155, "property_value_start": 157, "property_value_end": 159, "property_numeric_value": 5.0, "property_unit": "%", "property_value_descriptor": "&gt;"}, "open circuit voltage": {"entity_name": "open circuit voltage", "entity_start": 164, "entity_end": 166, "property_value_start": 168, "property_value_end": 169, "property_numeric_value": 1.0, "property_unit": "V", "property_value_descriptor": "~"},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</si>
  <si>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10.1016/j.solmat.2012.01.025</t>
  </si>
  <si>
    <t xml:space="preserve">PBDT-TTz</t>
  </si>
  <si>
    <t xml:space="preserve">[*]c6cc5c(OCC(CC)CCCC)c4sc(c3sc(c2nnc(c1cc(CC(CC)CCCC)c([*])s1)nn2)cc3CC(CC)CCCC)cc4c(OCC(CC)CCCC)c5s6</t>
  </si>
  <si>
    <t xml:space="preserve">['PBDT-TTz']</t>
  </si>
  <si>
    <t xml:space="preserve">{"power conversion efficiency": {"entity_name": "power conversion efficiency", "entity_start": 135, "entity_end": 137, "property_value_start": 142, "property_value_end": 143, "property_numeric_value": 3.32,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</si>
  <si>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10.1016/j.synthmet.2012.03.022</t>
  </si>
  <si>
    <t xml:space="preserve">PQST</t>
  </si>
  <si>
    <t xml:space="preserve">[*]c7ccc(c6[se]c(C4=CC=C(c1cc(CCCCCCCCCCCC)c([*])[se]1)C5N=C(c2ccc(OCCCCCCCCCCCC)cc2)C(c3ccc(OCCCCCCCCCCCC)cc3)=NC45)cc6CCCCCCCCCCCC)s7</t>
  </si>
  <si>
    <t xml:space="preserve">['PQST']</t>
  </si>
  <si>
    <t xml:space="preserve">='0.45'</t>
  </si>
  <si>
    <t xml:space="preserve">{"power conversion efficiency": {}, "open circuit voltage": {}, "short circuit current": {}, "fill factor": {}, "highest occupied molecular orbital": {}, "lowest unoccupied molecular orbital": {}, "bandgap": {"entity_name": "band gaps", "entity_start": 143, "entity_end": 144, "property_value_start": 146, "property_value_end": 149, "property_numeric_value": 1.51, "property_unit": "eV", "property_value_descriptor": "and"}, "hole mobility": {}, "electron mobility": {}, "external quantum efficiency": {}}</t>
  </si>
  <si>
    <t xml:space="preserve">PQSS</t>
  </si>
  <si>
    <t xml:space="preserve">[*]c7ccc(c6[se]c(C4=CC=C(c1cc(CCCCCCCCCCCC)c([*])[se]1)C5N=C(c2ccc(OCCCCCCCCCCCC)cc2)C(c3ccc(OCCCCCCCCCCCC)cc3)=NC45)cc6CCCCCCCCCCCC)[se]7</t>
  </si>
  <si>
    <t xml:space="preserve">['PQSS']</t>
  </si>
  <si>
    <t xml:space="preserve">10.1016/j.orgel.2013.05.014</t>
  </si>
  <si>
    <t xml:space="preserve">["poly[N-9''-hepta-decanyl-2,7-carbazole-alt-5,5-(4',7'-di-2-thienyl-2',1',3'-benzothiadiazole)", 'PCDTBT']</t>
  </si>
  <si>
    <t xml:space="preserve">['[6,6]-phenyl C_{71}-butyric acid methyl ester', 'PC_{71}BM']</t>
  </si>
  <si>
    <t xml:space="preserve">15.65 mA/cm^{2}</t>
  </si>
  <si>
    <t xml:space="preserve">{"power conversion efficiency": {"entity_name": "PCE", "entity_start": 173, "entity_end": 173, "property_value_start": 175, "property_value_end": 176, "property_numeric_value": 7.03,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</si>
  <si>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10.1016/j.jpowsour.2018.12.073</t>
  </si>
  <si>
    <t xml:space="preserve">poly[(2,6-(4,8-bis(5-(2-ethylhexyl)thiophen-2-yl)-benzo[1,2-b:4,5-b0]dithiophene))-alt-(5,5-(10,30-di-2-thienyl-50,70-bis(2-ethylhexyl)benzo[10,20-c:40,50-c0]dithiophene-4,8-dione))]</t>
  </si>
  <si>
    <t xml:space="preserve">[*]c%10ccc(c8sc(c6ccc(c5cc4c(c1ccc(CC(CC)CCCC)s1)c2sc([*])cc2c(c3ccc(CC(CC)CCCC)s3)c4s5)s6)c9c(=O)c7c(CC(CC)CCCC)sc(C(CC)CCCC)c7c(=O)c89)s%10</t>
  </si>
  <si>
    <t xml:space="preserve">['poly[(2,6-(4,8-bis(5-(2-ethylhexyl)thiophen-2-yl)-benzo[1,2-b:4,5-b0]dithiophene))-alt-(5,5-(10,30-di-2-thienyl-50,70-bis(2-ethylhexyl)benzo[10,20-c:40,50-c0]dithiophene-4,8-dione))]','PBDB-T']</t>
  </si>
  <si>
    <t xml:space="preserve">3,9-bis (2-methylene-(3-(1,1-dicyanomethylene)-indanone)-5,5,11,11-tetrakis (4-hexylphenyl)-dithieno[2,3-d:2′, 3′-d′]-s-indaceno[1,2-b:5,6-b’]dithiophene)</t>
  </si>
  <si>
    <t xml:space="preserve">['3,9-bis (2-methylene-(3-(1,1-dicyanomethylene)-indanone)-5,5,11,11-tetrakis (4-hexylphenyl)-dithieno[2,3-d:2′, 3′-d′]-s-indaceno[1,2-b:5,6-b’]dithiophene)','ITIC']</t>
  </si>
  <si>
    <t xml:space="preserve">{"power conversion efficiency": {"entity_name": "PCE", "entity_start": 77, "entity_end": 77, "property_value_start": 80, "property_value_end": 81, "property_numeric_value": 10.9, "property_unit": "%", "property_value_descriptor": ""}, "open circuit voltage": {"entity_name": "V_{OC}", "entity_start": 133, "entity_end": 134, "property_value_start": 137, "property_value_end": 138, "property_numeric_value": 0.91, "property_unit": "V", "property_value_descriptor": ""}, "short circuit current": {"entity_name": "J_{SC}", "entity_start": 109, "entity_end": 110, "property_value_start": 113, "property_value_end": 116, "property_numeric_value": 17.6, "property_unit": "mA cm^{-2}", "property_value_descriptor": ""}, "fill factor": {"entity_name": "FF", "entity_start": 121, "entity_end": 121, "property_value_start": 124, "property_value_end": 125, "property_numeric_value": 68.0,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</si>
  <si>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10.1016/j.solmat.2014.03.012</t>
  </si>
  <si>
    <t xml:space="preserve">poly (3-hexylthiophene)</t>
  </si>
  <si>
    <t xml:space="preserve">['poly (3-hexylthiophene)']</t>
  </si>
  <si>
    <t xml:space="preserve">Indene-C60</t>
  </si>
  <si>
    <t xml:space="preserve">['Indene-C60']</t>
  </si>
  <si>
    <t xml:space="preserve">{"power conversion efficiency": {"entity_name": "power conversion efficiency", "entity_start": 79, "entity_end": 81, "property_value_start": 85, "property_value_end": 86, "property_numeric_value": 5.29,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</si>
  <si>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10.1016/j.synthmet.2019.06.009</t>
  </si>
  <si>
    <t xml:space="preserve">PBDTT-4S-BDD</t>
  </si>
  <si>
    <t xml:space="preserve">[*]c%10ccc(c8sc(c6ccc(c5cc4c(c1cc(SC)c(CC(CC)CCCC)s1)c2sc([*])cc2c(c3cc(SC)c(CC(CC)CCCC)s3)c4s5)s6)c9c(=O)c7c(CC(CC)CCCC)sc(CC(CC)CCCC)c7c(=O)c89)s%10</t>
  </si>
  <si>
    <t xml:space="preserve">['PBDTT-4S-BDD']</t>
  </si>
  <si>
    <t xml:space="preserve">6,6-phenyl-C_{71}-butyric acid</t>
  </si>
  <si>
    <t xml:space="preserve">['6,6-phenyl-C_{71}-butyric acid']</t>
  </si>
  <si>
    <t xml:space="preserve">{"power conversion efficiency": {"entity_name": "power conversion efficiencies", "entity_start": 102, "entity_end": 104, "property_value_start": 109, "property_value_end": 110, "property_numeric_value": 7.8,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</si>
  <si>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PBDTT-4S-TT</t>
  </si>
  <si>
    <t xml:space="preserve">[*]c7cc6c(c1cc(SC)c(CC(CC)CCCC)s1)c4sc(c2sc([*])c3sc(C(=O)OC(CC)CCCC)c(F)c23)cc4c(c5cc(SC)c(CC(CC)CCCC)s5)c6s7</t>
  </si>
  <si>
    <t xml:space="preserve">['PBDTT-4S-TT']</t>
  </si>
  <si>
    <t xml:space="preserve">10.1016/j.solmat.2011.10.021</t>
  </si>
  <si>
    <t xml:space="preserve">{"power conversion efficiency": {"entity_name": "PCE", "entity_start": 100, "entity_end": 100, "property_value_start": 108, "property_value_end": 109, "property_numeric_value": 2.57,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</si>
  <si>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10.1016/j.dyepig.2018.02.050</t>
  </si>
  <si>
    <t xml:space="preserve">PIDTFPQ</t>
  </si>
  <si>
    <t xml:space="preserve">[*]c1cc3c(s1)c2cc%12c(cc2C3(c4ccc(CCCCCC)cc4)c5ccc(CCCCCC)cc5)c%11sc(c9cc(F)c([*])c%10nc8c6ccccc6c7ccccc7c8nc9%10)cc%11C%12(c%13ccc(CCCCCC)cc%13)c%14ccc(CCCCCC)cc%14</t>
  </si>
  <si>
    <t xml:space="preserve">['PIDTFPQ']</t>
  </si>
  <si>
    <t xml:space="preserve">{"power conversion efficiency": {"entity_name": "PCE", "entity_start": 191, "entity_end": 191, "property_value_start": 196, "property_value_end": 197,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mobilities", "entity_start": 125, "entity_end": 126, "property_value_start": 135, "property_value_end": 140, "property_numeric_value": 0.000264, "property_unit": "cm^{2}V^{-1}s^{-1}", "property_value_descriptor": ""}, "external quantum efficiency": {}}</t>
  </si>
  <si>
    <t xml:space="preserve">PIDTFTQ</t>
  </si>
  <si>
    <t xml:space="preserve">[*]c1cc3c(s1)c2cc%12c(cc2C3(c4ccc(CCCCCC)cc4)c5ccc(CCCCCC)cc5)c%11sc(c9cc(F)c([*])c%10nc8c6ccsc6c7sccc7c8nc9%10)cc%11C%12(c%13ccc(CCCCCC)cc%13)c%14ccc(CCCCCC)cc%14</t>
  </si>
  <si>
    <t xml:space="preserve">['PIDTFTQ']</t>
  </si>
  <si>
    <t xml:space="preserve">10.1016/j.synthmet.2012.05.004</t>
  </si>
  <si>
    <t xml:space="preserve">PFDQ</t>
  </si>
  <si>
    <t xml:space="preserve">[*]c%10ccc9c8ccc(c7ccc(c5c1nsnc1c(c2ccc([*])s2)c6nc(c3cccs3)c(c4cccs4)nc56)s7)cc8C(CCCCCCCC)(CCCCCCCC)c9c%10</t>
  </si>
  <si>
    <t xml:space="preserve">['PFDQ']</t>
  </si>
  <si>
    <t xml:space="preserve">0.43 V</t>
  </si>
  <si>
    <t xml:space="preserve">1.30 mA/cm^{2}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</si>
  <si>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 gaps", "entity_start": 58, "entity_end": 60, "property_value_start": 77, "property_value_end": 78, "property_numeric_value": 1.16, "property_unit": "eV", "property_value_descriptor": ""}, "hole mobility": {}, "electron mobility": {}, "external quantum efficiency": {}}</t>
  </si>
  <si>
    <t xml:space="preserve">PIFDQ</t>
  </si>
  <si>
    <t xml:space="preserve">[*]c3ccc2c1cc%12c(cc1C(CCCCCCCC)(CCCCCCCC)c2c3)c%11ccc(c%10ccc(c8c4nsnc4c(c5ccc([*])s5)c9nc(c6cccs6)c(c7cccs7)nc89)s%10)cc%11C%12(CCCCCCCC)CCCCCCCC</t>
  </si>
  <si>
    <t xml:space="preserve">['PIFDQ']</t>
  </si>
  <si>
    <t xml:space="preserve">0.41 V</t>
  </si>
  <si>
    <t xml:space="preserve">2.39 mA/cm^{2}</t>
  </si>
  <si>
    <t xml:space="preserve">10.1016/j.sse.2011.05.024</t>
  </si>
  <si>
    <t xml:space="preserve">{"power conversion efficiency": {"entity_name": "power conversion efficiency", "entity_start": 89, "entity_end": 91, "property_value_start": 104, "property_value_end": 105, "property_numeric_value": 1.51, "property_unit": "%", "property_value_descriptor": ""}, "open circuit voltage": {"entity_name": "V_{oc}", "entity_start": 67, "entity_end": 68, "property_value_start": 76, "property_value_end": 77, "property_numeric_value": 0.63, "property_unit": "V", "property_value_descriptor": ""}, "short circuit current": {"entity_name": "J_{sc}", "entity_start": 43, "entity_end": 44, "property_value_start": 55, "property_value_end": 59, "property_numeric_value": 4.0,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</si>
  <si>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10.1016/j.tsf.2012.03.091</t>
  </si>
  <si>
    <t xml:space="preserve">6,6-phenyl-C61-butyric acid methyl ester</t>
  </si>
  <si>
    <t xml:space="preserve">0.63 V</t>
  </si>
  <si>
    <t xml:space="preserve">7.77 mA/cm^{2}</t>
  </si>
  <si>
    <t xml:space="preserve">{"power conversion efficiency": {"entity_name": "power conversion efficiency", "entity_start": 88, "entity_end": 90, "property_value_start": 92, "property_value_end": 93, "property_numeric_value": 2.37,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</si>
  <si>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10.1016/j.synthmet.2017.03.013</t>
  </si>
  <si>
    <t xml:space="preserve">BTT-3PDI</t>
  </si>
  <si>
    <t xml:space="preserve">CCCCCC(CCCCC)n%19c(=O)c%20ccc%21c%23ccc%24c(=O)n(C(CCCCC)CCCCC)c(=O)c%25cc(c%18cc%17c8sc(c1cc4c(=O)n(C(CCCCC)CCCCC)c(=O)c3ccc2c5ccc6c(=O)n(C(CCCCC)CCCCC)c(=O)c7ccc(c1c2c34)c5c67)cc8c%16sc(c9cc%12c(=O)n(C(CCCCC)CCCCC)c(=O)c%11ccc%10c%13ccc%14c(=O)n(C(CCCCC)CCCCC)c(=O)c%15ccc(c9c%10c%11%12)c%13c%14%15)cc%16c%17s%18)c(c%22ccc(c%19=O)c%20c%21%22)c%23c%24%25</t>
  </si>
  <si>
    <t xml:space="preserve">['BTT-3PDI']</t>
  </si>
  <si>
    <t xml:space="preserve">{"power conversion efficiency": {"entity_name": "PCE", "entity_start": 106, "entity_end": 106, "property_value_start": 109, "property_value_end": 110, "property_numeric_value": 1.35,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138, "entity_end": 139, "property_value_start": 141, "property_value_end": 150, "property_numeric_value": 2.8e-05, "property_unit": "cm^{2} V^{-1} s^{-1}", "property_value_descriptor": ""}, "electron mobility": {"entity_name": "electron mobility", "entity_start": 123, "entity_end": 124, "property_value_start": 126, "property_value_end": 135, "property_numeric_value": 1.67e-05, "property_unit": "cm^{2} V^{-1} s^{-1}", "property_value_descriptor": ""}, "external quantum efficiency": {}}</t>
  </si>
  <si>
    <t xml:space="preserve">10.1016/j.solener.2018.04.020</t>
  </si>
  <si>
    <t xml:space="preserve">['poly 3-hexylthiophene', 'P3HT']</t>
  </si>
  <si>
    <t xml:space="preserve">{"power conversion efficiency": {"entity_name": "PCE", "entity_start": 139, "entity_end": 139, "property_value_start": 142, "property_value_end": 143, "property_numeric_value": 3.94,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</si>
  <si>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10.1016/j.solmat.2013.02.004</t>
  </si>
  <si>
    <t xml:space="preserve">16.2 mA/cm^{2}</t>
  </si>
  <si>
    <t xml:space="preserve">{"power conversion efficiency": {"entity_name": "PCE", "entity_start": 64, "entity_end": 64, "property_value_start": 79, "property_value_end": 80, "property_numeric_value": 5.3, "property_unit": "%", "property_value_descriptor": ""}, "open circuit voltage": {}, "short circuit current": {}, "fill factor": {"entity_name": "FF", "entity_start": 194, "entity_end": 194, "property_value_start": 206, "property_value_end": 207, "property_numeric_value": 51.9,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</si>
  <si>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10.1016/j.solmat.2010.12.049</t>
  </si>
  <si>
    <t xml:space="preserve">PTT-DTDPP</t>
  </si>
  <si>
    <t xml:space="preserve">[*]c6ccc(c5c4c(=O)n(C(CCCCCCCC)CCCCCCCCCC)c(c3ccc(c2cc1sc([*])cc1s2)s3)c4c(=O)n5C(CCCCCCCC)CCCCCCCCCC)s6</t>
  </si>
  <si>
    <t xml:space="preserve">['poly{thieno[3,2-b]thiophene-alt-3,6-dithien-2-yl-2,5-di(2-octyldodecyl)-pyrrolo[3,4-c]pyrrole-1,4-dione}', 'PTT-DTDPP']</t>
  </si>
  <si>
    <t xml:space="preserve">{"power conversion efficiency": {"entity_name": "power conversion efficiency", "entity_start": 80, "entity_end": 82, "property_value_start": 86, "property_value_end": 87, "property_numeric_value": 1.6,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</si>
  <si>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10.1016/j.solmat.2011.05.005</t>
  </si>
  <si>
    <t xml:space="preserve">{"power conversion efficiency": {"entity_name": "power conversion efficiency", "entity_start": 188, "entity_end": 190, "property_value_start": 192, "property_value_end": 193, "property_numeric_value": 5.6,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</si>
  <si>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10.1016/j.orgel.2017.01.015</t>
  </si>
  <si>
    <t xml:space="preserve">["poly[4,8-bis(5-(2-ethylhexyl)thiophen-2-yl)benzo[1,2-b; 4,5-b']dithiophene-2,6-diyl-alt-(4-(2-ethylhexyl)-3-fluorothieno[3,4-b]thiophene-)-2-carboxylate-2-6-diyl)]", 'PTB7-Th']</t>
  </si>
  <si>
    <t xml:space="preserve">CN-PC 70 BM</t>
  </si>
  <si>
    <t xml:space="preserve">N#C/C(=C\c%39ccc(OC(=O)CCCC%37(c1ccccc1)C2%38c3c4c5c%36c6c7c(c8c9c2c%10c3c%11c%12c4c%13c5c%14c6c%15c%16c7c%17c8c%18c9c%19c%10c%20c%11c%21c%12c%22c%13c%23c%14c%24c%15c%25c%16c%26c%17c%27c%18c%28c%19c%20c%29c%21c%30c%22c%31c%23c%24c%32c%25c%33c%26c%27c%34c%28c%29c%35c%30c%31c%32c%33c%34%35)C%36%37%38)cc%39)c%40ccc(N(=O)=O)cc%40</t>
  </si>
  <si>
    <t xml:space="preserve">['CN-PC 70 BM']</t>
  </si>
  <si>
    <t xml:space="preserve">{"power conversion efficiency": {"entity_name": "PCE", "entity_start": 112, "entity_end": 112, "property_value_start": 114, "property_value_end": 115, "property_numeric_value": 5.4, "property_unit": "%", "property_value_descriptor": ""}, "open circuit voltage": {"entity_name": "V oc", "entity_start": 83, "entity_end": 84, "property_value_start": 87, "property_value_end": 88, "property_numeric_value": 0.9, "property_unit": "V", "property_value_descriptor": ""}, "short circuit current": {"entity_name": "J sc", "entity_start": 96, "entity_end": 97, "property_value_start": 100, "property_value_end": 103, "property_numeric_value": 13.5, "property_unit": "mA cm^{-2}", "property_value_descriptor": ""}, "fill factor": {"entity_name": "fill factor", "entity_start": 105, "entity_end": 106, "property_value_start": 108, "property_value_end": 108, "property_numeric_value": 68.0,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</si>
  <si>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10.1016/j.dyepig.2017.12.017</t>
  </si>
  <si>
    <t xml:space="preserve">TTIC-M</t>
  </si>
  <si>
    <t xml:space="preserve">CCCCCCc%14ccc(C7(c1ccc(CCCCCC)cc1)c4cc(C=c3c(=O)c2cc(C)ccc2c3=C(C#N)C#N)sc4c6sc5c%11c(sc5c67)c%10sc(C=c9c(=O)c8ccc(C)cc8c9=C(C#N)C#N)cc%10C%11(c%12ccc(CCCCCC)cc%12)c%13ccc(CCCCCC)cc%13)cc%14</t>
  </si>
  <si>
    <t xml:space="preserve">['TTIC-M']</t>
  </si>
  <si>
    <t xml:space="preserve">20.51 mA cm^{-2}</t>
  </si>
  <si>
    <t xml:space="preserve">{"power conversion efficiency": {"entity_name": "PCE", "entity_start": 235, "entity_end": 235, "property_value_start": 237, "property_value_end": 238, "property_numeric_value": 11.48, "property_unit": "%", "property_value_descriptor": ""}, "open circuit voltage": {"entity_name": "V_{oc}", "entity_start": 201, "entity_end": 202, "property_value_start": 204, "property_value_end": 205, "property_numeric_value": 0.77, "property_unit": "V", "property_value_descriptor": ""}, "short circuit current": {"entity_name": "Jsc", "entity_start": 193, "entity_end": 193, "property_value_start": 195, "property_value_end": 198, "property_numeric_value": 22.26, "property_unit": "mA cm^{-2}", "property_value_descriptor": ""}, "fill factor": {"entity_name": "FF", "entity_start": 250, "entity_end": 250, "property_value_start": 252, "property_value_end": 252, "property_numeric_value": 70.0, "property_unit": "%", "property_value_descriptor": ""}, "highest occupied molecular orbital": {}, "lowest unoccupied molecular orbital": {}, "bandgap": {"entity_name": "band gaps", "entity_start": 160, "entity_end": 161, "property_value_start": 169, "property_value_end": 172, "property_numeric_value": 1.42, "property_unit": "eV", "property_value_descriptor": "and"}, "hole mobility": {}, "electron mobility": {}, "external quantum efficiency": {}}</t>
  </si>
  <si>
    <t xml:space="preserve">TTIC</t>
  </si>
  <si>
    <t xml:space="preserve">CCCCCCc%14ccc(C7(c1ccc(CCCCCC)cc1)c4cc(C=c3c(=O)c2ccccc2c3=C(C#N)C#N)sc4c6sc5c%11c(sc5c67)c%10sc(C=c9c(=O)c8ccccc8c9=C(C#N)C#N)cc%10C%11(c%12ccc(CCCCCC)cc%12)c%13ccc(CCCCCC)cc%13)cc%14</t>
  </si>
  <si>
    <t xml:space="preserve">['TTIC']</t>
  </si>
  <si>
    <t xml:space="preserve">0.77 V</t>
  </si>
  <si>
    <t xml:space="preserve">22.26 mA cm^{-2}</t>
  </si>
  <si>
    <t xml:space="preserve">{"power conversion efficiency": {}, "open circuit voltage": {"entity_name": "V_{oc}", "entity_start": 228, "entity_end": 229, "property_value_start": 231, "property_value_end": 232, "property_numeric_value": 0.8, "property_unit": "V", "property_value_descriptor": ""}, "short circuit current": {"entity_name": "J_{sc}", "entity_start": 241, "entity_end": 242, "property_value_start": 244, "property_value_end": 247, "property_numeric_value": 20.51, "property_unit": "mA cm^{-2}", "property_value_descriptor": ""}, "fill factor": {"entity_name": "FF", "entity_start": 208, "entity_end": 208, "property_value_start": 210, "property_value_end": 210, "property_numeric_value": 62.0,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</si>
  <si>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10.1016/j.spmi.2016.10.087</t>
  </si>
  <si>
    <t xml:space="preserve">{"power conversion efficiency": {"entity_name": "PCE", "entity_start": 274, "entity_end": 274, "property_value_start": 276, "property_value_end": 277, "property_numeric_value": 5.17,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</si>
  <si>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10.1016/j.solmat.2010.03.024</t>
  </si>
  <si>
    <t xml:space="preserve">P1DB</t>
  </si>
  <si>
    <t xml:space="preserve">[*]c4sc(c2ccc(c1cc(CCCCCCCC)c([*])s1)c3nsnc23)cc4CCCCCCCC</t>
  </si>
  <si>
    <t xml:space="preserve">['P1DB']</t>
  </si>
  <si>
    <t xml:space="preserve">{"power conversion efficiency": {"entity_name": "power conversion efficiency", "entity_start": 116, "entity_end": 118, "property_value_start": 120, "property_value_end": 121, "property_numeric_value": 1.08, "property_unit": "%", "property_value_descriptor": ""}, "open circuit voltage": {"entity_name": "open-circuit voltage", "entity_start": 124, "entity_end": 127, "property_value_start": 129, "property_value_end": 130, "property_numeric_value": 0.91, "property_unit": "V", "property_value_descriptor": ""}, "short circuit current": {"entity_name": "short-circuit current density", "entity_start": 133, "entity_end": 137, "property_value_start": 139, "property_value_end": 142, "property_numeric_value": 3.36, "property_unit": "mA cm^{-2}", "property_value_descriptor": ""}, "fill factor": {}, "highest occupied molecular orbital": {}, "lowest unoccupied molecular orbital": {}, "bandgap": {"entity_name": "optical bandgaps", "entity_start": 82, "entity_end": 83, "property_value_start": 89, "property_value_end": 92, "property_numeric_value": 1.45, "property_unit": "eV", "property_value_descriptor": "and"}, "hole mobility": {}, "electron mobility": {}, "external quantum efficiency": {}}</t>
  </si>
  <si>
    <t xml:space="preserve">10.1016/j.dyepig.2015.01.021</t>
  </si>
  <si>
    <t xml:space="preserve">TBFBT</t>
  </si>
  <si>
    <t xml:space="preserve">[*]c9cc8c(c1ccc(CC(CC)CCCC)s1)c6oc(c5sc(c3c(F)cc(c2cc(CCCCCCCCCCCC)c([*])s2)c4nsnc34)cc5CCCCCCCCCCCC)cc6c(c7ccc(CC(CC)CCCC)s7)c8s9</t>
  </si>
  <si>
    <t xml:space="preserve">['TBFBT']</t>
  </si>
  <si>
    <t xml:space="preserve">{"power conversion efficiency": {"entity_name": "PCE", "entity_start": 189, "entity_end": 189, "property_value_start": 192, "property_value_end": 193, "property_numeric_value": 6.1, "property_unit": "%", "property_value_descriptor": ""}, "open circuit voltage": {"entity_name": "V oc", "entity_start": 142, "entity_end": 143, "property_value_start": 145, "property_value_end": 146, "property_numeric_value": 0.72, "property_unit": "V", "property_value_descriptor": ""}, "short circuit current": {"entity_name": "J sc", "entity_start": 197, "entity_end": 198, "property_value_start": 200, "property_value_end": 203, "property_numeric_value": 14.4, "property_unit": "mA cm^{-2}", "property_value_descriptor": ""}, "fill factor": {"entity_name": "FF", "entity_start": 205, "entity_end": 205, "property_value_start": 207, "property_value_end": 207, "property_numeric_value": 62.0, "property_unit": "%", "property_value_descriptor": ""}, "highest occupied molecular orbital": {}, "lowest unoccupied molecular orbital": {}, "bandgap": {"entity_name": "optical bandgap", "entity_start": 89, "entity_end": 90, "property_value_start": 92, "property_value_end": 93, "property_numeric_value": 1.56, "property_unit": "eV", "property_value_descriptor": ""}, "hole mobility": {}, "electron mobility": {}, "external quantum efficiency": {}}</t>
  </si>
  <si>
    <t xml:space="preserve">10.1016/j.orgel.2018.07.013</t>
  </si>
  <si>
    <t xml:space="preserve">{"power conversion efficiency": {"entity_name": "PCE", "entity_start": 119, "entity_end": 119, "property_value_start": 122, "property_value_end": 123, "property_numeric_value": 3.62,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</si>
  <si>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119, "entity_end": 119, "property_value_start": 146, "property_value_end": 147, "property_numeric_value": 7.95,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</si>
  <si>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10.1016/j.orgel.2012.04.033</t>
  </si>
  <si>
    <t xml:space="preserve">PIPY-DTBTA</t>
  </si>
  <si>
    <t xml:space="preserve">[*]c1ccc8c(c1)C(CCCCCCCC)(CCCCCCCC)c9nc7c6ccc(c5ccc(c3ccc(c2ccc([*])s2)c4nn(CC(CC)CCCC)nc34)s5)cc6C(CCCCCCCC)(CCCCCCCC)c7nc89</t>
  </si>
  <si>
    <t xml:space="preserve">['PIPY-DTBTA']</t>
  </si>
  <si>
    <t xml:space="preserve">{"power conversion efficiency": {"entity_name": "PCE", "entity_start": 126, "entity_end": 126, "property_value_start": 129, "property_value_end": 130, "property_numeric_value": 0.77,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100, "entity_end": 101, "property_value_start": 104, "property_value_end": 109, "property_numeric_value": 0.0521, "property_unit": "cm^{2} V^{-1} s^{-1}", "property_value_descriptor": ""}, "electron mobility": {}, "external quantum efficiency": {}}</t>
  </si>
  <si>
    <t xml:space="preserve">10.1016/j.solmat.2012.08.003</t>
  </si>
  <si>
    <t xml:space="preserve">9.51 mA/cm^{2}</t>
  </si>
  <si>
    <t xml:space="preserve">{"power conversion efficiency": {"entity_name": "PCE", "entity_start": 170, "entity_end": 170, "property_value_start": 178, "property_value_end": 179, "property_numeric_value": 3.3,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</si>
  <si>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10.1016/j.orgel.2011.07.023</t>
  </si>
  <si>
    <t xml:space="preserve">{"power conversion efficiency": {"entity_name": "power conversion efficiency", "entity_start": 118, "entity_end": 120, "property_value_start": 122, "property_value_end": 123, "property_numeric_value": 4.0, "property_unit": "%", "property_value_descriptor": ""}, "open circuit voltage": {"entity_name": "open-circuit voltage", "entity_start": 93, "entity_end": 96, "property_value_start": 98, "property_value_end": 99, "property_numeric_value": 0.59, "property_unit": "V", "property_value_descriptor": ""}, "short circuit current": {"entity_name": "short-circuit current density", "entity_start": 101, "entity_end": 105, "property_value_start": 107, "property_value_end": 110, "property_numeric_value": 10.8, "property_unit": "mA cm^{-2}", "property_value_descriptor": ""}, "fill factor": {"entity_name": "fill factor", "entity_start": 112, "entity_end": 113, "property_value_start": 115, "property_value_end": 115, "property_numeric_value": 63.2,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</si>
  <si>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10.1016/j.solmat.2012.12.032</t>
  </si>
  <si>
    <t xml:space="preserve">P5SeDTDPP</t>
  </si>
  <si>
    <t xml:space="preserve">[*]c9ccc(c8c7c(=O)n(CC(CC)CCCC)c(c6ccc(c5cc(CCCCCCCCCCCC)c(c4cc(CCCCCCCCCCCC)c(c3ccc(c2[se]c(c1[se]c([*])cc1CCCCCCCCCCCC)cc2CCCCCCCCCCCC)[se]3)[se]4)[se]5)s6)c7c(=O)n8CC(CC)CCCC)s9</t>
  </si>
  <si>
    <t xml:space="preserve">['P5SeDTDPP']</t>
  </si>
  <si>
    <t xml:space="preserve">{"power conversion efficiency": {"entity_name": "PCE", "entity_start": 273, "entity_end": 273, "property_value_start": 276, "property_value_end": 277, "property_numeric_value": 2.4, "property_unit": "%", "property_value_descriptor": ""}, "open circuit voltage": {"entity_name": "V_{OC}", "entity_start": 236, "entity_end": 237, "property_value_start": 240, "property_value_end": 241, "property_numeric_value": 0.44, "property_unit": "V", "property_value_descriptor": ""}, "short circuit current": {"entity_name": "J_{SC}", "entity_start": 248, "entity_end": 249, "property_value_start": 252, "property_value_end": 256, "property_numeric_value": 10.67, "property_unit": "mA/cm^{2}", "property_value_descriptor": ""}, "fill factor": {"entity_name": "FF", "entity_start": 262, "entity_end": 262, "property_value_start": 265, "property_value_end": 265, "property_numeric_value": 51.0, "property_unit": "%", "property_value_descriptor": ""}, "highest occupied molecular orbital": {}, "lowest unoccupied molecular orbital": {}, "bandgap": {}, "hole mobility": {"entity_name": "hole mobilities", "entity_start": 187, "entity_end": 188, "property_value_start": 193, "property_value_end": 200, "property_numeric_value": 0.012, "property_unit": "cm^{2} V^{-1} s^{-1}", "property_value_descriptor": ""}, "electron mobility": {}, "external quantum efficiency": {}}</t>
  </si>
  <si>
    <t xml:space="preserve">10.1016/j.dyepig.2016.01.034</t>
  </si>
  <si>
    <t xml:space="preserve">='3'</t>
  </si>
  <si>
    <t xml:space="preserve">CCCCCCc%15ccc(C%14(c1ccc(CCCCCC)cc1)c9cc8c5sc(c2ccc4c(=O)n(CC(CC)CCCC)c(=O)c3cccc2c34)cc5C(c6ccc(CCCCCC)cc6)(c7ccc(CCCCCC)cc7)c8cc9c%13sc(c%10ccc%12c(=O)n(CC(CC)CCCC)c(=O)c%11cccc%10c%11%12)cc%13%14)cc%15</t>
  </si>
  <si>
    <t xml:space="preserve">['3']</t>
  </si>
  <si>
    <t xml:space="preserve">{"power conversion efficiency": {"entity_name": "power conversion efficiencies", "entity_start": 140, "entity_end": 142, "property_value_start": 161, "property_value_end": 162, "property_numeric_value": 2.36, "property_unit": "%", "property_value_descriptor": ""}, "open circuit voltage": {}, "short circuit current": {}, "fill factor": {}, "highest occupied molecular orbital": {"entity_name": "highest occupied molecular orbital energy level", "entity_start": 111, "entity_end": 116, "property_value_start": 122, "property_value_end": 123, "property_numeric_value": -5.67, "property_unit": "eV", "property_value_descriptor": ""}, "lowest unoccupied molecular orbital": {"entity_name": "lowest unoccupied molecular orbital energy level", "entity_start": 126, "entity_end": 131, "property_value_start": 137, "property_value_end": 138, "property_numeric_value": -3.68, "property_unit": "eV", "property_value_descriptor": ""}, "bandgap": {"entity_name": "optical band gap", "entity_start": 100, "entity_end": 102, "property_value_start": 107, "property_value_end": 108, "property_numeric_value": 2.25, "property_unit": "eV", "property_value_descriptor": ""}, "hole mobility": {}, "electron mobility": {}, "external quantum efficiency": {}}</t>
  </si>
  <si>
    <t xml:space="preserve">='1'</t>
  </si>
  <si>
    <t xml:space="preserve">CCCCC(CC)Cn4c(=O)c6cccc5c(c1ccc3c(=O)n(CC(CC)CCCC)c(=O)c2cccc1c23)ccc(c4=O)c56</t>
  </si>
  <si>
    <t xml:space="preserve">['1']</t>
  </si>
  <si>
    <t xml:space="preserve">10.1016/j.orgel.2018.10.042</t>
  </si>
  <si>
    <t xml:space="preserve">BT-FIC</t>
  </si>
  <si>
    <t xml:space="preserve">CCCCCCc%15ccc(C8(c1ccc(CCCCCC)cc1)c4cc(C=c3c(=O)c2cc(F)c(F)cc2c3=C(C#N)C#N)sc4c7sc6c(OCC(CC)CCCC)c5c%12c(sc5c(OCC(CC)CCCC)c6c78)c%11sc(C=c%10c(=O)c9cc(F)c(F)cc9c%10=C(C#N)C#N)cc%11C%12(c%13ccc(CCCCCC)cc%13)c%14ccc(CCCCCC)cc%14)cc%15</t>
  </si>
  <si>
    <t xml:space="preserve">['BT-FIC']</t>
  </si>
  <si>
    <t xml:space="preserve">0.73 eV</t>
  </si>
  <si>
    <t xml:space="preserve">{"power conversion efficiency": {"entity_name": "PCE", "entity_start": 143, "entity_end": 143, "property_value_start": 145, "property_value_end": 146, "property_numeric_value": 10.1, "property_unit": "%", "property_value_descriptor": ""}, "open circuit voltage": {}, "short circuit current": {"entity_name": "J_{SC}", "entity_start": 156, "entity_end": 157, "property_value_start": 159, "property_value_end": 162, "property_numeric_value": 21.28, "property_unit": "mA cm^{-2}", "property_value_descriptor": ""}, "fill factor": {"entity_name": "FF", "entity_start": 165, "entity_end": 165, "property_value_start": 167, "property_value_end": 168, "property_numeric_value": 65.0, "property_unit": "%", "property_value_descriptor": ""}, "highest occupied molecular orbital": {}, "lowest unoccupied molecular orbital": {}, "bandgap": {"entity_name": "bandgap", "entity_start": 55, "entity_end": 55, "property_value_start": 59, "property_value_end": 60, "property_numeric_value": 1.39, "property_unit": "eV", "property_value_descriptor": ""}, "hole mobility": {}, "electron mobility": {}, "external quantum efficiency": {}}</t>
  </si>
  <si>
    <t xml:space="preserve">10.1016/j.physb.2013.09.019</t>
  </si>
  <si>
    <t xml:space="preserve">{"power conversion efficiency": {"entity_name": "power conversion efficiency", "entity_start": 138, "entity_end": 140, "property_value_start": 144, "property_value_end": 145, "property_numeric_value": 3.77, "property_unit": "%", "property_value_descriptor": ""}, "open circuit voltage": {"entity_name": "open circuit voltage", "entity_start": 162, "entity_end": 164, "property_value_start": 166, "property_value_end": 167, "property_numeric_value": 0.627, "property_unit": "V", "property_value_descriptor": ""}, "short circuit current": {"entity_name": "short-circuit current density", "entity_start": 149, "entity_end": 153, "property_value_start": 155, "property_value_end": 159, "property_numeric_value": 10.34, "property_unit": "mA/cm^{2}", "property_value_descriptor": ""}, "fill factor": {"entity_name": "fill factor", "entity_start": 171, "entity_end": 172, "property_value_start": 174, "property_value_end": 175, "property_numeric_value": 58.61,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</si>
  <si>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10.1016/j.synthmet.2014.09.035</t>
  </si>
  <si>
    <t xml:space="preserve">{"power conversion efficiency": {"entity_name": "power conversion efficiency", "entity_start": 34, "entity_end": 36, "property_value_start": 44, "property_value_end": 45, "property_numeric_value": 3.84,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</si>
  <si>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10.1016/j.orgel.2010.03.024</t>
  </si>
  <si>
    <t xml:space="preserve">PCzV-co-MEH-PPV</t>
  </si>
  <si>
    <t xml:space="preserve">{[*]/C=C/c4ccc3c1ccc([*])cc1n(c2ccc(OCCCCCCCCCC)c(OCCCCCCCCCC)c2)c3c4,[*]/C=C/c1cc(OC)c([*])cc1OCC(CC)CCCC}</t>
  </si>
  <si>
    <t xml:space="preserve">['poly[N-(3,4-bis(decyloxy)phenyl)carbazolyl-2,7-vinylene)-co-{2-methoxy-5-(2-ethylhexyloxy)-1,4-phenylenevinylene}', 'PCzV-co-MEH-PPV']</t>
  </si>
  <si>
    <t xml:space="preserve">{"power conversion efficiency": {"entity_name": "PCE", "entity_start": 212, "entity_end": 212, "property_value_start": 215, "property_value_end": 216, "property_numeric_value": 2.31, "property_unit": "%", "property_value_descriptor": ""}, "open circuit voltage": {}, "short circuit current": {"entity_name": "J_{sc}", "entity_start": 218, "entity_end": 219, "property_value_start": 221, "property_value_end": 225, "property_numeric_value": 6.43,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</si>
  <si>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10.1016/j.tsf.2014.11.011</t>
  </si>
  <si>
    <t xml:space="preserve">poly(4,8-bis-alkyloxy-benzo[1,2-b:4,5-b′]dithiophene-alt-alkylcarbonyl-thieno[3,4-b]thiophene)</t>
  </si>
  <si>
    <t xml:space="preserve">['poly(4,8-bis-alkyloxy-benzo[1,2-b:4,5-b′]dithiophene-alt-alkylcarbonyl-thieno[3,4-b]thiophene)']</t>
  </si>
  <si>
    <t xml:space="preserve">[6,6]-phenyl- C71-butyric acid methyl ester</t>
  </si>
  <si>
    <t xml:space="preserve">{"power conversion efficiency": {"entity_name": "power conversion efficiency", "entity_start": 147, "entity_end": 149, "property_value_start": 154, "property_value_end": 155, "property_numeric_value": 6.7,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</si>
  <si>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10.1016/j.mssp.2018.10.033</t>
  </si>
  <si>
    <t xml:space="preserve">['PCBM', '[6,6]-phenyl-C61-butyric-acidmethyl-ester']</t>
  </si>
  <si>
    <t xml:space="preserve">{"power conversion efficiency": {"entity_name": "power conversion efficiency", "entity_start": 146, "entity_end": 148, "property_value_start": 152, "property_value_end": 153,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</si>
  <si>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10.1016/j.orgel.2017.06.049</t>
  </si>
  <si>
    <t xml:space="preserve">PFEMD</t>
  </si>
  <si>
    <t xml:space="preserve">[*]c%10ccc9c8ccc(c1sc3c(c1C(CC)CCCC)c2cccc5c2c3c7cccc6c4c(CC(CC)CCCC)c([*])sc4c5c67)cc8C(CC(CC)CCCC)(C(CC)CCCC)c9c%10</t>
  </si>
  <si>
    <t xml:space="preserve">['PFEMD']</t>
  </si>
  <si>
    <t xml:space="preserve">{"power conversion efficiency": {"entity_name": "PCE", "entity_start": 251, "entity_end": 251, "property_value_start": 259, "property_value_end": 260, "property_numeric_value": 0.01,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</si>
  <si>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10.1016/j.dyepig.2017.06.049</t>
  </si>
  <si>
    <t xml:space="preserve">PDI-V</t>
  </si>
  <si>
    <t xml:space="preserve">CCCCCCCCC(CCCCCC)Cn8c(=O)c9ccc%10c%12ccc%13c(=O)n(CC(CCCCCC)CCCCCCCC)c(=O)c%14cc(/C=C/c1cc4c(=O)n(CC(CCCCCC)CCCCCCCC)c(=O)c3ccc2c5ccc6c(=O)n(CC(CCCCCC)CCCCCCCC)c(=O)c7ccc(c1c2c34)c5c67)c(c%11ccc(c8=O)c9c%10%11)c%12c%13%14</t>
  </si>
  <si>
    <t xml:space="preserve">['PDI-V']</t>
  </si>
  <si>
    <t xml:space="preserve">10.03 mA cm^{-2}</t>
  </si>
  <si>
    <t xml:space="preserve">{"power conversion efficiency": {"entity_name": "PCE", "entity_start": 166, "entity_end": 166, "property_value_start": 168, "property_value_end": 169, "property_numeric_value": 4.51, "property_unit": "%", "property_value_descriptor": ""}, "open circuit voltage": {"entity_name": "V_{oc}", "entity_start": 230, "entity_end": 231, "property_value_start": 233, "property_value_end": 234, "property_numeric_value": 0.66, "property_unit": "V", "property_value_descriptor": ""}, "short circuit current": {"entity_name": "J_{sc}", "entity_start": 237, "entity_end": 238, "property_value_start": 240, "property_value_end": 243, "property_numeric_value": 7.33, "property_unit": "mA cm^{-2}", "property_value_descriptor": ""}, "fill factor": {"entity_name": "FF", "entity_start": 189, "entity_end": 189, "property_value_start": 191, "property_value_end": 191, "property_numeric_value": 59.0,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</si>
  <si>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PDI-E</t>
  </si>
  <si>
    <t xml:space="preserve">CCCCCCCCC(CCCCCC)Cn8c(=O)c9ccc%10c%12ccc%13c(=O)n(CC(CCCCCC)CCCCCCCC)c(=O)c%14cc(C#Cc1cc4c(=O)n(CC(CCCCCC)CCCCCCCC)c(=O)c3ccc2c5ccc6c(=O)n(CC(CCCCCC)CCCCCCCC)c(=O)c7ccc(c1c2c34)c5c67)c(c%11ccc(c8=O)c9c%10%11)c%12c%13%14</t>
  </si>
  <si>
    <t xml:space="preserve">['PDI-E']</t>
  </si>
  <si>
    <t xml:space="preserve">0.66 V</t>
  </si>
  <si>
    <t xml:space="preserve">7.33 mA cm^{-2}</t>
  </si>
  <si>
    <t xml:space="preserve">{"power conversion efficiency": {"entity_name": "PCE", "entity_start": 224, "entity_end": 224, "property_value_start": 226, "property_value_end": 227, "property_numeric_value": 2.66, "property_unit": "%", "property_value_descriptor": ""}, "open circuit voltage": {}, "short circuit current": {}, "fill factor": {"entity_name": "FF", "entity_start": 247, "entity_end": 247, "property_value_start": 249, "property_value_end": 249, "property_numeric_value": 55.00000000000001,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</si>
  <si>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10.1016/j.solmat.2011.05.013</t>
  </si>
  <si>
    <t xml:space="preserve">{"power conversion efficiency": {"entity_name": "PCE", "entity_start": 66, "entity_end": 66, "property_value_start": 74, "property_value_end": 75, "property_numeric_value": 2.93,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</si>
  <si>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10.1016/j.synthmet.2014.12.029</t>
  </si>
  <si>
    <t xml:space="preserve">{"power conversion efficiency": {"entity_name": "PCE", "entity_start": 267, "entity_end": 267, "property_value_start": 270, "property_value_end": 271, "property_numeric_value": 2.15, "property_unit": "%", "property_value_descriptor": ""}, "open circuit voltage": {"entity_name": "V_{OC}", "entity_start": 245, "entity_end": 246, "property_value_start": 249, "property_value_end": 250, "property_numeric_value": 0.56, "property_unit": "V", "property_value_descriptor": ""}, "short circuit current": {"entity_name": "J_{SC}", "entity_start": 230, "entity_end": 231, "property_value_start": 234, "property_value_end": 237, "property_numeric_value": 7.2, "property_unit": "mA cm^{-2}", "property_value_descriptor": ""}, "fill factor": {"entity_name": "FF", "entity_start": 256, "entity_end": 256, "property_value_start": 259, "property_value_end": 259, "property_numeric_value": 53.0,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</si>
  <si>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10.1016/j.dyepig.2018.09.032</t>
  </si>
  <si>
    <t xml:space="preserve">PBDTT-DFDTBT</t>
  </si>
  <si>
    <t xml:space="preserve">[*]c9cc8c(c1cc(CCCCCCCC)c(CCCCCCCC)s1)c6sc(c5sc(c3c(F)c(F)c(c2cc(CCCCCC)c([*])s2)c4nsnc34)cc5CCCCCC)cc6c(c7cc(CCCCCCCC)c(CCCCCCCC)s7)c8s9</t>
  </si>
  <si>
    <t xml:space="preserve">['PBDTT-DFDTBT']</t>
  </si>
  <si>
    <t xml:space="preserve">['phenyl-C71-butyric acid methyl ester','PC_{71}BM']</t>
  </si>
  <si>
    <t xml:space="preserve">{"power conversion efficiency": {"entity_name": "PCE", "entity_start": 162, "entity_end": 162, "property_value_start": 164, "property_value_end": 165, "property_numeric_value": 6.6,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</si>
  <si>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10.1016/j.solmat.2012.01.006</t>
  </si>
  <si>
    <t xml:space="preserve">{"power conversion efficiency": {"entity_name": "PCE", "entity_start": 319, "entity_end": 319, "property_value_start": 321, "property_value_end": 322, "property_numeric_value": 2.58,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</si>
  <si>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10.1016/j.nanoen.2017.04.061</t>
  </si>
  <si>
    <t xml:space="preserve">PTP8</t>
  </si>
  <si>
    <t xml:space="preserve">[*]c8cc7c(c1ccc(CC(CC)CCCC)s1)c5sc(c3sc([*])c4c(=O)n(c2ccc(CCCCCCCC)cc2)c(=O)c34)cc5c(c6ccc(CC(CC)CCCC)s6)c7s8</t>
  </si>
  <si>
    <t xml:space="preserve">['PTP8']</t>
  </si>
  <si>
    <t xml:space="preserve">P(NDI2HD-T)</t>
  </si>
  <si>
    <t xml:space="preserve">['P(NDI2HD-T)']</t>
  </si>
  <si>
    <t xml:space="preserve">{"power conversion efficiency": {"entity_name": "PCE", "entity_start": 110, "entity_end": 110, "property_value_start": 116, "property_value_end": 117, "property_numeric_value": 7.0,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</si>
  <si>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10.1039/c3tc32071e</t>
  </si>
  <si>
    <t xml:space="preserve">{"power conversion efficiency": {"entity_name": "power conversion efficiency", "entity_start": 205, "entity_end": 207, "property_value_start": 223, "property_value_end": 224, "property_numeric_value": 4.07,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</si>
  <si>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10.1039/c3ta13680a</t>
  </si>
  <si>
    <t xml:space="preserve">{"power conversion efficiency": {"entity_name": "PCE", "entity_start": 165, "entity_end": 165, "property_value_start": 167, "property_value_end": 168, "property_numeric_value": 7.45,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</si>
  <si>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10.1039/c6ta03594a</t>
  </si>
  <si>
    <t xml:space="preserve">{"power conversion efficiency": {"entity_name": "PCE", "entity_start": 253, "entity_end": 253, "property_value_start": 255, "property_value_end": 256,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</si>
  <si>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[*]c7ccc(c6ccc5c4ccc(c3ccc(c1ccc([*])c2nsnc12)s3)cc4n(C(CCCCCCCC)CCCCCCCC)c5c6)s7</t>
  </si>
  <si>
    <t xml:space="preserve">10.1039/c7ta05865a</t>
  </si>
  <si>
    <t xml:space="preserve">{"power conversion efficiency": {"entity_name": "PCE", "entity_start": 109, "entity_end": 109, "property_value_start": 111, "property_value_end": 112,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</si>
  <si>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10.1039/c8ta08769e</t>
  </si>
  <si>
    <t xml:space="preserve">PTT4FB</t>
  </si>
  <si>
    <t xml:space="preserve">[*]c9ccc(c8c(F)c(F)c(c7ccc(c5sc(c3c(F)c(F)c(c2cc(c1ccc(CC(CCCCCCCCCC)CCCCCCCCCCCC)s1)c([*])s2)c4nn(CCCCCCCC)nc34)cc5c6ccc(CC(CCCCCCCCCC)CCCCCCCCCCCC)s6)s7)c(F)c8F)s9</t>
  </si>
  <si>
    <t xml:space="preserve">['PTT4FB']</t>
  </si>
  <si>
    <t xml:space="preserve">{"power conversion efficiency": {"entity_name": "PCE", "entity_start": 194, "entity_end": 194, "property_value_start": 196, "property_value_end": 197, "property_numeric_value": 10.6, "property_unit": "%", "property_value_descriptor": ""}, "open circuit voltage": {}, "short circuit current": {"entity_name": "J_{SC}", "entity_start": 102, "entity_end": 103, "property_value_start": 106, "property_value_end": 109, "property_numeric_value": 14.06,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</si>
  <si>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PT4FB</t>
  </si>
  <si>
    <t xml:space="preserve">[*]c7ccc(c6c(F)c(F)c(c5ccc(c4sc(c2c(F)c(F)c(c1cc(CC(CCCCCCCCCC)CCCCCCCCCCCC)c([*])s1)c3nn(CCCCCCCC)nc23)cc4CC(C)(CCCCCCCCCC)CCCCCCCCCCCC)s5)c(F)c6F)s7</t>
  </si>
  <si>
    <t xml:space="preserve">['PT4FB']</t>
  </si>
  <si>
    <t xml:space="preserve">10.1039/c2jm31712e</t>
  </si>
  <si>
    <t xml:space="preserve">F2</t>
  </si>
  <si>
    <t xml:space="preserve">COc%38cc%37CC1%36c2c3c4c1c5c6c%35c7c8c(c9c2c%10c%11c3c%12c%13c4c%14c5c%15c6c%16c7c%17c%18c8c%19c9c%10c%20c%28c%11c%12c%27c%26c%13c%14c%25c%15c%24c%16c%23c%17c%22c%18c%21c%19c%20c%29c%21c%31c%22c%32c%23c%24c%33c%25c%26c%34c%30c%27c%28c%29c%30c%31c%32c%33%34)C%35%36C(OC(C)=O)c%37cc%38OC</t>
  </si>
  <si>
    <t xml:space="preserve">['F2']</t>
  </si>
  <si>
    <t xml:space="preserve">{"power conversion efficiency": {"entity_name": "power conversion efficiency", "entity_start": 56, "entity_end": 58, "property_value_start": 80, "property_value_end": 81, "property_numeric_value": 3.35, "property_unit": "%", "property_value_descriptor": ""}, "open circuit voltage": {}, "short circuit current": {}, "fill factor": {}, "highest occupied molecular orbital": {}, "lowest unoccupied molecular orbital": {"entity_name": "LUMO energy levels", "entity_start": 40, "entity_end": 42, "property_value_start": 47, "property_value_end": 48, "property_numeric_value": 0.06, "property_unit": "eV", "property_value_descriptor": ""}, "bandgap": {}, "hole mobility": {}, "electron mobility": {}, "external quantum efficiency": {}}</t>
  </si>
  <si>
    <t xml:space="preserve">F1</t>
  </si>
  <si>
    <t xml:space="preserve">COc%33cc%32CC1%31c2c3c%30c4c5c6c(c7c8c1c9c%10c2c%11c%12c3c%13c4c%14c5c%15c%16c6c7c%17c%18c8c9c%19c%20c%10c%11c%21c%22c%12c%13c%23c%14c%24c%15c%25c%16c%17c%26c%18c%19c%27c%20c%21c%28c%22c%23c%24c%29c%25c%26c%27c%28%29)C%30%31C(OC(C)=O)c%32cc%33OC</t>
  </si>
  <si>
    <t xml:space="preserve">['F1']</t>
  </si>
  <si>
    <t xml:space="preserve">10.1039/c8tc01508b</t>
  </si>
  <si>
    <t xml:space="preserve">IDT-3MT</t>
  </si>
  <si>
    <t xml:space="preserve">CCCCCCc%15ccc(C7(c1ccc(CCCCCC)cc1)c2cc%13c(cc2c6sc(c5sc(C=c4c(=O)c3ccccc3c4=C(C#N)C#N)cc5C(=O)OC)cc67)C(c8ccc(CCCCCC)cc8)(c9ccc(CCCCCC)cc9)c%14cc(c%12sc(C=c%11c(=O)c%10ccccc%10c%11=C(C#N)C#N)cc%12C(=O)OC)sc%13%14)cc%15</t>
  </si>
  <si>
    <t xml:space="preserve">['IDT-3MT']</t>
  </si>
  <si>
    <t xml:space="preserve">{"power conversion efficiency": {"entity_name": "power conversion efficiency", "entity_start": 192, "entity_end": 194, "property_value_start": 196, "property_value_end": 197, "property_numeric_value": 8.4,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</si>
  <si>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10.1039/c8tc03612h</t>
  </si>
  <si>
    <t xml:space="preserve">{[*]c9cnc(c7sc(c6ncc(c5cc4c(c1ccc(CC(CC)CCCC)s1)c2sc([*])cc2c(c3ccc(CC(CC)CCCC)s3)c4s5)s6)c8sc(C(=O)OCC(CCCCCCCC)CCCCCCCCCC)cc78)s9,[*]c7cc6c(c1ccc(CC(CC)CCCC)s1)c4sc(c2sc([*])c3cc(C(=O)OCC(CC)CCCC)sc23)cc4c(c5ccc(CC(CC)CCCC)s5)c6s7}</t>
  </si>
  <si>
    <t xml:space="preserve">{"power conversion efficiency": {"entity_name": "PCEs", "entity_start": 55, "entity_end": 55, "property_value_start": 63, "property_value_end": 64, "property_numeric_value": 8.3,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</si>
  <si>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10.1039/c2nj40309a</t>
  </si>
  <si>
    <t xml:space="preserve">PCzDTBF</t>
  </si>
  <si>
    <t xml:space="preserve">[*]c7ccc6c5ccc(c4ccc(c2c(OCCCCCCCC)c(OCCCCCCCC)c(c1ccc([*])s1)c3nonc23)s4)cc5n(CCCCCCCC)c6c7</t>
  </si>
  <si>
    <t xml:space="preserve">['poly(carbazole-alt-thiophene-benzofurazan)', 'PCzDTBF']</t>
  </si>
  <si>
    <t xml:space="preserve">{"power conversion efficiency": {"entity_name": "PCE", "entity_start": 176, "entity_end": 176, "property_value_start": 180, "property_value_end": 181, "property_numeric_value": 5.48, "property_unit": "%", "property_value_descriptor": ""}, "open circuit voltage": {"entity_name": "V_{oc}", "entity_start": 190, "entity_end": 191, "property_value_start": 194, "property_value_end": 195, "property_numeric_value": 0.9, "property_unit": "V", "property_value_descriptor": ""}, "short circuit current": {"entity_name": "J_{sc}", "entity_start": 204, "entity_end": 205, "property_value_start": 208, "property_value_end": 211, "property_numeric_value": 7.73, "property_unit": "mA cm^{-2}", "property_value_descriptor": ""}, "fill factor": {"entity_name": "FF", "entity_start": 218, "entity_end": 218, "property_value_start": 221, "property_value_end": 222, "property_numeric_value": 67.0,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</si>
  <si>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10.1039/c7ta10976h</t>
  </si>
  <si>
    <t xml:space="preserve">PBDFT-Bz</t>
  </si>
  <si>
    <t xml:space="preserve">[*]c9cc8c(c1ccc(C(CC)CCCC)s1)c6oc(c5ccc(c3c(F)c(F)c(c2ccc([*])s2)c4nn(CC(CCCCCC)CCCCCC)nc34)s5)cc6c(c7ccc(C(CC)CCCC)s7)c8o9</t>
  </si>
  <si>
    <t xml:space="preserve">['PBDFT-Bz']</t>
  </si>
  <si>
    <t xml:space="preserve">{"power conversion efficiency": {"entity_name": "PCE", "entity_start": 220, "entity_end": 220, "property_value_start": 222, "property_value_end": 223, "property_numeric_value": 9.84, "property_unit": "%", "property_value_descriptor": ""}, "open circuit voltage": {"entity_name": "V_{oc}", "entity_start": 235, "entity_end": 236, "property_value_start": 238, "property_value_end": 239, "property_numeric_value": 0.85, "property_unit": "V", "property_value_descriptor": ""}, "short circuit current": {"entity_name": "J_{sc}", "entity_start": 226, "entity_end": 227, "property_value_start": 229, "property_value_end": 232, "property_numeric_value": 16.63, "property_unit": "mA cm^{-2}", "property_value_descriptor": ""}, "fill factor": {}, "highest occupied molecular orbital": {}, "lowest unoccupied molecular orbital": {}, "bandgap": {"entity_name": "optical bandgaps", "entity_start": 64, "entity_end": 65, "property_value_start": 78, "property_value_end": 79, "property_numeric_value": 1.9, "property_unit": "eV", "property_value_descriptor": ""}, "hole mobility": {}, "electron mobility": {}, "external quantum efficiency": {}}</t>
  </si>
  <si>
    <t xml:space="preserve">PBDFF-Bz</t>
  </si>
  <si>
    <t xml:space="preserve">[*]c9cc8c(c1ccc(C(CC)CCCC)o1)c6oc(c5ccc(c3c(F)c(F)c(c2ccc([*])s2)c4nn(CC(CCCCCC)CCCCCC)nc34)s5)cc6c(c7ccc(C(CC)CCCC)o7)c8o9</t>
  </si>
  <si>
    <t xml:space="preserve">['PBDFF-Bz']</t>
  </si>
  <si>
    <t xml:space="preserve">{"power conversion efficiency": {"entity_name": "PCE", "entity_start": 173, "entity_end": 173, "property_value_start": 178, "property_value_end": 179, "property_numeric_value": 10.28, "property_unit": "%", "property_value_descriptor": ""}, "open circuit voltage": {}, "short circuit current": {"entity_name": "J_{sc}", "entity_start": 183, "entity_end": 184, "property_value_start": 186, "property_value_end": 189, "property_numeric_value": 16.57, "property_unit": "mA cm^{-2}", "property_value_descriptor": ""}, "fill factor": {"entity_name": "FF", "entity_start": 242, "entity_end": 242, "property_value_start": 244, "property_value_end": 245, "property_numeric_value": 70.0, "property_unit": "%", "property_value_descriptor": ""}, "highest occupied molecular orbital": {}, "lowest unoccupied molecular orbital": {}, "bandgap": {"entity_name": "optical bandgaps", "entity_start": 64, "entity_end": 65, "property_value_start": 81, "property_value_end": 82, "property_numeric_value": 1.85, "property_unit": "eV", "property_value_descriptor": ""}, "hole mobility": {}, "electron mobility": {}, "external quantum efficiency": {}}</t>
  </si>
  <si>
    <t xml:space="preserve">15.02 mA cm^{-2}</t>
  </si>
  <si>
    <t xml:space="preserve">10.1039/c2jm34856j</t>
  </si>
  <si>
    <t xml:space="preserve">{"power conversion efficiency": {"entity_name": "power conversion efficiency", "entity_start": 107, "entity_end": 109, "property_value_start": 112, "property_value_end": 113, "property_numeric_value": 4.32,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</si>
  <si>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10.1039/c1ee01333e</t>
  </si>
  <si>
    <t xml:space="preserve">['phenyl-C61-butyric acid methyl ester', 'PCBM']</t>
  </si>
  <si>
    <t xml:space="preserve">{"power conversion efficiency": {"entity_name": "power conversion efficiency", "entity_start": 99, "entity_end": 101, "property_value_start": 103, "property_value_end": 104, "property_numeric_value": 3.1,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</si>
  <si>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10.1039/c4cp01411a</t>
  </si>
  <si>
    <t xml:space="preserve">{"power conversion efficiency": {"entity_name": "PCE", "entity_start": 162, "entity_end": 162, "property_value_start": 171, "property_value_end": 172, "property_numeric_value": 3.79,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</si>
  <si>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10.1039/c7ta11382j</t>
  </si>
  <si>
    <t xml:space="preserve">{"power conversion efficiency": {"entity_name": "PCEs", "entity_start": 103, "entity_end": 103, "property_value_start": 113, "property_value_end": 114, "property_numeric_value": 7.33,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</si>
  <si>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10.1039/c6ra22479b</t>
  </si>
  <si>
    <t xml:space="preserve">='PBDI3T'</t>
  </si>
  <si>
    <t xml:space="preserve">[*]c6cc5c(=O)n(CC(CCCCCC)CCCCCCCC)c(=O)c4cc(c3sc(c2ccc(c1cc(CCCCCCCCCC)c([*])s1)s2)cc3CCCCCCCCCC)sc4c5s6</t>
  </si>
  <si>
    <t xml:space="preserve">['PBDI3T']</t>
  </si>
  <si>
    <t xml:space="preserve">{"power conversion efficiency": {}, "open circuit voltage": {}, "short circuit current": {"entity_name": "short current density", "entity_start": 115, "entity_end": 117, "property_value_start": 124, "property_value_end": 127, "property_numeric_value": 11.44, "property_unit": "mA cm^{-2}", "property_value_descriptor": ""}, "fill factor": {}, "highest occupied molecular orbital": {}, "lowest unoccupied molecular orbital": {"entity_name": "LUMO energy level", "entity_start": 61, "entity_end": 63, "property_value_start": 65, "property_value_end": 66, "property_numeric_value": -4.09, "property_unit": "eV", "property_value_descriptor": ""}, "bandgap": {}, "hole mobility": {}, "electron mobility": {}, "external quantum efficiency": {}}</t>
  </si>
  <si>
    <t xml:space="preserve">10.1039/c8tc06407e</t>
  </si>
  <si>
    <t xml:space="preserve">{[*]c9ccc(c7c(F)c(F)c(c6ccc(c5cc4c(c1ccc(CC(CC)CCCC)s1)c2sc([*])cc2c(c3ccc(CC(CC)CCCC)s3)c4s5)s6)c8nn(CC(CCCCCC)CCCCCCCC)nc78)s9,[*]c%11cc%10sc(c9c8c(=O)n(CC(CCCCCC)CCCCCCCC)c(c7cc6sc(c5cc4c(c1ccc(CC(CC)CCCC)s1)c2sc([*])cc2c(c3ccc(CC(CC)CCCC)s3)c4s5)cc6s7)c8c(=O)n9CC(CCCCCC)CCCCCCCC)cc%10s%11}</t>
  </si>
  <si>
    <t xml:space="preserve">15.2 mA cm^{-2}</t>
  </si>
  <si>
    <t xml:space="preserve">{"power conversion efficiency": {"entity_name": "power conversion efficiency", "entity_start": 120, "entity_end": 122, "property_value_start": 124, "property_value_end": 125, "property_numeric_value": 5.7,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</si>
  <si>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IEICO-4F</t>
  </si>
  <si>
    <t xml:space="preserve">CCCCCCc%15ccc(C7(c1ccc(CCCCCC)cc1)c2cc%13c(cc2c6sc(c5sc(C=c4c(=O)c3cc(F)c(F)cc3c4=C(C#N)C#N)cc5OC(CC)CCCC)cc67)C(c8ccc(CCCCCC)cc8)(c9ccc(CCCCCC)cc9)c%14cc(c%12sc(C=c%11c(=O)c%10cc(F)c(F)cc%10c%11=C(C#N)C#N)cc%12OC(CC)CCCC)sc%13%14)cc%15</t>
  </si>
  <si>
    <t xml:space="preserve">{"power conversion efficiency": {}, "open circuit voltage": {}, "short circuit current": {"entity_name": "short-circuit current density", "entity_start": 177, "entity_end": 181, "property_value_start": 183, "property_value_end": 186, "property_numeric_value": 17.5,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</si>
  <si>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10.1039/c6ta04030f</t>
  </si>
  <si>
    <t xml:space="preserve">{"power conversion efficiency": {"entity_name": "PCE", "entity_start": 197, "entity_end": 197, "property_value_start": 199, "property_value_end": 200, "property_numeric_value": 8.3, "property_unit": "%", "property_value_descriptor": ""}, "open circuit voltage": {"entity_name": "V_{oc}", "entity_start": 203, "entity_end": 204, "property_value_start": 206, "property_value_end": 207, "property_numeric_value": 0.78, "property_unit": "V", "property_value_descriptor": ""}, "short circuit current": {}, "fill factor": {}, "highest occupied molecular orbital": {"entity_name": "HOMO energy", "entity_start": 138, "entity_end": 139, "property_value_start": 142, "property_value_end": 143, "property_numeric_value": -5.3, "property_unit": "eV", "property_value_descriptor": ""}, "lowest unoccupied molecular orbital": {}, "bandgap": {}, "hole mobility": {}, "electron mobility": {}, "external quantum efficiency": {}}</t>
  </si>
  <si>
    <t xml:space="preserve">PBTF-OP</t>
  </si>
  <si>
    <t xml:space="preserve">[*]c7cc6c(c1cccc(OC(CC)CCCC)c1)c4sc(c2sc([*])c3cc(C(=O)OC(CC)CCCC)sc23)cc4c(c5cccc(OC(CC)CCCC)c5)c6s7</t>
  </si>
  <si>
    <t xml:space="preserve">['PBTF-OP']</t>
  </si>
  <si>
    <t xml:space="preserve">10.1039/c4ta00020j</t>
  </si>
  <si>
    <t xml:space="preserve">{[*]c7ccc(C6C5=[C+](=O)N(C(CC)CCCC)C(c4ccc(c3cc2c(OCC(CC)CCCC)c1sc([*])cc1c(OCC(CC)CCCC)c2s3)s4)C5=[C+](=O)N6C(CC)CCCC)s7,[*]c8cc7c(OCC(CC)CCCC)c6sc(c5cc(/C=C/c4sc(c2ccc(c1cc(CCCCCC)cs1)c3nsnc23)cc4CCCCCC)c([*])s5)cc6c(OCC(CC)CCCC)c7s8}</t>
  </si>
  <si>
    <t xml:space="preserve">{"power conversion efficiency": {"entity_name": "power conversion efficiency", "entity_start": 114, "entity_end": 116, "property_value_start": 118, "property_value_end": 119, "property_numeric_value": 5.29,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</si>
  <si>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10.1039/c4tc01747a</t>
  </si>
  <si>
    <t xml:space="preserve">thieno[3,4-b]thiophene</t>
  </si>
  <si>
    <t xml:space="preserve">['thieno[3,4-b]thiophene','PTB7']</t>
  </si>
  <si>
    <t xml:space="preserve">{"power conversion efficiency": {"entity_name": "PCE", "entity_start": 260, "entity_end": 260, "property_value_start": 262, "property_value_end": 263, "property_numeric_value": 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</si>
  <si>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10.1039/c2ta00693f</t>
  </si>
  <si>
    <t xml:space="preserve">['phenyl C61-butyric acid methyl ester','PCBM']</t>
  </si>
  <si>
    <t xml:space="preserve">{"power conversion efficiency": {"entity_name": "PCE", "entity_start": 211, "entity_end": 211, "property_value_start": 213, "property_value_end": 214, "property_numeric_value": 1.3,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</si>
  <si>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10.1039/c5ta08614k</t>
  </si>
  <si>
    <t xml:space="preserve">PBDT-TSR</t>
  </si>
  <si>
    <t xml:space="preserve">[*]c%14cc%13c(c1ccc(SCCCCCCCC)s1)c%11sc(c9sc(c8cc7c(c2ccc(SCCCCCCCC)s2)c5sc(c3sc([*])c4c(F)c(C(=O)OCC(CC)CCCC)sc34)cc5c(c6ccc(SCCCCCCCC)s6)c7s8)c%10sc(C(=O)OCC(CC)CCCC)c(F)c9%10)cc%11c(c%12ccc(SCCCCCCCC)s%12)c%13s%14</t>
  </si>
  <si>
    <t xml:space="preserve">['PBDT-TSR']</t>
  </si>
  <si>
    <t xml:space="preserve">{"power conversion efficiency": {"entity_name": "PCE", "entity_start": 160, "entity_end": 160, "property_value_start": 162, "property_value_end": 163, "property_numeric_value": 9.74, "property_unit": "%", "property_value_descriptor": ""}, "open circuit voltage": {}, "short circuit current": {"entity_name": "J_{SC}", "entity_start": 144, "entity_end": 146, "property_value_start": 148, "property_value_end": 151, "property_numeric_value": 17.99,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</si>
  <si>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10.1039/c7ta09930d</t>
  </si>
  <si>
    <t xml:space="preserve">PFPDI-DTBT</t>
  </si>
  <si>
    <t xml:space="preserve">[*]c%20ccc(c%18ccc(c%17ccc(c2cc3c(=O)n(CC(CCCCCCCC)CCCCCCCCCC)c(=O)c4cc5c1c%10cc%13c(=O)n(CC(CCCCCCCC)CCCCCCCCCC)c(=O)c%12ccc%11c%14c([*])cc%15c(=O)n(CC(CCCCCCCC)CCCCCCCCCC)c(=O)c%16cc(c1c6cc9c(=O)n(CC(CCCCCCCC)CCCCCCCCCC)c(=O)c8ccc7c2c(c34)c5c6c7c89)c(c%10c%11c%12%13)c%14c%15%16)s%17)c%19nsnc%18%19)s%20</t>
  </si>
  <si>
    <t xml:space="preserve">['PFPDI-DTBT']</t>
  </si>
  <si>
    <t xml:space="preserve">{"power conversion efficiency": {"entity_name": "PCE", "entity_start": 124, "entity_end": 124, "property_value_start": 126, "property_value_end": 127, "property_numeric_value": 6.23,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</si>
  <si>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PPDI-DTBT</t>
  </si>
  <si>
    <t xml:space="preserve">[*]c%11ccc(c9ccc(c8ccc(c1cc4c(=O)n(CC(CCCCCCCC)CCCCCCCCCC)c(=O)c3ccc2c5c([*])cc7c(=O)n(CC(CCCCCCCC)CCCCCCCCCC)c(=O)c6ccc(c1c2c34)c5c67)s8)c%10nsnc9%10)s%11</t>
  </si>
  <si>
    <t xml:space="preserve">['PPDI-DTBT']</t>
  </si>
  <si>
    <t xml:space="preserve">10.1039/c6ta08385d</t>
  </si>
  <si>
    <t xml:space="preserve">{"power conversion efficiency": {"entity_name": "PCE", "entity_start": 163, "entity_end": 163, "property_value_start": 166, "property_value_end": 167, "property_numeric_value": 7.46,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</si>
  <si>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10.1039/c8tc06245e</t>
  </si>
  <si>
    <t xml:space="preserve">IDIDTT-2F</t>
  </si>
  <si>
    <t xml:space="preserve">CCCCCCCCC%11(CCCCCCCC)c7cc6c3sc(C=c2c(=O)c1cc(F)c(F)cc1c2=C(C#N)C#N)cc3C(c4ccc(CCCCCC)cc4)(c5ccc(CCCCCC)cc5)c6cc7c%10sc9c8cc%15c(cc8C(CCCCCCCC)(CCCCCCCC)c9c%10%11)c%14sc(CC/%13C(=O)c%12cc(F)c(F)cc%12C%13=C(C#N)/C#N)cc%14C%15(c%16ccc(CCCCCC)cc%16)c%17ccc(CCCCCC)cc%17</t>
  </si>
  <si>
    <t xml:space="preserve">['IDIDTT-2F']</t>
  </si>
  <si>
    <t xml:space="preserve">{"power conversion efficiency": {"entity_name": "PCE", "entity_start": 85, "entity_end": 85, "property_value_start": 88, "property_value_end": 89, "property_numeric_value": 11.29, "property_unit": "%", "property_value_descriptor": ""}, "open circuit voltage": {"entity_name": "V_{oc}", "entity_start": 92, "entity_end": 93, "property_value_start": 95, "property_value_end": 96, "property_numeric_value": 0.92, "property_unit": "V", "property_value_descriptor": ""}, "short circuit current": {"entity_name": "J_{sc}", "entity_start": 98, "entity_end": 99, "property_value_start": 101, "property_value_end": 104, "property_numeric_value": 19.79, "property_unit": "mA cm^{-2}", "property_value_descriptor": ""}, "fill factor": {"entity_name": "FF", "entity_start": 107, "entity_end": 107, "property_value_start": 109, "property_value_end": 110, "property_numeric_value": 61.85,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</si>
  <si>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10.1039/c5cp05589j</t>
  </si>
  <si>
    <t xml:space="preserve">{"power conversion efficiency": {"entity_name": "PCE", "entity_start": 167, "entity_end": 167, "property_value_start": 172, "property_value_end": 173,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</si>
  <si>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10.1039/c8tc01780h</t>
  </si>
  <si>
    <t xml:space="preserve">IDT-HN</t>
  </si>
  <si>
    <t xml:space="preserve">CCCCCCc%15ccc(C7(c1ccc(CCCCCC)cc1)c2cc%13c(cc2c6sc(C=c5c(=O)c4cc3CCCCc3cc4c5=C(C#N)C#N)cc67)C(c8ccc(CCCCCC)cc8)(c9ccc(CCCCCC)cc9)c%14cc(C=c%12c(=O)c%11cc%10CCCCc%10cc%11c%12=C(C#N)C#N)sc%13%14)cc%15</t>
  </si>
  <si>
    <t xml:space="preserve">['IDT-HN']</t>
  </si>
  <si>
    <t xml:space="preserve">{"power conversion efficiency": {"entity_name": "power conversion efficiency", "entity_start": 223, "entity_end": 225, "property_value_start": 231, "property_value_end": 232, "property_numeric_value": 91.0,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</si>
  <si>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10.1039/c8ta08406h</t>
  </si>
  <si>
    <t xml:space="preserve">BT-IC</t>
  </si>
  <si>
    <t xml:space="preserve">['BT-IC']</t>
  </si>
  <si>
    <t xml:space="preserve">{"power conversion efficiency": {"entity_name": "PCE", "entity_start": 59, "entity_end": 59, "property_value_start": 62, "property_value_end": 63, "property_numeric_value": 10.8,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</si>
  <si>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10.1039/c8nr02638f</t>
  </si>
  <si>
    <t xml:space="preserve">{"power conversion efficiency": {"entity_name": "power conversion efficiencies", "entity_start": 112, "entity_end": 114, "property_value_start": 161, "property_value_end": 162, "property_numeric_value": 2.78,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</si>
  <si>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efficiencies", "entity_start": 112, "entity_end": 114, "property_value_start": 155, "property_value_end": 156, "property_numeric_value": 6.28,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</si>
  <si>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efficiencies", "entity_start": 112, "entity_end": 114, "property_value_start": 158, "property_value_end": 159, "property_numeric_value": 5.07,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</si>
  <si>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10.1039/c7ta10247j</t>
  </si>
  <si>
    <t xml:space="preserve">PBDT_{Th}-DT_{ff}BT</t>
  </si>
  <si>
    <t xml:space="preserve">[*]c8cc7c(c1ccc(CC(CC)CCCC)s1)c6sc(c5sc(c3c(F)c(F)c(c2cc(CC(CC)CCCC)c([*])s2)c4nsnc34)cc5CC(CC)CCCC)cc6c(OCC(CCCCCC)CCCCCCCC)c7s8</t>
  </si>
  <si>
    <t xml:space="preserve">['PBDT_{Th}-DT_{ff}BT']</t>
  </si>
  <si>
    <t xml:space="preserve">{"power conversion efficiency": {"entity_name": "PCE", "entity_start": 167, "entity_end": 167, "property_value_start": 169, "property_value_end": 170, "property_numeric_value": 7.83, "property_unit": "%", "property_value_descriptor": ""}, "open circuit voltage": {"entity_name": "V_{OC}", "entity_start": 173, "entity_end": 174, "property_value_start": 176, "property_value_end": 177, "property_numeric_value": 0.91, "property_unit": "V", "property_value_descriptor": ""}, "short circuit current": {"entity_name": "J_{SC}", "entity_start": 180, "entity_end": 181, "property_value_start": 183, "property_value_end": 186, "property_numeric_value": 13.62, "property_unit": "mA cm^{-2}", "property_value_descriptor": ""}, "fill factor": {"entity_name": "FF", "entity_start": 190, "entity_end": 190, "property_value_start": 192, "property_value_end": 193, "property_numeric_value": 63.2,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</si>
  <si>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10.1039/c8ta05868g</t>
  </si>
  <si>
    <t xml:space="preserve">PTZP</t>
  </si>
  <si>
    <t xml:space="preserve">[*]c9cc8c(c1ccc(CC(CCCC)CCCCCC)cc1)c6sc(c5sc(c4nc3sc(c2cc(CC(CC)CCCC)c([*])s2)nc3s4)cc5CC(CC)CCCC)cc6c(c7ccc(CC(CCCC)CCCCCC)cc7)c8s9</t>
  </si>
  <si>
    <t xml:space="preserve">['PTZP']</t>
  </si>
  <si>
    <t xml:space="preserve">17.9 mA cm^{-2}</t>
  </si>
  <si>
    <t xml:space="preserve">{"power conversion efficiency": {"entity_name": "PCE", "entity_start": 249, "entity_end": 249, "property_value_start": 252, "property_value_end": 253,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152, "entity_end": 153, "property_value_start": 155, "property_value_end": 163, "property_numeric_value": 0.00401, "property_unit": "cm^{2} V^{-1} s^{-1}", "property_value_descriptor": ""}, "electron mobility": {}, "external quantum efficiency": {}}</t>
  </si>
  <si>
    <t xml:space="preserve">10.1039/c6ra10481a</t>
  </si>
  <si>
    <t xml:space="preserve">PTPD-DFDT</t>
  </si>
  <si>
    <t xml:space="preserve">[*]c6cc(F)c(c5sc(c4sc(c2sc(c1cc(CC(CC)CCCC)c([*])s1)c3c(=O)n(CC(CCCCCCCC)CCCCCCCCCC)c(=O)c23)cc4CC(CC)CCCC)cc5F)s6</t>
  </si>
  <si>
    <t xml:space="preserve">{"power conversion efficiency": {"entity_name": "power conversion efficiency", "entity_start": 138, "entity_end": 140, "property_value_start": 142, "property_value_end": 143, "property_numeric_value": 5.52, "property_unit": "%", "property_value_descriptor": ""}, "open circuit voltage": {"entity_name": "open-circuit voltage", "entity_start": 148, "entity_end": 151, "property_value_start": 153, "property_value_end": 154, "property_numeric_value": 0.96,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</si>
  <si>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10.1039/b719945g</t>
  </si>
  <si>
    <t xml:space="preserve">['[6,6]-phenyl C61 butyric acid methyl ester', 'PCBM']</t>
  </si>
  <si>
    <t xml:space="preserve">{"power conversion efficiency": {"entity_name": "PCEs", "entity_start": 140, "entity_end": 140, "property_value_start": 145, "property_value_end": 146, "property_numeric_value": 3.9,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</si>
  <si>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10.1039/c4ra05680a</t>
  </si>
  <si>
    <t xml:space="preserve">[*]c9ccc(c7c1nsnc1c(c6ccc(c5cc4c2cc([*])sc2c3cc(CCCCCCCCCCCC)sc3c4s5)s6)c8nc(CC(CC)CCCC)c(CC(CC)CCCC)nc78)s9</t>
  </si>
  <si>
    <t xml:space="preserve">{"power conversion efficiency": {"entity_name": "PCEs", "entity_start": 227, "entity_end": 227, "property_value_start": 254, "property_value_end": 255, "property_numeric_value": 5.28, "property_unit": "%", "property_value_descriptor": ""}, "open circuit voltage": {}, "short circuit current": {}, "fill factor": {}, "highest occupied molecular orbital": {}, "lowest unoccupied molecular orbital": {}, "bandgap": {"entity_name": "optical bandgaps", "entity_start": 95, "entity_end": 96, "property_value_start": 118, "property_value_end": 119, "property_numeric_value": 1.38, "property_unit": "eV", "property_value_descriptor": ""}, "hole mobility": {}, "electron mobility": {}, "external quantum efficiency": {}}</t>
  </si>
  <si>
    <t xml:space="preserve">[*]c%11ccc(c9c1nsnc1c(c6ccc(c5cc4c2cc([*])sc2c3cc(CCCCCCCCCCCC)sc3c4s5)s6)c%10nc(c7ccc(CCCCCCCC)s7)c(c8ccc(CCCCCCCC)s8)nc9%10)s%11</t>
  </si>
  <si>
    <t xml:space="preserve">{"power conversion efficiency": {"entity_name": "PCEs", "entity_start": 227, "entity_end": 227, "property_value_start": 257, "property_value_end": 258, "property_numeric_value": 2.6,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</si>
  <si>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10.1039/c4ra05584e</t>
  </si>
  <si>
    <t xml:space="preserve">CSORG5</t>
  </si>
  <si>
    <t xml:space="preserve">CC(C)(C)c1ccc3c(c1)c2cc(C(C)(C)C)ccc2n3CCCCCCn6c4ccccc4sc5cc(/C=C(C#N)/C#N)ccc56</t>
  </si>
  <si>
    <t xml:space="preserve">0.98 V</t>
  </si>
  <si>
    <t xml:space="preserve">{"power conversion efficiency": {"entity_name": "PCE", "entity_start": 145, "entity_end": 145, "property_value_start": 150, "property_value_end": 151, "property_numeric_value": 4.16,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</si>
  <si>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10.1039/c4nr05194g</t>
  </si>
  <si>
    <t xml:space="preserve">{"power conversion efficiency": {"entity_name": "power conversion efficiency", "entity_start": 131, "entity_end": 133, "property_value_start": 144, "property_value_end": 145, "property_numeric_value": 8.04,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</si>
  <si>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10.1039/c0ee00117a</t>
  </si>
  <si>
    <t xml:space="preserve">='P3HT'</t>
  </si>
  <si>
    <t xml:space="preserve">['(6,6)-phenyl C61-butyric acid methylester','P3HT']</t>
  </si>
  <si>
    <t xml:space="preserve">{"power conversion efficiency": {"entity_name": "power conversion efficiency", "entity_start": 43, "entity_end": 45, "property_value_start": 50, "property_value_end": 51, "property_numeric_value": 3.86,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</si>
  <si>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10.1039/c7ta11339k</t>
  </si>
  <si>
    <t xml:space="preserve">PCE-10</t>
  </si>
  <si>
    <t xml:space="preserve">[*]c7cc6c(c1ccc(CC(CC)CCCC)s1)c4sc(c2sc([*])c3c(F)c(C(=O)OCC(CC)CCCC)sc23)cc4c(c5ccc(CC(CC)CCCC)s5)c6s7</t>
  </si>
  <si>
    <t xml:space="preserve">['PCE-10']</t>
  </si>
  <si>
    <t xml:space="preserve">m-MeIC</t>
  </si>
  <si>
    <t xml:space="preserve">CCCCCCc%16cccc(C7(c1cccc(CCCCCC)c1)c2cc%10c(cc2c6sc5cc(C=c4c(=O)c3c(C)scc3c4=C(C#N)C#N)sc5c67)C(c8cccc(CCCCCC)c8)(c9cccc(CCCCCC)c9)c%14c%10sc%15cc(C=c%12c(=C(C#N)C#N)c%11csc(C)c%11c%12=C%13CCCO%13)sc%14%15)c%16</t>
  </si>
  <si>
    <t xml:space="preserve">{"power conversion efficiency": {"entity_name": "PCE", "entity_start": 196, "entity_end": 196, "property_value_start": 198, "property_value_end": 199, "property_numeric_value": 8.34,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</si>
  <si>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10.1039/c5ee03481g</t>
  </si>
  <si>
    <t xml:space="preserve">['poly(3-hexyl thiophene)', 'P3HT']</t>
  </si>
  <si>
    <t xml:space="preserve">{"power conversion efficiency": {"entity_name": "PCE", "entity_start": 142, "entity_end": 142, "property_value_start": 144, "property_value_end": 145, "property_numeric_value": 3.18, "property_unit": "%", "property_value_descriptor": ""}, "open circuit voltage": {"entity_name": "V_{oc}", "entity_start": 148, "entity_end": 149, "property_value_start": 151, "property_value_end": 152, "property_numeric_value": 0.62,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</si>
  <si>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SF(DPPB)_{4}</t>
  </si>
  <si>
    <t xml:space="preserve">CCCCC(CC)CN4Cc3c(c2ccc(c1ccccc1)s2)n(CC(CC)CCCC)c(=O)c3=C4c%26ccc(c%12ccc%11c%10ccc(c9ccc(c8c7c(=O)n(CC(CC)CCCC)c(c6ccc(c5ccccc5)s6)c7c(=O)n8CC(CC)CCCC)s9)cc%10C%25(c%11c%12)c%18cc(c%17ccc(c%16c%15c(=O)n(CC(CC)CCCC)c(c%14ccc(c%13ccccc%13)s%14)c%15c(=O)n%16CC(CC)CCCC)s%17)ccc%18c%24ccc(c%23ccc(c%22c%21c(=O)n(CC(CC)CCCC)c(c%20ccc(c%19ccccc%19)s%20)c%21c(=O)n%22CC(CC)CCCC)s%23)cc%24%25)s%26</t>
  </si>
  <si>
    <t xml:space="preserve">['SF(DPPB)_{4}']</t>
  </si>
  <si>
    <t xml:space="preserve">1.14 V</t>
  </si>
  <si>
    <t xml:space="preserve">10.1039/c3nr03165a</t>
  </si>
  <si>
    <t xml:space="preserve">[*]c7cc6c(c1ccc(CC(CC)CCCC)s1)c4sc(c2sc([*])c3cc(C(=O)C(CC)CCCC)sc23)cc4c(c5ccc(CC(CC)CCCC)s5)c6s7</t>
  </si>
  <si>
    <t xml:space="preserve">{"power conversion efficiency": {"entity_name": "PCE", "entity_start": 201, "entity_end": 201, "property_value_start": 203, "property_value_end": 204,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</si>
  <si>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10.1039/c6ta09173c</t>
  </si>
  <si>
    <t xml:space="preserve">{"power conversion efficiency": {"entity_name": "power conversion efficiency", "entity_start": 34, "entity_end": 36, "property_value_start": 58, "property_value_end": 59, "property_numeric_value": 9.49,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</si>
  <si>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10.1039/c4ra10154e</t>
  </si>
  <si>
    <t xml:space="preserve">PBDTPA-TPD</t>
  </si>
  <si>
    <t xml:space="preserve">[*]c7cc6c(C#Cc1cc(OCCCCCCCC)cc(OCCCCCCCC)c1)c4sc(c2sc([*])c3c(=O)n(CC(CC)CCCC)c(=O)c23)cc4c(C#Cc5cc(OCCCCCCCC)cc(OCCCCCCCC)c5)c6s7</t>
  </si>
  <si>
    <t xml:space="preserve">['PBDTPA-TPD']</t>
  </si>
  <si>
    <t xml:space="preserve">{"power conversion efficiency": {"entity_name": "PCE", "entity_start": 159, "entity_end": 159, "property_value_start": 162, "property_value_end": 163, "property_numeric_value": 0.93, "property_unit": "%", "property_value_descriptor": ""}, "open circuit voltage": {"entity_name": "V_{oc}", "entity_start": 166, "entity_end": 167, "property_value_start": 169, "property_value_end": 170, "property_numeric_value": 0.96, "property_unit": "V", "property_value_descriptor": ""}, "short circuit current": {"entity_name": "J_{sc}", "entity_start": 172, "entity_end": 173, "property_value_start": 175, "property_value_end": 178, "property_numeric_value": 1.9, "property_unit": "mA cm^{-2}", "property_value_descriptor": ""}, "fill factor": {"entity_name": "FF", "entity_start": 181, "entity_end": 181, "property_value_start": 183, "property_value_end": 184, "property_numeric_value": 51.0,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</si>
  <si>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10.1039/c7ra02705b</t>
  </si>
  <si>
    <t xml:space="preserve">['poly(3-hexylthiophene)', 'P3TH']</t>
  </si>
  <si>
    <t xml:space="preserve">PBXT-IDT</t>
  </si>
  <si>
    <t xml:space="preserve">[*]c1cc3c(s1)c2cc%10c(cc2C3(c4ccc(CCCCCC)cc4)c5ccc(CCCCCC)cc5)c9sc(c7c6nonc6c([*])c8cc(C(=O)OCC)sc78)cc9C%10(c%11ccc(CCCCCC)cc%11)c%12ccc(CCCCCC)cc%12</t>
  </si>
  <si>
    <t xml:space="preserve">['PBXT-IDT']</t>
  </si>
  <si>
    <t xml:space="preserve">{"power conversion efficiency": {"entity_name": "PCE", "entity_start": 193, "entity_end": 193, "property_value_start": 195, "property_value_end": 196, "property_numeric_value": 1.09, "property_unit": "%", "property_value_descriptor": ""}, "open circuit voltage": {"entity_name": "V_{oc}", "entity_start": 200, "entity_end": 201, "property_value_start": 203, "property_value_end": 204, "property_numeric_value": 0.84,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</si>
  <si>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10.1039/c5cc04375a</t>
  </si>
  <si>
    <t xml:space="preserve">PSeTD2</t>
  </si>
  <si>
    <t xml:space="preserve">[*]c1cc7c(s1)c6sc5c(sc4c3sc(c2ccc([*])[se]2)cc3n(CC(CCCCCC)CCCCCCCC)c(=O)c45)c6c(=O)n7CC(CCCCCC)CCCCCCCC</t>
  </si>
  <si>
    <t xml:space="preserve">['PSeTD2']</t>
  </si>
  <si>
    <t xml:space="preserve">{"power conversion efficiency": {"entity_name": "PCE", "entity_start": 57, "entity_end": 57, "property_value_start": 59, "property_value_end": 60, "property_numeric_value": 8.18,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</si>
  <si>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10.1039/c3ee00110e</t>
  </si>
  <si>
    <t xml:space="preserve">['TQ1']</t>
  </si>
  <si>
    <t xml:space="preserve">{"power conversion efficiency": {"entity_name": "PCE", "entity_start": 203, "entity_end": 203, "property_value_start": 205, "property_value_end": 206, "property_numeric_value": 5.83,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</si>
  <si>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10.1039/c5ee02477c</t>
  </si>
  <si>
    <t xml:space="preserve">IDT-2BR</t>
  </si>
  <si>
    <t xml:space="preserve">CCCCCCc%15ccc(C%14(c1ccc(CCCCCC)cc1)c9cc8c5sc(c3ccc(C=c2sc(=S)n(CC)c2=O)c4nsnc34)cc5C(c6ccc(CCCCCC)cc6)(c7ccc(CCCCCC)cc7)c8cc9c%13sc(c%11ccc(C=c%10sc(=S)n(CC)c%10=O)c%12nsnc%11%12)cc%13%14)cc%15</t>
  </si>
  <si>
    <t xml:space="preserve">['IDT-2BR']</t>
  </si>
  <si>
    <t xml:space="preserve">{"power conversion efficiency": {"entity_name": "power conversion efficiencies", "entity_start": 24, "entity_end": 26, "property_value_start": 46, "property_value_end": 47, "property_numeric_value": 3.71,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</si>
  <si>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10.1039/c7ta01819c</t>
  </si>
  <si>
    <t xml:space="preserve">P1:P2</t>
  </si>
  <si>
    <t xml:space="preserve">PTQI-b-PNDISL</t>
  </si>
  <si>
    <t xml:space="preserve">{[*]c5ccc(c3ccc([*])c4nc(c1cccc(OCCCCCCCC)c1)c(c2cccc(OCCCCCCCC)c2)nc34)s5,[*]c5ccc(c1cc3c(=O)n(CC(CCCCCC)CCCCCCCC)c(=O)c4c([*])cc2c(=O)n(CC(CCCCCC)CCCCCCCC)c(=O)c1c2c34)[se]5}</t>
  </si>
  <si>
    <t xml:space="preserve">['PTQI-b-PNDISL']</t>
  </si>
  <si>
    <t xml:space="preserve">['P1:P2']</t>
  </si>
  <si>
    <t xml:space="preserve">PTQI-b-PNDIS</t>
  </si>
  <si>
    <t xml:space="preserve">['PTQI-b-PNDIS']</t>
  </si>
  <si>
    <t xml:space="preserve">{"power conversion efficiency": {"entity_name": "PCE", "entity_start": 137, "entity_end": 137, "property_value_start": 139, "property_value_end": 140, "property_numeric_value": 0.36, "property_unit": "%", "property_value_descriptor": ""}, "open circuit voltage": {"entity_name": "open-circuit voltage", "entity_start": 97, "entity_end": 100, "property_value_start": 102, "property_value_end": 103, "property_numeric_value": 0.79,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</si>
  <si>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10.1039/c3ta11811h</t>
  </si>
  <si>
    <t xml:space="preserve">{"power conversion efficiency": {"entity_name": "PCE", "entity_start": 160, "entity_end": 160, "property_value_start": 203, "property_value_end": 204, "property_numeric_value": 7.57,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</si>
  <si>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10.1039/c5tc02615f</t>
  </si>
  <si>
    <t xml:space="preserve">[*]c%11ccc(c%10c9c(=O)n(CCCCCCCC)c(c8ccc(c1cc4c(=O)n(CC(CC)CCCC)c(=O)c3ccc2c5c([*])cc7c(=O)n(CC(CC)CCCC)c(=O)c6ccc(c1c2c34)c5c67)s8)c9c(=O)n%10CCCCCCCC)s%11</t>
  </si>
  <si>
    <t xml:space="preserve">{"power conversion efficiency": {"entity_name": "PCE", "entity_start": 86, "entity_end": 86, "property_value_start": 88, "property_value_end": 89, "property_numeric_value": 2.01, "property_unit": "%", "property_value_descriptor": ""}, "open circuit voltage": {"entity_name": "V_{OC}", "entity_start": 92, "entity_end": 93, "property_value_start": 95, "property_value_end": 96, "property_numeric_value": 0.68, "property_unit": "V", "property_value_descriptor": ""}, "short circuit current": {"entity_name": "J_{SC}", "entity_start": 99, "entity_end": 100, "property_value_start": 102, "property_value_end": 105, "property_numeric_value": 7.06, "property_unit": "mA cm^{-2}", "property_value_descriptor": ""}, "fill factor": {"entity_name": "FF", "entity_start": 108, "entity_end": 108, "property_value_start": 110, "property_value_end": 111, "property_numeric_value": 41.78,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</si>
  <si>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[*]c%11ccc(c%10c9c(=O)n(CCCCCCCC)c(c8ccc(c1cc4c(=O)n(CC(CCCCCCCCCC)CCCCCCCCCCCC)c(=O)c3ccc2c5c([*])cc7c(=O)n(CC(CCCCCCCCCC)CCCCCCCCCCCC)c(=O)c6ccc(c1c2c34)c5c67)s8)c9c(=O)n%10CCCCCCCC)s%11</t>
  </si>
  <si>
    <t xml:space="preserve">{"power conversion efficiency": {"entity_name": "PCE", "entity_start": 139, "entity_end": 139, "property_value_start": 141, "property_value_end": 142, "property_numeric_value": 0.3,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</si>
  <si>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10.1039/b823001c</t>
  </si>
  <si>
    <t xml:space="preserve">{"power conversion efficiency": {"entity_name": "power conversion efficiencies", "entity_start": 338, "entity_end": 340, "property_value_start": 368, "property_value_end": 369, "property_numeric_value": 2.3,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</si>
  <si>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10.1039/c5tc00714c</t>
  </si>
  <si>
    <t xml:space="preserve">PNDTDTFBT</t>
  </si>
  <si>
    <t xml:space="preserve">['PNDTDTFBT']</t>
  </si>
  <si>
    <t xml:space="preserve">{"power conversion efficiency": {"entity_name": "PCE", "entity_start": 348, "entity_end": 348, "property_value_start": 350, "property_value_end": 351, "property_numeric_value": 6.64, "property_unit": "%", "property_value_descriptor": ""}, "open circuit voltage": {}, "short circuit current": {}, "fill factor": {}, "highest occupied molecular orbital": {"entity_name": "E_{HOMO}", "entity_start": 337, "entity_end": 338, "property_value_start": 340, "property_value_end": 341, "property_numeric_value": -5.4, "property_unit": "eV", "property_value_descriptor": ""}, "lowest unoccupied molecular orbital": {"entity_name": "LUMO", "entity_start": 81, "entity_end": 81, "property_value_start": 83, "property_value_end": 84, "property_numeric_value": -2.2, "property_unit": "eV", "property_value_descriptor": ""}, "bandgap": {}, "hole mobility": {}, "electron mobility": {}, "external quantum efficiency": {}}</t>
  </si>
  <si>
    <t xml:space="preserve">PBDCPDTFBT</t>
  </si>
  <si>
    <t xml:space="preserve">[*]c1cc5c(s1)c4sc3cc2c%11c(sc2cc3c4C5(c6ccc(OCCCCCCCC)cc6)c7ccc(OCCCCCCCC)cc7)c%10sc(c8c(F)c(F)c([*])c9nsnc89)cc%10C%11(c%12ccc(OCCCCCCCC)cc%12)c%13ccc(OCCCCCCCC)cc%13</t>
  </si>
  <si>
    <t xml:space="preserve">['PBDCPDTFBT']</t>
  </si>
  <si>
    <t xml:space="preserve">10.1039/c4ta07029a</t>
  </si>
  <si>
    <t xml:space="preserve">{"power conversion efficiency": {"entity_name": "PCE", "entity_start": 172, "entity_end": 172, "property_value_start": 174, "property_value_end": 175, "property_numeric_value": 9.47,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</si>
  <si>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10.1039/c6cc07335b</t>
  </si>
  <si>
    <t xml:space="preserve">HP-PDI</t>
  </si>
  <si>
    <t xml:space="preserve">[*]c1cc3c(=O)n(CC(CC)CCCC)c(=O)c4cc([*])c2c5ccc7c(=O)n(CC(CC)CCCC)c(=O)c6ccc(c1c2c34)c5c67</t>
  </si>
  <si>
    <t xml:space="preserve">['HP-PDI']</t>
  </si>
  <si>
    <t xml:space="preserve">{"power conversion efficiency": {"entity_name": "power conversion efficiency", "entity_start": 36, "entity_end": 38, "property_value_start": 40, "property_value_end": 41, "property_numeric_value": 2.15,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</si>
  <si>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10.1039/c5cp07705b</t>
  </si>
  <si>
    <t xml:space="preserve">[*]c%11cc%10c(OCCCCCCCCCCCC)c9sc(c8sc(c6c1nsnc1c(c2cc(CCCCCCCCCCCC)c([*])s2)c7nc5c3nc(C(CC)CCCCCCCCCCCCCCCC)sc3c4sc(C(CC)CCCCCCCCCCCCCCCC)nc4c5nc67)cc8CCCCCCCCCCCC)cc9c(OCCCCCCCCCCCC)c%10s%11</t>
  </si>
  <si>
    <t xml:space="preserve">{"power conversion efficiency": {"entity_name": "PCE", "entity_start": 218, "entity_end": 218, "property_value_start": 224, "property_value_end": 225, "property_numeric_value": 7.27, "property_unit": "%", "property_value_descriptor": ""}, "open circuit voltage": {}, "short circuit current": {}, "fill factor": {}, "highest occupied molecular orbital": {}, "lowest unoccupied molecular orbital": {}, "bandgap": {"entity_name": "optical bandgaps", "entity_start": 93, "entity_end": 94, "property_value_start": 99, "property_value_end": 100, "property_numeric_value": 1.08, "property_unit": "eV", "property_value_descriptor": ""}, "hole mobility": {}, "electron mobility": {}, "external quantum efficiency": {}}</t>
  </si>
  <si>
    <t xml:space="preserve">[*]c1cc%11c(s1)c%10sc(c9sc(c7c2nsnc2c(c3cc(CCCCCCCCCCCC)c([*])s3)c8nc6c4nc(C(CC)CCCCCCCCCCCCCCCC)sc4c5sc(C(CC)CCCCCCCCCCCCCCCC)nc5c6nc78)cc9CCCCCCCCCCCC)cc%10[Si]%11(CCCCCCCC)CCCCCCCC</t>
  </si>
  <si>
    <t xml:space="preserve">{"power conversion efficiency": {"entity_name": "PCE", "entity_start": 218, "entity_end": 218, "property_value_start": 227, "property_value_end": 228, "property_numeric_value": 6.68,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</si>
  <si>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10.1039/c3ra42299b</t>
  </si>
  <si>
    <t xml:space="preserve">[*]c1ccc4c(c1)c3cc(c2ccc([*])s2)ccc3n4/C=C(C#N)/c5ccc(N(O)O)cc5</t>
  </si>
  <si>
    <t xml:space="preserve">['PT']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</si>
  <si>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 gaps", "entity_start": 65, "entity_end": 67, "property_value_start": 72, "property_value_end": 73, "property_numeric_value": 1.69, "property_unit": "eV", "property_value_descriptor": ""}, "hole mobility": {}, "electron mobility": {}, "external quantum efficiency": {}}</t>
  </si>
  <si>
    <t xml:space="preserve">PP</t>
  </si>
  <si>
    <t xml:space="preserve">[*]c5ccc(c1ccc3c(c1)c2cc([*])ccc2n3/C=C(C#N)/c4ccc(N(O)O)cc4)cc5</t>
  </si>
  <si>
    <t xml:space="preserve">['PP']</t>
  </si>
  <si>
    <t xml:space="preserve">{"power conversion efficiency": {"entity_name": "PCE", "entity_start": 190, "entity_end": 190, "property_value_start": 196, "property_value_end": 197, "property_numeric_value": 4.2,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</si>
  <si>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10.1039/c3cp53426j</t>
  </si>
  <si>
    <t xml:space="preserve">{"power conversion efficiency": {"entity_name": "power conversion efficiency", "entity_start": 77, "entity_end": 79, "property_value_start": 86, "property_value_end": 87, "property_numeric_value": 4.18,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</si>
  <si>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10.1039/c1jm10593k</t>
  </si>
  <si>
    <t xml:space="preserve">PEBTBT</t>
  </si>
  <si>
    <t xml:space="preserve">[*]c4cc(CCCCCCCCCCCC)c(/C=C/c3sc(c1ccc([*])c2nsnc12)cc3CCCCCCCCCCCC)s4</t>
  </si>
  <si>
    <t xml:space="preserve">["(E)-poly[2,2′-(1,2-ethenediyl)bisthiophene-alt-4,7-(2,1,3-benzothiadiazole)]", 'PEBTBT']</t>
  </si>
  <si>
    <t xml:space="preserve">{"power conversion efficiency": {"entity_name": "power conversion efficiency", "entity_start": 174, "entity_end": 176, "property_value_start": 181, "property_value_end": 182, "property_numeric_value": 1.07, "property_unit": "%", "property_value_descriptor": ""}, "open circuit voltage": {}, "short circuit current": {}, "fill factor": {}, "highest occupied molecular orbital": {}, "lowest unoccupied molecular orbital": {}, "bandgap": {"entity_name": "band gaps", "entity_start": 136, "entity_end": 137, "property_value_start": 143, "property_value_end": 144, "property_numeric_value": 1.57, "property_unit": "eV", "property_value_descriptor": ""}, "hole mobility": {}, "electron mobility": {}, "external quantum efficiency": {}}</t>
  </si>
  <si>
    <t xml:space="preserve">10.1039/c6ra03681c</t>
  </si>
  <si>
    <t xml:space="preserve">='PDPPTPT'</t>
  </si>
  <si>
    <t xml:space="preserve">[*]c5ccc(c4ccc(c3c2c(=O)n(CC(CCCCCC)CCCCCCCC)c(c1ccc([*])s1)c2c(=O)n3CC(CCCCCC)CCCCCCCCC)s4)cc5</t>
  </si>
  <si>
    <t xml:space="preserve">['PDPPTPT']</t>
  </si>
  <si>
    <t xml:space="preserve">{"power conversion efficiency": {"entity_name": "power conversion efficiencies", "entity_start": 94, "entity_end": 96, "property_value_start": 104, "property_value_end": 107, "property_numeric_value": 1.075,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</si>
  <si>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10.1039/c8tc04746d</t>
  </si>
  <si>
    <t xml:space="preserve">P4T2F-HD</t>
  </si>
  <si>
    <t xml:space="preserve">[*]c4cc(F)c(c3sc(c2sc(c1cc(CC(CCCCCC)CCCCCCCC)c([*])s1)cc2CC(CCCCCC)CCCCCCCC)cc3F)s4</t>
  </si>
  <si>
    <t xml:space="preserve">['P4T2F-HD']</t>
  </si>
  <si>
    <t xml:space="preserve">(5Z,5′Z)-5,5′-(((4,4,9,9-tetraoctyl-4,9-dihydro-s-indaceno[1,2-b:5,6-b′]dithiophene-2,7-diyl)bis(benzo[c][1,2,5]thiadiazole-7,4-diyl))bis-(methanylylidene))bis(3-ethyl-2-thioxothiazolidin-4-one)</t>
  </si>
  <si>
    <t xml:space="preserve">CCCCCCCCC%11(CCCCCCCC)c6cc5c4sc(c2ccc(C=c1sc(=S)n(CC)c1=O)c3nsnc23)cc4C(CCCCCCCC)(CCCCCCCC)c5cc6c%10sc(c8ccc(C=c7sc(=O)n(CC)c7=O)c9nsnc89)cc%10%11</t>
  </si>
  <si>
    <t xml:space="preserve">["(5Z,5′Z)-5,5′-(((4,4,9,9-tetraoctyl-4,9-dihydro-s-indaceno[1,2-b:5,6-b′]dithiophene-2,7-diyl)bis(benzo[c][1,2,5]thiadiazole-7,4-diyl))bis-(methanylylidene))bis(3-ethyl-2-thioxothiazolidin-4-one)",'O-IDTBR']</t>
  </si>
  <si>
    <t xml:space="preserve">{"power conversion efficiency": {"entity_name": "PCE", "entity_start": 126, "entity_end": 126, "property_value_start": 128, "property_value_end": 129, "property_numeric_value": 7.0, "property_unit": "%", "property_value_descriptor": ""}, "open circuit voltage": {"entity_name": "V_{oc}", "entity_start": 133, "entity_end": 134, "property_value_start": 136, "property_value_end": 137, "property_numeric_value": 1.04,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</si>
  <si>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10.1039/c5ta05901a</t>
  </si>
  <si>
    <t xml:space="preserve">IDTT-2BM</t>
  </si>
  <si>
    <t xml:space="preserve">CCCCCCc%15ccc(C7(c1ccc(CCCCCC)cc1)c2cc%10c(cc2c6sc5cc(c3ccc(/C=C(C#N)/C#N)c4nsnc34)sc5c67)C(c8ccc(CCCCCC)cc8)(c9ccc(CCCCCC)cc9)c%13c%10sc%14cc(c%11ccc(/C=C(C#N)/C#N)c%12nsnc%11%12)sc%13%14)cc%15</t>
  </si>
  <si>
    <t xml:space="preserve">['IDTT-2BM']</t>
  </si>
  <si>
    <t xml:space="preserve">{"power conversion efficiency": {"entity_name": "power conversion efficiencies", "entity_start": 153, "entity_end": 155, "property_value_start": 160, "property_value_end": 161, "property_numeric_value": 4.81,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</si>
  <si>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IDT-2BM</t>
  </si>
  <si>
    <t xml:space="preserve">CCCCCCc%13ccc(C6(c1ccc(CCCCCC)cc1)c2cc%11c(cc2c5sc(c3ccc(/C=C(C#N)/C#N)c4nsnc34)cc56)C(c7ccc(CCCCCC)cc7)(c8ccc(CCCCCC)cc8)c%12cc(c9ccc(/C=C(C#N)/C#N)c%10nsnc9%10)sc%11%12)cc%13</t>
  </si>
  <si>
    <t xml:space="preserve">['IDT-2BM']</t>
  </si>
  <si>
    <t xml:space="preserve">10.1039/c2jm32843g</t>
  </si>
  <si>
    <t xml:space="preserve">PBDFNTDO</t>
  </si>
  <si>
    <t xml:space="preserve">[*]c6cc5c(OCC(CC)CCCC)c4oc(c2sc([*])c3c(=O)c1ccc(CCCCCCCC)cc1c(=O)c23)cc4c(OCC(CC)CCCC)c5o6</t>
  </si>
  <si>
    <t xml:space="preserve">["poly{4,8-bis(2-ethylhexyloxy)benzo[1,2-b:3,4-b']difuran-alt-6-octylnaphtho[2,3-c]thiophene-4,9-dione}", 'PBDFNTDO']</t>
  </si>
  <si>
    <t xml:space="preserve">{"power conversion efficiency": {"entity_name": "power conversion efficiency", "entity_start": 199, "entity_end": 201, "property_value_start": 203, "property_value_end": 204, "property_numeric_value": 4.71, "property_unit": "%", "property_value_descriptor": ""}, "open circuit voltage": {}, "short circuit current": {}, "fill factor": {}, "highest occupied molecular orbital": {"entity_name": "HOMO", "entity_start": 117, "entity_end": 117, "property_value_start": 123, "property_value_end": 124, "property_numeric_value": -5.33, "property_unit": "eV", "property_value_descriptor": ""}, "lowest unoccupied molecular orbital": {"entity_name": "LUMO energy levels", "entity_start": 119, "entity_end": 121, "property_value_start": 126, "property_value_end": 127, "property_numeric_value": -3.4, "property_unit": "eV", "property_value_descriptor": ""}, "bandgap": {"entity_name": "optical bandgap", "entity_start": 108, "entity_end": 109, "property_value_start": 111, "property_value_end": 112, "property_numeric_value": 1.65, "property_unit": "eV", "property_value_descriptor": ""}, "hole mobility": {"entity_name": "hole mobility", "entity_start": 132, "entity_end": 133, "property_value_start": 148, "property_value_end": 157, "property_numeric_value": 0.005, "property_unit": "cm^{2} V^{-1} s^{-1}", "property_value_descriptor": ""}, "electron mobility": {}, "external quantum efficiency": {}}</t>
  </si>
  <si>
    <t xml:space="preserve">10.1039/c5ra00462d</t>
  </si>
  <si>
    <t xml:space="preserve">{"power conversion efficiency": {"entity_name": "PCE", "entity_start": 139, "entity_end": 139, "property_value_start": 142, "property_value_end": 143, "property_numeric_value": 2.4, "property_unit": "%", "property_value_descriptor": ""}, "open circuit voltage": {"entity_name": "V_{oc}", "entity_start": 153, "entity_end": 154, "property_value_start": 157, "property_value_end": 158, "property_numeric_value": 0.49, "property_unit": "V", "property_value_descriptor": ""}, "short circuit current": {"entity_name": "J_{sc}", "entity_start": 166, "entity_end": 167, "property_value_start": 170, "property_value_end": 173, "property_numeric_value": 8.1, "property_unit": "mA cm^{-2}", "property_value_descriptor": ""}, "fill factor": {"entity_name": "FF", "entity_start": 178, "entity_end": 178, "property_value_start": 181, "property_value_end": 182, "property_numeric_value": 61.0,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</si>
  <si>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10.1039/c4ee02362e</t>
  </si>
  <si>
    <t xml:space="preserve">poly[N-dodecyldithieno[3,2-b;6,7-b]carbazole-alt-7-fluoro-N,N-di(3-octyltridecyl)isoindigo]</t>
  </si>
  <si>
    <t xml:space="preserve">[*]c9ccc8c(=c6c(=O)n(CC(CCCCCCCC)CCCCCCCCCC)c7c(F)c(c2cc1cc5c(cc1s2)c4cc3sc([*])cc3cc4n5CCCCCCCCCCCC)ccc67)c(=O)n(CC(CCCCCCCC)CCCCCCCCCC)c8c9</t>
  </si>
  <si>
    <t xml:space="preserve">['poly[N-dodecyldithieno[3,2-b;6,7-b]carbazole-alt-7-fluoro-N,N-di(3-octyltridecyl)isoindigo]','P2']</t>
  </si>
  <si>
    <t xml:space="preserve">{"power conversion efficiency": {"entity_name": "PCE", "entity_start": 195, "entity_end": 195, "property_value_start": 197, "property_value_end": 198, "property_numeric_value": 7.5,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</si>
  <si>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10.1039/c7ta07049g</t>
  </si>
  <si>
    <t xml:space="preserve">SJ-IC</t>
  </si>
  <si>
    <t xml:space="preserve">CCCCCCc%13ccc(C6(c1ccc(CCCCCC)cc1)c2cc%11c(cc2c5sc(/C=C/C=c4c(=O)c3ccccc3c4=C(C#N)C#N)cc56)C(c7ccc(CCCCCC)cc7)(c8ccc(CCCCCC)cc8)c%12cc(/C=C/C=c%10c(=O)c9ccccc9c%10=C(C#N)C#N)sc%11%12)cc%13</t>
  </si>
  <si>
    <t xml:space="preserve">['SJ-IC']</t>
  </si>
  <si>
    <t xml:space="preserve">16.99 mA cm^{-2}</t>
  </si>
  <si>
    <t xml:space="preserve">{"power conversion efficiency": {"entity_name": "PCE", "entity_start": 131, "entity_end": 131, "property_value_start": 133, "property_value_end": 134, "property_numeric_value": 6.95, "property_unit": "%", "property_value_descriptor": ""}, "open circuit voltage": {}, "short circuit current": {"entity_name": "J_{sc}", "entity_start": 137, "entity_end": 138, "property_value_start": 140, "property_value_end": 143, "property_numeric_value": 13.7,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</si>
  <si>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10.1039/c4ta01586j</t>
  </si>
  <si>
    <t xml:space="preserve">='PTB7'</t>
  </si>
  <si>
    <t xml:space="preserve">[*]c5cc4c(OCC(CC)CCCC)c3sc(c1sc([*])c2cc(C(=O)OCC(CC)CCCC)sc12)cc3c(OCC(CC)CCCC)c4s5</t>
  </si>
  <si>
    <t xml:space="preserve">{"power conversion efficiency": {"entity_name": "PCE", "entity_start": 67, "entity_end": 67, "property_value_start": 69, "property_value_end": 70, "property_numeric_value": 7.23,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</si>
  <si>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10.1039/c6tc01438k</t>
  </si>
  <si>
    <t xml:space="preserve">PBDTBT-C12</t>
  </si>
  <si>
    <t xml:space="preserve">['PBDTBT-C12']</t>
  </si>
  <si>
    <t xml:space="preserve">{"power conversion efficiency": {"entity_name": "PCE", "entity_start": 218, "entity_end": 218, "property_value_start": 220, "property_value_end": 221, "property_numeric_value": 4.0, "property_unit": "%", "property_value_descriptor": ""}, "open circuit voltage": {"entity_name": "V_{oc}", "entity_start": 133, "entity_end": 134, "property_value_start": 136, "property_value_end": 137, "property_numeric_value": 1.08,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</si>
  <si>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NI-A-C6</t>
  </si>
  <si>
    <t xml:space="preserve">CCCCn4c(=O)c6cccc5c(C#Cc1ccc3c(=O)n(CCCC)c(=O)c2cccc1c23)ccc(c4=O)c56</t>
  </si>
  <si>
    <t xml:space="preserve">['NI-A-C6']</t>
  </si>
  <si>
    <t xml:space="preserve">10.1039/c8tc05035j</t>
  </si>
  <si>
    <t xml:space="preserve">{[*]c6cc5c(c1ccc(CC(CC)CCCC)s1)c3sc(c2cc(C(=O)OC)c([*])s2)cc3c(c4ccc(CC(CC)CCCC)s4)c5s6,[*]c%10ccc(c8sc(c6ccc(c5cc4c(c1ccc(CC(CC)CCCC)s1)c2sc([*])cc2c(c3ccc(CC(CC)CCCC)s3)c4s5)s6)c9c(=O)c7c(CC(CC)CCCC)sc(CC(CC)CCCC)c7c(=O)c89)s%10}</t>
  </si>
  <si>
    <t xml:space="preserve">{"power conversion efficiency": {"entity_name": "power conversion efficiency", "entity_start": 130, "entity_end": 132, "property_value_start": 134, "property_value_end": 135, "property_numeric_value": 10.26, "property_unit": "%", "property_value_descriptor": ""}, "open circuit voltage": {"entity_name": "open circuit voltage", "entity_start": 139, "entity_end": 141, "property_value_start": 143, "property_value_end": 144, "property_numeric_value": 0.94, "property_unit": "V", "property_value_descriptor": ""}, "short circuit current": {"entity_name": "short circuit current density", "entity_start": 146, "entity_end": 149, "property_value_start": 151, "property_value_end": 154, "property_numeric_value": 17.18,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</si>
  <si>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10.1039/c8ta09356c</t>
  </si>
  <si>
    <t xml:space="preserve">NT00</t>
  </si>
  <si>
    <t xml:space="preserve">['NT40', 'NT00']</t>
  </si>
  <si>
    <t xml:space="preserve">NT100</t>
  </si>
  <si>
    <t xml:space="preserve">['NT100']</t>
  </si>
  <si>
    <t xml:space="preserve">{"power conversion efficiency": {"entity_name": "power conversion efficiency", "entity_start": 134, "entity_end": 136, "property_value_start": 138, "property_value_end": 139,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</si>
  <si>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10.1039/c9ta00948e</t>
  </si>
  <si>
    <t xml:space="preserve">{"power conversion efficiency": {"entity_name": "PCE", "entity_start": 160, "entity_end": 160, "property_value_start": 178, "property_value_end": 179, "property_numeric_value": 9.67, "property_unit": "%", "property_value_descriptor": ""}, "open circuit voltage": {}, "short circuit current": {"entity_name": "J_{sc}", "entity_start": 124, "entity_end": 126, "property_value_start": 129, "property_value_end": 134, "property_numeric_value": 23.22, "property_unit": "mA cm^{-2}", "property_value_descriptor": "to"}, "fill factor": {"entity_name": "FF", "entity_start": 140, "entity_end": 140, "property_value_start": 147, "property_value_end": 148, "property_numeric_value": 69.3,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</si>
  <si>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10.1038/pj.2015.85</t>
  </si>
  <si>
    <t xml:space="preserve">[*]c7ccc(c5ccc(c4ccc(c2sc([*])c(c1ccc(CC(CC)CCCC)s1)c2c3ccc(CC(CC)CCCC)s3)s4)c6nsnc56)s7</t>
  </si>
  <si>
    <t xml:space="preserve">{"power conversion efficiency": {"entity_name": "PCE", "entity_start": 122, "entity_end": 122, "property_value_start": 124, "property_value_end": 125, "property_numeric_value": 1.47,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</si>
  <si>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10.1007/s12274-017-1807-9</t>
  </si>
  <si>
    <t xml:space="preserve">{"power conversion efficiency": {"entity_name": "PCE", "entity_start": 190, "entity_end": 190, "property_value_start": 202, "property_value_end": 203, "property_numeric_value": 90.0,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</si>
  <si>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10.1038/srep17329</t>
  </si>
  <si>
    <t xml:space="preserve">{"power conversion efficiency": {"entity_name": "PCE", "entity_start": 108, "entity_end": 108, "property_value_start": 110, "property_value_end": 111, "property_numeric_value": 9.3,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</si>
  <si>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10.1007/s11426-019-9466-6</t>
  </si>
  <si>
    <t xml:space="preserve">PZ1</t>
  </si>
  <si>
    <t xml:space="preserve">[*]c%10ccc9c(=O)c(=Cc1cc3c(s1)c2cc8c(cc2C3(CCCCCCCCCCCCCCCC)CCCCCCCCCCCCCCCC)c7sc(C=c6c(=O)c5ccc(c4ccc([*])s4)cc5c6=C(C#N)C#N)cc7C8(CCCCCCCCCCCCCCCC)CCCCCCCCCCCCCCCC)c(=C(C#N)C#N)c9c%10</t>
  </si>
  <si>
    <t xml:space="preserve">['PZ1']</t>
  </si>
  <si>
    <t xml:space="preserve">{"power conversion efficiency": {"entity_name": "PCE", "entity_start": 191, "entity_end": 191, "property_value_start": 193, "property_value_end": 194, "property_numeric_value": 9.2, "property_unit": "%", "property_value_descriptor": ""}, "open circuit voltage": {"entity_name": "V_{oc}", "entity_start": 87, "entity_end": 88, "property_value_start": 90, "property_value_end": 91, "property_numeric_value": 0.96, "property_unit": "V", "property_value_descriptor": ""}, "short circuit current": {"entity_name": "J_{sc}", "entity_start": 95, "entity_end": 96, "property_value_start": 98, "property_value_end": 101, "property_numeric_value": 17.1, "property_unit": "mA cm^{-2}", "property_value_descriptor": ""}, "fill factor": {"entity_name": "FF", "entity_start": 108, "entity_end": 108, "property_value_start": 111, "property_value_end": 112, "property_numeric_value": 68.2,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</si>
  <si>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10.1007/s10008-017-3749-2</t>
  </si>
  <si>
    <t xml:space="preserve">{"power conversion efficiency": {"entity_name": "power conversion efficiency", "entity_start": 168, "entity_end": 170, "property_value_start": 200, "property_value_end": 201, "property_numeric_value": 3.41,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</si>
  <si>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10.1038/pj.2015.61</t>
  </si>
  <si>
    <t xml:space="preserve">='pDSBT-BHTBT'</t>
  </si>
  <si>
    <t xml:space="preserve">[*]c1cc7c(s1)c6sc(c5sc(c3ccc(c2cc(CCCCCC)c([*])s2)c4nsnc34)cc5CCCCCC)cc6[Si](CCCC)(CCCC)[Si]7(CCCC)CCCC</t>
  </si>
  <si>
    <t xml:space="preserve">{"power conversion efficiency": {"entity_name": "power conversion efficiency", "entity_start": 216, "entity_end": 218, "property_value_start": 220, "property_value_end": 221, "property_numeric_value": 2.49,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</si>
  <si>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10.1007/s11426-014-5187-7</t>
  </si>
  <si>
    <t xml:space="preserve">{"power conversion efficiency": {"entity_name": "power conversion efficiencies", "entity_start": 179, "entity_end": 181, "property_value_start": 193, "property_value_end": 194, "property_numeric_value": 1.41,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</si>
  <si>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10.1007/s11426-011-4422-8</t>
  </si>
  <si>
    <t xml:space="preserve">SiPCPDTBT</t>
  </si>
  <si>
    <t xml:space="preserve">{"power conversion efficiency": {"entity_name": "PCEs", "entity_start": 107, "entity_end": 107, "property_value_start": 110, "property_value_end": 111, "property_numeric_value": 1.5,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</si>
  <si>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10.1038/srep18024</t>
  </si>
  <si>
    <t xml:space="preserve">{"power conversion efficiency": {"entity_name": "power conversion efficiency", "entity_start": 131, "entity_end": 133, "property_value_start": 143, "property_value_end": 144, "property_numeric_value": 4.39,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</si>
  <si>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10.1007/s11426-017-9197-0</t>
  </si>
  <si>
    <t xml:space="preserve">['PTzBI-O']</t>
  </si>
  <si>
    <t xml:space="preserve">{"power conversion efficiency": {"entity_name": "power conversion efficiencies", "entity_start": 137, "entity_end": 139, "property_value_start": 142, "property_value_end": 143,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</si>
  <si>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10.1007/s10854-019-01782-3</t>
  </si>
  <si>
    <t xml:space="preserve">{"power conversion efficiency": {"entity_name": "power conversion efficiency", "entity_start": 235, "entity_end": 237, "property_value_start": 239, "property_value_end": 240, "property_numeric_value": 4.86, "property_unit": "%", "property_value_descriptor": ""}, "open circuit voltage": {}, "short circuit current": {"entity_name": "short-circuit current density", "entity_start": 222, "entity_end": 226, "property_value_start": 228, "property_value_end": 232, "property_numeric_value": 15.6,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</si>
  <si>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10.1038/srep11558</t>
  </si>
  <si>
    <t xml:space="preserve">{"power conversion efficiency": {"entity_name": "power conversion efficiency", "entity_start": 96, "entity_end": 98, "property_value_start": 101, "property_value_end": 102,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</si>
  <si>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10.1007/s11426-014-5218-4</t>
  </si>
  <si>
    <t xml:space="preserve">['PCDTBT', 'poly[N-9″-hepta-decanyl-2,7-carbazole-alt-5,5-(4′,7′-di-2-thienyl-2′,1′,3′-benzothiadiazole)]']</t>
  </si>
  <si>
    <t xml:space="preserve">['PC_{71}BM', '[6,6]-phenyl C_{71} butyric acid methyl ester']</t>
  </si>
  <si>
    <t xml:space="preserve">{"power conversion efficiency": {"entity_name": "PCE", "entity_start": 132, "entity_end": 132, "property_value_start": 134, "property_value_end": 135, "property_numeric_value": 6.86,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</si>
  <si>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10.1007/s11426-015-5328-7</t>
  </si>
  <si>
    <t xml:space="preserve">{"power conversion efficiency": {"entity_name": "power conversion efficiency", "entity_start": 52, "entity_end": 54, "property_value_start": 64, "property_value_end": 65, "property_numeric_value": 4.17,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</si>
  <si>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10.1038/ncomms9547</t>
  </si>
  <si>
    <t xml:space="preserve">{"power conversion efficiency": {"entity_name": "power-conversion efficiency", "entity_start": 72, "entity_end": 75, "property_value_start": 77, "property_value_end": 78, "property_numeric_value": 6.64,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</si>
  <si>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10.1007/s11426-014-5275-8</t>
  </si>
  <si>
    <t xml:space="preserve">='PCzTPADTNT'</t>
  </si>
  <si>
    <t xml:space="preserve">[*]c%12ccc(N(c7ccc(/C=C/c6sc(c4cc2c(cc(c1cc(CCCCCCCC)cs1)c3nsnc23)c5nsnc45)cc6CCCCCCCC)cc7)c%11ccc(c%10ccc9c8ccc([*])cc8n(C(CCCCCCCC)CCCCCCCC)c9c%10)cc%11)cc%12</t>
  </si>
  <si>
    <t xml:space="preserve">(6,6)-phenyl-C71-butyric acid methyl ester</t>
  </si>
  <si>
    <t xml:space="preserve">0.8 V</t>
  </si>
  <si>
    <t xml:space="preserve">{"power conversion efficiency": {"entity_name": "power conversion efficiency", "entity_start": 136, "entity_end": 138, "property_value_start": 146, "property_value_end": 147, "property_numeric_value": 3.52,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</si>
  <si>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10.1007/s10854-018-9217-7</t>
  </si>
  <si>
    <t xml:space="preserve">PDTFN-H</t>
  </si>
  <si>
    <t xml:space="preserve">[*]c7ccc6c5ccc(C4CCC(c3c2c(=O)n(CC(CCCCCC)CCCCCC)c(c1ccc([*])s1)c2c(=O)n3CC(CCCC)CCCCNC)S4)cc5C(CCCN(C)C)(CCCN(C)C)c6c7</t>
  </si>
  <si>
    <t xml:space="preserve">['PDTFN-H']</t>
  </si>
  <si>
    <t xml:space="preserve">{"power conversion efficiency": {"entity_name": "power conversion efficiency", "entity_start": 159, "entity_end": 161, "property_value_start": 174, "property_value_end": 175, "property_numeric_value": 3.6,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</si>
  <si>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10.1007/978-3-319-97604-4_57</t>
  </si>
  <si>
    <t xml:space="preserve">['poly[N-900-hepta-decanyl-2,7-carbazole-alt-5,5-(40,70-di-2-thienyl-20,10,30-benzothiadiazole)]', 'PCDTBT', 'PCDTBT']</t>
  </si>
  <si>
    <t xml:space="preserve">{"power conversion efficiency": {"entity_name": "PCE", "entity_start": 126, "entity_end": 126, "property_value_start": 142, "property_value_end": 143, "property_numeric_value": 2.25,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</si>
  <si>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10.1038/pj.2016.88</t>
  </si>
  <si>
    <t xml:space="preserve">BTzDT2FBT</t>
  </si>
  <si>
    <t xml:space="preserve">[*]c6ccc(c4c(F)c(F)c(c3ccc(c1c(OCCCCCCCCCCCCCC)c(OCCCCCCCCCCCCCC)c([*])c2nn(CCCCCCCCCCCCCC)nc12)s3)c5nsnc45)s6</t>
  </si>
  <si>
    <t xml:space="preserve">['BTzDT2FBT']</t>
  </si>
  <si>
    <t xml:space="preserve">{"power conversion efficiency": {"entity_name": "power conversion efficiency", "entity_start": 215, "entity_end": 217, "property_value_start": 220, "property_value_end": 221, "property_numeric_value": 7.0, "property_unit": "%", "property_value_descriptor": ""}, "open circuit voltage": {"entity_name": "open circuit voltage", "entity_start": 236, "entity_end": 238, "property_value_start": 240, "property_value_end": 241, "property_numeric_value": 0.75, "property_unit": "V", "property_value_descriptor": ""}, "short circuit current": {"entity_name": "short circuit current density", "entity_start": 226, "entity_end": 229, "property_value_start": 231, "property_value_end": 234, "property_numeric_value": 14.64, "property_unit": "mA cm^{-2}", "property_value_descriptor": ""}, "fill factor": {"entity_name": "fill factor", "entity_start": 243, "entity_end": 244, "property_value_start": 246, "property_value_end": 246, "property_numeric_value": 64.0,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</si>
  <si>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10.1016/j.polymer.2019.122131</t>
  </si>
  <si>
    <t xml:space="preserve">[*]c9cc8c(c1ccc(CC(CC)CCCC)s1)c6sc(c5sc(c3sc(c2sc([*])c(CCCCCCCC)c2F)c4c(=O)n(CC(CCCCCCCC)CCCCCCCCCC)c(=O)c34)c(F)c5CCCCCCCC)cc6c(c7ccc(CC(CC)CCCC)s7)c8s9</t>
  </si>
  <si>
    <t xml:space="preserve">Y6</t>
  </si>
  <si>
    <t xml:space="preserve">CCCCCCCCCCCc3c(C=c2c(=O)c1cc(F)c(F)cc1c2=C(C#N)C#N)sc%11c3sc%12c%10c4nsnc4c9c8sc7c(CCCCCCCCCCC)c(C=c6c(=O)c5cc(F)c(F)cc5c6=C(C#N)C#N)sc7c8n(CC(CC)CCCC)c9c%10n(CC(CC)CCCC)c%11%12</t>
  </si>
  <si>
    <t xml:space="preserve">['Y6']</t>
  </si>
  <si>
    <t xml:space="preserve">{"power conversion efficiency": {"entity_name": "PCE", "entity_start": 166, "entity_end": 166, "property_value_start": 168, "property_value_end": 169, "property_numeric_value": 11.64, "property_unit": "%", "property_value_descriptor": ""}, "open circuit voltage": {"entity_name": "V_{OC}", "entity_start": 210, "entity_end": 211, "property_value_start": 213, "property_value_end": 214, "property_numeric_value": 0.87, "property_unit": "V", "property_value_descriptor": ""}, "short circuit current": {"entity_name": "J_{SC}", "entity_start": 201, "entity_end": 202, "property_value_start": 204, "property_value_end": 208, "property_numeric_value": 22.97, "property_unit": "mA/cm^{2}", "property_value_descriptor": ""}, "fill factor": {"entity_name": "FF", "entity_start": 216, "entity_end": 216, "property_value_start": 218, "property_value_end": 219, "property_numeric_value": 58.0, "property_unit": "%", "property_value_descriptor": ""}, "highest occupied molecular orbital": {"entity_name": "highest occupied molecular orbital level", "entity_start": 30, "entity_end": 34, "property_value_start": 36, "property_value_end": 37, "property_numeric_value": -5.71, "property_unit": "eV", "property_value_descriptor": ""}, "lowest unoccupied molecular orbital": {}, "bandgap": {"entity_name": "bandgap", "entity_start": 22, "entity_end": 22, "property_value_start": 24, "property_value_end": 25, "property_numeric_value": 1.9, "property_unit": "eV", "property_value_descriptor": ""}, "hole mobility": {}, "electron mobility": {}, "external quantum efficiency": {}}</t>
  </si>
  <si>
    <t xml:space="preserve">['IT-4F']</t>
  </si>
  <si>
    <t xml:space="preserve">0.91 V</t>
  </si>
  <si>
    <t xml:space="preserve">10.36 mA/cm^{2}</t>
  </si>
  <si>
    <t xml:space="preserve">10.1016/j.polymer.2019.121850</t>
  </si>
  <si>
    <t xml:space="preserve">PTPTI-T-FBT</t>
  </si>
  <si>
    <t xml:space="preserve">[*]c1cc9c(s1)c8cc7c(=O)n(CC(CCCCCCCC)CCCCCCCCCC)c6cc(c5sc(c3c(F)c(F)c(c2cc(CCCCCC)c([*])s2)c4nsnc34)cc5CCCCCC)sc6c7cc8c(=O)n9CC(CCCCCCCC)CCCCCCCCCC</t>
  </si>
  <si>
    <t xml:space="preserve">['PTPTI-T-FBT']</t>
  </si>
  <si>
    <t xml:space="preserve">{"power conversion efficiency": {"entity_name": "PCE", "entity_start": 195, "entity_end": 195, "property_value_start": 197, "property_value_end": 198, "property_numeric_value": 7.92,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</si>
  <si>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10.1016/j.eurpolymj.2020.109799</t>
  </si>
  <si>
    <t xml:space="preserve">P1-2T</t>
  </si>
  <si>
    <t xml:space="preserve">[*]c7ccc(c6ccc(c4cc(/C=C/c2cc(c1cc(CC(CCCCCCCC)CCCCCCCCCC)cs1)sc2c3cc(CC(CCCCCCCC)CCCCCCCCCC)cs3)c([*])c5nsnc45)s6)s7</t>
  </si>
  <si>
    <t xml:space="preserve">['P1-2T']</t>
  </si>
  <si>
    <t xml:space="preserve">{"power conversion efficiency": {"entity_name": "PCE", "entity_start": 259, "entity_end": 259, "property_value_start": 264, "property_value_end": 265, "property_numeric_value": 0.95,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</si>
  <si>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P2-2T2F</t>
  </si>
  <si>
    <t xml:space="preserve">[*]c7cc(F)c(c6sc(c4cc(/C=C/c2cc(c1cc(CC(CCCCCCCC)CCCCCCCCCC)cs1)sc2c3cc(CC(CCCCCCCC)CCCCCCCCCC)cs3)c([*])c5nsnc45)cc6F)s7</t>
  </si>
  <si>
    <t xml:space="preserve">['P2-2T2F']</t>
  </si>
  <si>
    <t xml:space="preserve">{"power conversion efficiency": {"entity_name": "PCE", "entity_start": 270, "entity_end": 270, "property_value_start": 283, "property_value_end": 284, "property_numeric_value": 6.89,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</si>
  <si>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P3-4T2F</t>
  </si>
  <si>
    <t xml:space="preserve">[*]c9ccc(c7c(/C=C/c2cc(c1cc(CC(CCCCCCCC)CCCCCCCCCC)cs1)sc2c3cc(CC(CCCCCCCC)CCCCCCCCCC)cs3)cc(c6ccc(c5cc(F)c(c4sc([*])cc4F)s5)s6)c8nsnc78)s9</t>
  </si>
  <si>
    <t xml:space="preserve">['P3-4T2F']</t>
  </si>
  <si>
    <t xml:space="preserve">10.1016/j.reactfunctpolym.2019.104378</t>
  </si>
  <si>
    <t xml:space="preserve">PBDTT-TPD</t>
  </si>
  <si>
    <t xml:space="preserve">[*]c7cc6c(c1ccc(CCCCCCCCCCCC)s1)c4sc(c2sc([*])c3c(=O)n(CCCCCCCC)c(=O)c23)cc4c(c5ccc(CCCCCCCCCCCC)s5)c6s7</t>
  </si>
  <si>
    <t xml:space="preserve">['PBDTT-TPD']</t>
  </si>
  <si>
    <t xml:space="preserve">{"power conversion efficiency": {"entity_name": "PCE", "entity_start": 230, "entity_end": 230, "property_value_start": 232, "property_value_end": 233, "property_numeric_value": 6.17,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</si>
  <si>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10.1021/ma301362t</t>
  </si>
  <si>
    <t xml:space="preserve">[*]c5cc(CCCCCC)c(Cc4cc(CCCCCC)c(c3cc2c(OCC(CC)CCCC)c1sc([*])cc1c(OCC(CC)CCCC)c2s3)s4)s5</t>
  </si>
  <si>
    <t xml:space="preserve">{"power conversion efficiency": {"entity_name": "PCE", "entity_start": 341, "entity_end": 341, "property_value_start": 343, "property_value_end": 344, "property_numeric_value": 3.22,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267, "entity_end": 268, "property_value_start": 275, "property_value_end": 280, "property_numeric_value": 3.7800000000000004e-05, "property_unit": "cm^{2}(V s)", "property_value_descriptor": ""}, "electron mobility": {}, "external quantum efficiency": {}}</t>
  </si>
  <si>
    <t xml:space="preserve">10.1021/acs.macromol.5b00056</t>
  </si>
  <si>
    <t xml:space="preserve">PBDT2FBT-T3</t>
  </si>
  <si>
    <t xml:space="preserve">[*]c%13cc%12c(c3ccc(c2ccc(c1ccc(CC(CCCC)CCCCCC)s1)s2)s3)c8sc(c7sc(c5c(F)c(F)c(c4cc(CC(CC)CCCC)c([*])s4)c6nsnc56)cc7CC(CC)CCCC)cc8c(c%11ccc(c%10ccc(c9ccc(CC(CCCC)CCCCCC)s9)s%10)s%11)c%12s%13</t>
  </si>
  <si>
    <t xml:space="preserve">['PBDT2FBT-T1', 'PBDT2FBT-T3', 'PBDT2FBT-T4']</t>
  </si>
  <si>
    <t xml:space="preserve">{"power conversion efficiency": {"entity_name": "power conversion efficiency", "entity_start": 183, "entity_end": 185, "property_value_start": 187, "property_value_end": 188, "property_numeric_value": 6.48, "property_unit": "%", "property_value_descriptor": ""}, "open circuit voltage": {}, "short circuit current": {"entity_name": "short-circuit current density", "entity_start": 155, "entity_end": 159, "property_value_start": 162, "property_value_end": 165, "property_numeric_value": 12.5,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</si>
  <si>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10.1021/acs.macromol.7b00778</t>
  </si>
  <si>
    <t xml:space="preserve">12OD(L)</t>
  </si>
  <si>
    <t xml:space="preserve">[*]c%11ccc(c%10ccc9c(=c7c(=O)n(CC(CCCCCCCC)CCCCCCCCCC)c8cc(c6cc(CCCCCCCCCCCC)c(c5cc4ccc3c2ccc1cc([*])sc1c2ccc3c4s5)s6)ccc78)c(=O)n(CC(CCCCCCCC)CCCCCCCCCC)c9c%10)s%11</t>
  </si>
  <si>
    <t xml:space="preserve">['12OD (L)', '12OD (L)-based']</t>
  </si>
  <si>
    <t xml:space="preserve">{"power conversion efficiency": {"entity_name": "PCE", "entity_start": 167, "entity_end": 167, "property_value_start": 190, "property_value_end": 191,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</si>
  <si>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12OD (H)</t>
  </si>
  <si>
    <t xml:space="preserve">['12OD (H)', '12OD (H)-based']</t>
  </si>
  <si>
    <t xml:space="preserve">10.1021/acs.macromol.9b02395</t>
  </si>
  <si>
    <t xml:space="preserve">PTBT-Cl</t>
  </si>
  <si>
    <t xml:space="preserve">[*]c%10ccc(c8sc(c6ccc(c5cc4c(c1cc(CC(CC)CCCC)c(Cl)s1)c2sc([*])cc2c(c3cc(CC(CC)CCCC)c(Cl)s3)c4s5)s6)c9c(=O)c7c(CC(CC)CCCC)sc(CC(CC)CCCC)c7c(=O)c89)s%10</t>
  </si>
  <si>
    <t xml:space="preserve">['PTBT', 'PTBT-Cl']</t>
  </si>
  <si>
    <t xml:space="preserve">{"power conversion efficiency": {"entity_name": "PCE", "entity_start": 172, "entity_end": 172, "property_value_start": 174, "property_value_end": 175, "property_numeric_value": 12.31, "property_unit": "%", "property_value_descriptor": ""}, "open circuit voltage": {}, "short circuit current": {"entity_name": "J_{sc}", "entity_start": 186, "entity_end": 187, "property_value_start": 190, "property_value_end": 193, "property_numeric_value": 23.73, "property_unit": "mA cm^{-2}", "property_value_descriptor": ""}, "fill factor": {"entity_name": "FF", "entity_start": 199, "entity_end": 199, "property_value_start": 202, "property_value_end": 203, "property_numeric_value": 62.53, "property_unit": "%", "property_value_descriptor": ""}, "highest occupied molecular orbital": {"entity_name": "HOMO) leve", "entity_start": 108, "entity_end": 110, "property_value_start": 113, "property_value_end": 114, "property_numeric_value": 5.46, "property_unit": "eV", "property_value_descriptor": ""}, "lowest unoccupied molecular orbital": {}, "bandgap": {}, "hole mobility": {}, "electron mobility": {}, "external quantum efficiency": {}}</t>
  </si>
  <si>
    <t xml:space="preserve">10.1021/acs.macromol.6b01414</t>
  </si>
  <si>
    <t xml:space="preserve">["poly[4,8-bis(5-(2-ethylhexyl)thiophen-2-yl)benzo[1,2-b:4,5-b']dithiophene-alt-5-octyl-4H-thieno[3,4-c]pyrrole-4,6(5H)-dione]", 'PBDTTTPD']</t>
  </si>
  <si>
    <t xml:space="preserve">P(NDI2OD-T2F)</t>
  </si>
  <si>
    <t xml:space="preserve">[*]c6cc(F)c(c5sc(c1cc3c(=O)n(CC(CCCCCCCC)CCCCCCCCCC)c(=O)c4c([*])cc2c(=O)n(CC(CCCCCCCC)CCCCCCCCCC)c(=O)c1c2c34)cc5F)s6</t>
  </si>
  <si>
    <t xml:space="preserve">["poly[(N,N'-bis(2-octyldodecyl)naphthalene-1,4,5,8-bis(dicarboximide)-2,6-diyl)-alt-5,5'-(3,3'-difluoro-2,2'-bithiophene)]", 'P(NDI2OD-T2F)', 'P(NDI2OD-T2F)-based']</t>
  </si>
  <si>
    <t xml:space="preserve">4.45 mA cm^{-2}</t>
  </si>
  <si>
    <t xml:space="preserve">{"power conversion efficiency": {"entity_name": "PCE", "entity_start": 136, "entity_end": 136, "property_value_start": 149, "property_value_end": 150, "property_numeric_value": 6.09,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</si>
  <si>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["poly[(N,N'-bis(2-octyldodecyl)naphthalene-1,4,5,8-bis(dicarboximide)-2,6-diyl)-alt-5,5'-(3,3'-difluoro-2,2'-bithiophene)]", 'P(NDI2OD-T2)', 'P(NDI2OD-T2F)-based']</t>
  </si>
  <si>
    <t xml:space="preserve">11.68 mA cm^{-2}</t>
  </si>
  <si>
    <t xml:space="preserve">{"power conversion efficiency": {}, "open circuit voltage": {"entity_name": "V_{OC}", "entity_start": 152, "entity_end": 153, "property_value_start": 155, "property_value_end": 156, "property_numeric_value": 1.0,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</si>
  <si>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10.1021/acs.macromol.8b01677</t>
  </si>
  <si>
    <t xml:space="preserve">ran-PThE</t>
  </si>
  <si>
    <t xml:space="preserve">[*]c6cc(C(=O)OCC)c(c5cc4c(c1ccc(CC(CC)CCCC)s1)c2sc([*])cc2c(c3ccc(CC(CC)CCCC)s3)c4s5)s6</t>
  </si>
  <si>
    <t xml:space="preserve">['ran-PThE-based', 'ran-PThE']</t>
  </si>
  <si>
    <t xml:space="preserve">ITTC</t>
  </si>
  <si>
    <t xml:space="preserve">['ITTC']</t>
  </si>
  <si>
    <t xml:space="preserve">{"power conversion efficiency": {"entity_name": "PCEs", "entity_start": 141, "entity_end": 141, "property_value_start": 146, "property_value_end": 147, "property_numeric_value": 8.38,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</si>
  <si>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FTIC</t>
  </si>
  <si>
    <t xml:space="preserve">CCCCCCCCC7(CCCCCCCC)c3cc2c1cc%11c(cc1C(CCCCCC)(CCCCCC)c2cc3c6sc(C=c5c(=O)c4ccccc4c5=C(C#N)C#N)cc67)c%10sc(C=c9c(=O)c8ccccc8c9=C(C#N)C#N)cc%10C%11(CCCCCCCC)CCCCCCCC</t>
  </si>
  <si>
    <t xml:space="preserve">['FTIC']</t>
  </si>
  <si>
    <t xml:space="preserve">{"power conversion efficiency": {"entity_name": "PCE", "entity_start": 128, "entity_end": 128, "property_value_start": 130, "property_value_end": 131, "property_numeric_value": 9.89,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</si>
  <si>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reg-PThE</t>
  </si>
  <si>
    <t xml:space="preserve">[*]c%12cc(C(=O)OCC)c(c%11cc%10c(c1ccc(CC(CC)CCCC)s1)c8sc(c7sc(c6cc5c(c2ccc(CC(CC)CCCC)s2)c3sc([*])cc3c(c4ccc(CC(CC)CCCC)s4)c5s6)cc7C(=O)OCC)cc8c(c9ccc(CC(CC)CCCC)s9)c%10s%11)s%12</t>
  </si>
  <si>
    <t xml:space="preserve">['reg-PThE', 'reg-PThE-']</t>
  </si>
  <si>
    <t xml:space="preserve">{"power conversion efficiency": {"entity_name": "PCEs", "entity_start": 141, "entity_end": 141, "property_value_start": 143, "property_value_end": 144, "property_numeric_value": 11.21,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</si>
  <si>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['reg-PThE']</t>
  </si>
  <si>
    <t xml:space="preserve">{"power conversion efficiency": {"entity_name": "PCE", "entity_start": 178, "entity_end": 178, "property_value_start": 180, "property_value_end": 181, "property_numeric_value": 8.69,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</si>
  <si>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10.1021/acs.macromol.5b00622</t>
  </si>
  <si>
    <t xml:space="preserve">BOBO</t>
  </si>
  <si>
    <t xml:space="preserve">[*]c%11cc%10ccc9c8ccc7cc(c6sc(c5ccc4c(=c2c(=O)n(CC(CCCC)CCCCCC)c3cc(c1cc(CC(CCCC)CCCCCC)c([*])s1)ccc23)c(=O)n(CC(CCCC)CCCCCC)c4c5)cc6CC(CCCC)CCCCCC)sc7c8ccc9c%10s%11</t>
  </si>
  <si>
    <t xml:space="preserve">['BOBO']</t>
  </si>
  <si>
    <t xml:space="preserve">{"power conversion efficiency": {"entity_name": "PCE", "entity_start": 235, "entity_end": 235, "property_value_start": 238, "property_value_end": 239, "property_numeric_value": 5.28,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</si>
  <si>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10.1021/ma100616f</t>
  </si>
  <si>
    <t xml:space="preserve">PSiFDTA</t>
  </si>
  <si>
    <t xml:space="preserve">[*]c8ccc(C(c3ccc(/C=C/c2ccc(C=c1c(=O)n(CC)c(=S)n(CC)c1=O)s2)cc3)c7ccc(c6ccc5c4ccc([*])cc4[Si](CCCCCCCC)(CCCCCCCC)c5c6)cc7)cc8</t>
  </si>
  <si>
    <t xml:space="preserve">['PSiFDTA']</t>
  </si>
  <si>
    <t xml:space="preserve">{"power conversion efficiency": {"entity_name": "PCE", "entity_start": 132, "entity_end": 132, "property_value_start": 138, "property_value_end": 139, "property_numeric_value": 3.15, "property_unit": "%", "property_value_descriptor": ""}, "open circuit voltage": {}, "short circuit current": {}, "fill factor": {}, "highest occupied molecular orbital": {}, "lowest unoccupied molecular orbital": {}, "bandgap": {"entity_name": "band gap", "entity_start": 80, "entity_end": 81, "property_value_start": 89, "property_value_end": 90, "property_numeric_value": 1.74, "property_unit": "eV", "property_value_descriptor": ""}, "hole mobility": {}, "electron mobility": {}, "external quantum efficiency": {}}</t>
  </si>
  <si>
    <t xml:space="preserve">PSiFDCN</t>
  </si>
  <si>
    <t xml:space="preserve">[*]c7ccc(C(c2ccc(/C=C/c1ccc(/C=C(C#N)/C#N)s1)cc2)c6ccc(c5ccc4c3ccc([*])cc3[Si](CCCCCCCC)(CCCCCCCC)c4c5)cc6)cc7</t>
  </si>
  <si>
    <t xml:space="preserve">['PSiFDCN']</t>
  </si>
  <si>
    <t xml:space="preserve">10.1021/acs.macromol.0c00520</t>
  </si>
  <si>
    <t xml:space="preserve">poly(dendrimer)</t>
  </si>
  <si>
    <t xml:space="preserve">[*]=CC8CC(C=[*])C(C(=O)OCCCOc7ccc(N(c1ccccc1)c6cc(N(c2ccccc2)c3ccc(OC)cc3)cc(N(c4ccccc4)c5ccc(OC)cc5)c6)cc7)C8</t>
  </si>
  <si>
    <t xml:space="preserve">['poly(dendrimer)', 'poly(dendrimer)s']</t>
  </si>
  <si>
    <t xml:space="preserve">{"power conversion efficiency": {"entity_name": "PCE", "entity_start": 230, "entity_end": 230, "property_value_start": 231, "property_value_end": 232, "property_numeric_value": 2.1, "property_unit": "%", "property_value_descriptor": ""}, "open circuit voltage": {}, "short circuit current": {}, "fill factor": {"entity_name": "fill factor", "entity_start": 224, "entity_end": 225, "property_value_start": 227, "property_value_end": 227, "property_numeric_value": 65.0, "property_unit": "%", "property_value_descriptor": ""}, "highest occupied molecular orbital": {}, "lowest unoccupied molecular orbital": {}, "bandgap": {}, "hole mobility": {"entity_name": "hole mobilities", "entity_start": 99, "entity_end": 100, "property_value_start": 102, "property_value_end": 106, "property_numeric_value": 0.001, "property_unit": "cm^{2}(V s)", "property_value_descriptor": "~"}, "electron mobility": {}, "external quantum efficiency": {}}</t>
  </si>
  <si>
    <t xml:space="preserve">10.1021/acs.macromol.5b01845</t>
  </si>
  <si>
    <t xml:space="preserve">SF-PCDTBT-b-P3HT</t>
  </si>
  <si>
    <t xml:space="preserve">['SF-PCDTBT-b-P3HT']</t>
  </si>
  <si>
    <t xml:space="preserve">poly(3-hexylthiophene) P3HT; SF-PCDTBT-b-P3HT</t>
  </si>
  <si>
    <t xml:space="preserve">{"power conversion efficiency": {"entity_name": "power conversion efficiency", "entity_start": 347, "entity_end": 349, "property_value_start": 351, "property_value_end": 352, "property_numeric_value": 1.0, "property_unit": "%", "property_value_descriptor": "~"}, "open circuit voltage": {"entity_name": "open-circuit voltage", "entity_start": 338, "entity_end": 341, "property_value_start": 343, "property_value_end": 344, "property_numeric_value": 1.1,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</si>
  <si>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10.1021/acs.macromol.9b01569</t>
  </si>
  <si>
    <t xml:space="preserve">PfBTAZT-Cl</t>
  </si>
  <si>
    <t xml:space="preserve">[*]c%10ccc(c8c1cc(F)sc1c(c7ccc(c6cc5c(c2cc(Cl)c(CC(CC)CCCC)s2)c3sc([*])cc3c(c4cc(Cl)c(CC(CC)CCCC)s4)c5s6)s7)c9nn(CC(CCCCCC)CCCCCCCC)nc89)s%10</t>
  </si>
  <si>
    <t xml:space="preserve">['PfBTAZT-Cl']</t>
  </si>
  <si>
    <t xml:space="preserve">['BTA3', 'BTA3-based']</t>
  </si>
  <si>
    <t xml:space="preserve">{"power conversion efficiency": {"entity_name": "PCE", "entity_start": 206, "entity_end": 206, "property_value_start": 208, "property_value_end": 209, "property_numeric_value": 8.0, "property_unit": "%", "property_value_descriptor": ""}, "open circuit voltage": {"entity_name": "V_{OC}", "entity_start": 200, "entity_end": 201, "property_value_start": 203, "property_value_end": 204, "property_numeric_value": 1.2, "property_unit": "V", "property_value_descriptor": ""}, "short circuit current": {"entity_name": "J_{SC}", "entity_start": 152, "entity_end": 153, "property_value_start": 155, "property_value_end": 158, "property_numeric_value": 11.6,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</si>
  <si>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PfBTAZT-H</t>
  </si>
  <si>
    <t xml:space="preserve">[*]c%10ccc(c8c1cc(F)sc1c(c7ccc(c6cc5c(c2ccc(CC(CC)CCCC)s2)c3sc([*])cc3c(c4ccc(CC(CC)CCCC)s4)c5s6)s7)c9nn(CC(CCCCCC)CCCCCCCC)nc89)s%10</t>
  </si>
  <si>
    <t xml:space="preserve">['PfBTAZT-H']</t>
  </si>
  <si>
    <t xml:space="preserve">0.99 V</t>
  </si>
  <si>
    <t xml:space="preserve">11.60 mA cm^{-2}</t>
  </si>
  <si>
    <t xml:space="preserve">{"power conversion efficiency": {"entity_name": "PCE", "entity_start": 165, "entity_end": 165, "property_value_start": 167, "property_value_end": 168, "property_numeric_value": 6.65, "property_unit": "%", "property_value_descriptor": ""}, "open circuit voltage": {}, "short circuit current": {"entity_name": "J_{SC}", "entity_start": 113, "entity_end": 114, "property_value_start": 116, "property_value_end": 119, "property_numeric_value": 11.83,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</si>
  <si>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PfBTAZT-F</t>
  </si>
  <si>
    <t xml:space="preserve">[*]c%10ccc(c8c1cc(F)sc1c(c7ccc(c6cc5c(c2cc(F)c(CC(CC)CCCC)s2)c3sc([*])cc3c(c4cc(F)c(CC(CC)CCCC)s4)c5s6)s7)c9nn(CC(CCCCCC)CCCCCCCC)nc89)s%10</t>
  </si>
  <si>
    <t xml:space="preserve">['PfBTAZT-F']</t>
  </si>
  <si>
    <t xml:space="preserve">1.05 V</t>
  </si>
  <si>
    <t xml:space="preserve">{"power conversion efficiency": {}, "open circuit voltage": {}, "short circuit current": {}, "fill factor": {"entity_name": "FF", "entity_start": 160, "entity_end": 160, "property_value_start": 162, "property_value_end": 162, "property_numeric_value": 57.99999999999999,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</si>
  <si>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10.1021/acs.macromol.0c00633</t>
  </si>
  <si>
    <t xml:space="preserve">CD1</t>
  </si>
  <si>
    <t xml:space="preserve">[*]c9ccc(c7c(F)c(F)c(c6ccc(c5cc4c(c1ccc(SCC(CCCC)CCCCCC)s1)c2sc([*])cc2c(c3ccc(SCC(CCCC)CCCCCC)s3)c4s5)s6)c8nn(CC(CCCCCC)CCCCCCCC)nc78)s9</t>
  </si>
  <si>
    <t xml:space="preserve">['CD1', "poly[4-(5-(4,8-bis(5-((2-butyloctyl)thio)thiophen-2-yl)-6- methylbenzo[1,2-b:4,5-b′]dithiophen-2-yl)thiophen-2-yl)-5,6-difluoro-2-(2-hexyldecyl)-7-(5-methylthiophen-2-yl)-2H-benzo[d][1,2,3]triazole]"]</t>
  </si>
  <si>
    <t xml:space="preserve">PBN-12</t>
  </si>
  <si>
    <t xml:space="preserve">[*]c8cc6c7c5c(cc(c4ccc(c2ccc(c1ccc([*])s1)c3nsnc23)s4)c[n+]5[B-](F)(F)N6CC(CCCCCCCCCC)CCCCCCCCCCCC)N(CC(CCCCCCCCCC)CCCCCCCCCCCC)[B-](F)(F)[n+]7c8</t>
  </si>
  <si>
    <t xml:space="preserve">["poly[4-(5-(5-(2-decyltetradecyl)-10-(2-dodecylhexadecyl)-4,4,9,9-tetrafluoro-2-methyl-4,5,9,10-tetrahydro-3a,5,8a,10-tetraaza-4,9-diborapyren-7-yl)thiophen-2-yl)-7-(5-methylthiophen-2-yl)benzo[c][1,2,5]thiadiazole]", 'PBN-12']</t>
  </si>
  <si>
    <t xml:space="preserve">{"power conversion efficiency": {"entity_name": "power conversion efficiency", "entity_start": 179, "entity_end": 181, "property_value_start": 188, "property_value_end": 189,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</si>
  <si>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10.1021/acs.macromol.9b01394</t>
  </si>
  <si>
    <t xml:space="preserve">rr-PBN</t>
  </si>
  <si>
    <t xml:space="preserve">[*]c8ccc(c7c6c(=O)n(CC(CCCCCCCCCC)CCCCCCCCCCCC)c(c5ccc(c4cnc(c1sc([*])cc1B(c2ccccc2)c3ccccc3)s4)cn5)c6c(=O)n7CC(CCCCCCCCCC)CCCCCCCCCCCC)nc8</t>
  </si>
  <si>
    <t xml:space="preserve">['rr-PBN']</t>
  </si>
  <si>
    <t xml:space="preserve">='6.6%'</t>
  </si>
  <si>
    <t xml:space="preserve">{"power conversion efficiency": {"entity_name": "PCEs", "entity_start": 207, "entity_end": 207, "property_value_start": 210, "property_value_end": 213, "property_numeric_value": 5.9, "property_unit": "%", "property_value_descriptor": "-"}, "open circuit voltage": {}, "short circuit current": {}, "fill factor": {}, "highest occupied molecular orbital": {}, "lowest unoccupied molecular orbital": {}, "bandgap": {}, "hole mobility": {}, "electron mobility": {"entity_name": "electron mobility", "entity_start": 120, "entity_end": 121, "property_value_start": 123, "property_value_end": 131, "property_numeric_value": 0.00022000000000000003, "property_unit": "cm^{2} V^{-1} s^{-1}", "property_value_descriptor": ""}, "external quantum efficiency": {}}</t>
  </si>
  <si>
    <t xml:space="preserve">='6.42%'</t>
  </si>
  <si>
    <t xml:space="preserve">PffBT4T-2OD </t>
  </si>
  <si>
    <t xml:space="preserve">='5.25%'</t>
  </si>
  <si>
    <t xml:space="preserve">10.1021/ma2026463</t>
  </si>
  <si>
    <t xml:space="preserve">{"power conversion efficiency": {"entity_name": "power conversion efficiency", "entity_start": 217, "entity_end": 219, "property_value_start": 221, "property_value_end": 222, "property_numeric_value": 3.05, "property_unit": "%", "property_value_descriptor": ""}, "open circuit voltage": {"entity_name": "open circuit voltage", "entity_start": 226, "entity_end": 228, "property_value_start": 230, "property_value_end": 231, "property_numeric_value": 0.93, "property_unit": "V", "property_value_descriptor": ""}, "short circuit current": {}, "fill factor": {}, "highest occupied molecular orbital": {"entity_name": "HOMO energy", "entity_start": 163, "entity_end": 164, "property_value_start": 167, "property_value_end": 168, "property_numeric_value": -5.26, "property_unit": "eV", "property_value_descriptor": ""}, "lowest unoccupied molecular orbital": {}, "bandgap": {}, "hole mobility": {}, "electron mobility": {}, "external quantum efficiency": {}}</t>
  </si>
  <si>
    <t xml:space="preserve">PT4TV-C</t>
  </si>
  <si>
    <t xml:space="preserve">[*]c5ccc(c4ccc(c2sc(c1ccc([*])s1)cc2/C=C\c3ccc(C(=O)C(CCCCCC)CCCCCCC)s3)s4)s5</t>
  </si>
  <si>
    <t xml:space="preserve">10.1021/ma301900h</t>
  </si>
  <si>
    <t xml:space="preserve">{"power conversion efficiency": {"entity_name": "PCE", "entity_start": 32, "entity_end": 32, "property_value_start": 35, "property_value_end": 36, "property_numeric_value": 6.67,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</si>
  <si>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10.1021/acsapm.0c00336</t>
  </si>
  <si>
    <t xml:space="preserve">PDI</t>
  </si>
  <si>
    <t xml:space="preserve">{"power conversion efficiency": {"entity_name": "power conversion efficiency", "entity_start": 256, "entity_end": 258, "property_value_start": 260, "property_value_end": 261, "property_numeric_value": 3.96, "property_unit": "%", "property_value_descriptor": ""}, "open circuit voltage": {"entity_name": "V_{oc}", "entity_start": 224, "entity_end": 226, "property_value_start": 228, "property_value_end": 229, "property_numeric_value": 0.94, "property_unit": "V", "property_value_descriptor": ""}, "short circuit current": {}, "fill factor": {}, "highest occupied molecular orbital": {}, "lowest unoccupied molecular orbital": {}, "bandgap": {"entity_name": "band gap", "entity_start": 198, "entity_end": 199, "property_value_start": 202, "property_value_end": 203, "property_numeric_value": -4.0, "property_unit": "eV", "property_value_descriptor": ""}, "hole mobility": {}, "electron mobility": {}, "external quantum efficiency": {}}</t>
  </si>
  <si>
    <t xml:space="preserve">10.1021/mz300197c</t>
  </si>
  <si>
    <t xml:space="preserve">P3HTT-TPD-15 %</t>
  </si>
  <si>
    <t xml:space="preserve">[*]c4cc(CCCCCC)c(c3ccc(c1sc([*])c2c(=O)n(CCCCCCCC)c(=O)c12)s3)s4</t>
  </si>
  <si>
    <t xml:space="preserve">['P3HTT-TPD-15 %']</t>
  </si>
  <si>
    <t xml:space="preserve">{"power conversion efficiency": {"entity_name": "Power conversion efficiencies", "entity_start": 278, "entity_end": 280, "property_value_start": 300, "property_value_end": 301, "property_numeric_value": 2.22, "property_unit": "%", "property_value_descriptor": ""}, "open circuit voltage": {}, "short circuit current": {"entity_name": "short-circuit current densities", "entity_start": 332, "entity_end": 336, "property_value_start": 338, "property_value_end": 342, "property_numeric_value": 16.0, "property_unit": "mA/cm^{2}", "property_value_descriptor": ""}, "fill factor": {}, "highest occupied molecular orbital": {}, "lowest unoccupied molecular orbital": {}, "bandgap": {}, "hole mobility": {}, "electron mobility": {}, "external quantum efficiency": {"entity_name": "EQE", "entity_start": 248, "entity_end": 248, "property_value_start": 255, "property_value_end": 256, "property_numeric_value": 68.0, "property_unit": "%", "property_value_descriptor": ""}}</t>
  </si>
  <si>
    <t xml:space="preserve">P3HTT-TPD-DPP </t>
  </si>
  <si>
    <t xml:space="preserve">[*]c8ccc(c7c6c(=O)n(CC(CC)CCCC)c(c5ccc(c4ccc(c2sc(c1sc([*])cc1CCCCCC)c3c(=O)n(CCCCCCCC)c(=O)c23)s4)s5)c6c(=O)n7CC(CC)CCCC)s8</t>
  </si>
  <si>
    <t xml:space="preserve">['P3HTT-TPD-DPP']</t>
  </si>
  <si>
    <t xml:space="preserve">10.1021/mz500415a</t>
  </si>
  <si>
    <t xml:space="preserve">{"power conversion efficiency": {"entity_name": "power conversion efficiencies", "entity_start": 10, "entity_end": 12, "property_value_start": 15, "property_value_end": 16, "property_numeric_value": 4.5,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</si>
  <si>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10.1021/acsmacrolett.5b00052</t>
  </si>
  <si>
    <t xml:space="preserve">PBDTchDTBT</t>
  </si>
  <si>
    <t xml:space="preserve">[*]c9cc8c(OCC(CCCCCC)CCCCCCCC)c7sc(c5sc(c3ccc(c2cc(C1CCCCC1)c([*])s2)c4nsnc34)cc5C6CCCCC6)cc7c(OCC(CCCCCC)CCCCCCCC)c8s9</t>
  </si>
  <si>
    <t xml:space="preserve">['PBDTchDTBT']</t>
  </si>
  <si>
    <t xml:space="preserve">{"power conversion efficiency": {"entity_name": "power conversion efficiency", "entity_start": 116, "entity_end": 118, "property_value_start": 120, "property_value_end": 121, "property_numeric_value": 7.9, "property_unit": "%", "property_value_descriptor": ""}, "open circuit voltage": {"entity_name": "open-circuit voltage", "entity_start": 127, "entity_end": 130, "property_value_start": 132, "property_value_end": 133, "property_numeric_value": 0.8, "property_unit": "V", "property_value_descriptor": ""}, "short circuit current": {"entity_name": "short-circuit current density", "entity_start": 135, "entity_end": 139, "property_value_start": 141, "property_value_end": 144, "property_numeric_value": 13.5, "property_unit": "mA cm^{-2}", "property_value_descriptor": ""}, "fill factor": {"entity_name": "fill factor", "entity_start": 147, "entity_end": 148, "property_value_start": 150, "property_value_end": 151, "property_numeric_value": 72.74, "property_unit": "%", "property_value_descriptor": ""}, "highest occupied molecular orbital": {"entity_name": "HOMO energy level", "entity_start": 43, "entity_end": 45, "property_value_start": 51, "property_value_end": 52, "property_numeric_value": -5.22, "property_unit": "eV", "property_value_descriptor": ""}, "lowest unoccupied molecular orbital": {}, "bandgap": {"entity_name": "optical bandgap", "entity_start": 64, "entity_end": 65, "property_value_start": 67, "property_value_end": 68, "property_numeric_value": 1.72, "property_unit": "eV", "property_value_descriptor": ""}, "hole mobility": {"entity_name": "hole mobility", "entity_start": 71, "entity_end": 72, "property_value_start": 74, "property_value_end": 80, "property_numeric_value": 1e-05, "property_unit": "cm^{2} V^{-1} s^{-1}", "property_value_descriptor": ""}, "electron mobility": {}, "external quantum efficiency": {}}</t>
  </si>
  <si>
    <t xml:space="preserve">10.1021/acsmacrolett.0c00234</t>
  </si>
  <si>
    <t xml:space="preserve">A701</t>
  </si>
  <si>
    <t xml:space="preserve">[*]c%17ccc%16c(=O)c(=Cc%15sc%13c(sc%14c%12c1nsnc1c%11c%10sc9c(CCCCCCCCCCC)c(C=c8c(=O)c7cc(c6cc5c(c2cc(CCCCCC)c(CC(CC)CCCC)s2)c3sc([*])cc3c(c4cc(CCCCCC)c(CC(CC)CCCC)s4)c5s6)ccc7c8=C(C#N)C#N)sc9c%10n(CC(CCCC)CCCCCC)c%11c%12n(CC(CCCC)CCCCCC)c%13%14)c%15CCCCCCCCCCC)c(=C(C#N)C#N)c%16c%17</t>
  </si>
  <si>
    <t xml:space="preserve">['A701']</t>
  </si>
  <si>
    <t xml:space="preserve">{"power conversion efficiency": {"entity_name": "PCE", "entity_start": 193, "entity_end": 193, "property_value_start": 196, "property_value_end": 197, "property_numeric_value": 10.7, "property_unit": "%", "property_value_descriptor": ""}, "open circuit voltage": {"entity_name": "V_{OC}", "entity_start": 152, "entity_end": 153, "property_value_start": 156, "property_value_end": 157, "property_numeric_value": 0.92, "property_unit": "V", "property_value_descriptor": ""}, "short circuit current": {"entity_name": "J_{SC}", "entity_start": 165, "entity_end": 166, "property_value_start": 169, "property_value_end": 172, "property_numeric_value": 18.27, "property_unit": "mA cm^{-2}", "property_value_descriptor": ""}, "fill factor": {"entity_name": "FF", "entity_start": 179, "entity_end": 179, "property_value_start": 182, "property_value_end": 182, "property_numeric_value": 64.0, "property_unit": "%", "property_value_descriptor": ""}, "highest occupied molecular orbital": {}, "lowest unoccupied molecular orbital": {"entity_name": "the lowest unoccupied molecular orbital) leve", "entity_start": 86, "entity_end": 92, "property_value_start": 94, "property_value_end": 95, "property_numeric_value": -3.8, "property_unit": "eV", "property_value_descriptor": ""}, "bandgap": {"entity_name": "bandgap", "entity_start": 60, "entity_end": 60, "property_value_start": 62, "property_value_end": 63, "property_numeric_value": 1.42, "property_unit": "eV", "property_value_descriptor": ""}, "hole mobility": {}, "electron mobility": {}, "external quantum efficiency": {}}</t>
  </si>
  <si>
    <t xml:space="preserve">10.1007/s10118-020-2426-6</t>
  </si>
  <si>
    <t xml:space="preserve">CDI-V</t>
  </si>
  <si>
    <t xml:space="preserve">[*]/C=C/c1cc2cc8c(=O)n(C(CCCCCC)CCCCCC)c(=O)c9cc3c([*])cc4cc6c(=O)n(C(CCCCCC)CCCCCC)c(=O)c7cc1c5c2c(c3c4c5c67)c89</t>
  </si>
  <si>
    <t xml:space="preserve">['CDI-V']</t>
  </si>
  <si>
    <t xml:space="preserve">9.5 mA·cm^{2}</t>
  </si>
  <si>
    <t xml:space="preserve">{"power conversion efficiency": {"entity_name": "PCE", "entity_start": 216, "entity_end": 216, "property_value_start": 218, "property_value_end": 219, "property_numeric_value": 4.63, "property_unit": "%", "property_value_descriptor": ""}, "open circuit voltage": {"entity_name": "V_{oc}", "entity_start": 133, "entity_end": 134, "property_value_start": 137, "property_value_end": 138, "property_numeric_value": 1.05,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</si>
  <si>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10.1039/c9py01781j</t>
  </si>
  <si>
    <t xml:space="preserve">='P-o-DFBT'</t>
  </si>
  <si>
    <t xml:space="preserve">[*]c7ccc(/C(C#N)=C/c6cc(OCC(CC)CCCC)c(/C=C(C#N)/c5ccc(c4sc(c2c(F)c(F)c(c1cc(CC(CCCCCCCC)CCCCCCCCCC)c([*])s1)c3nsnc23)cc4CC(CCCCCCCC)CCCCCCCCCC)s5)cc6OCC(CC)CCCC)s7</t>
  </si>
  <si>
    <t xml:space="preserve">ITIC-4F</t>
  </si>
  <si>
    <t xml:space="preserve">='9.98%'</t>
  </si>
  <si>
    <t xml:space="preserve">{"power conversion efficiency": {"entity_name": "PCE", "entity_start": 271, "entity_end": 271, "property_value_start": 274, "property_value_end": 275, "property_numeric_value": 6.67,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</si>
  <si>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10.1038/pj.2015.65</t>
  </si>
  <si>
    <t xml:space="preserve">poly(ethylene glycol)</t>
  </si>
  <si>
    <t xml:space="preserve">[*]CCO[*]</t>
  </si>
  <si>
    <t xml:space="preserve">['poly(ethylene glycol)', 'PEG']</t>
  </si>
  <si>
    <t xml:space="preserve">['fullerene', 'C_{60} fullerene', 'C_{60}']</t>
  </si>
  <si>
    <t xml:space="preserve">{"power conversion efficiency": {"entity_name": "PCE", "entity_start": 231, "entity_end": 231, "property_value_start": 236, "property_value_end": 240, "property_numeric_value": 0.0012,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</si>
  <si>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10.1038/s41428-019-0197-0</t>
  </si>
  <si>
    <t xml:space="preserve">['Poly(3-hexylthiophene)']</t>
  </si>
  <si>
    <t xml:space="preserve">BP(DPPB)_{4}</t>
  </si>
  <si>
    <t xml:space="preserve">CCCCC(CC)Cn%22c(c2ccc(c1ccccc1)s2)c%21c(=O)n(CC(CC)CCCC)c(c%20ccc(c%19cc(c%13cc(c7ccc(c6c5c(=O)n(CC(CC)CCCC)c(c4ccc(c3ccccc3)s4)c5c(=O)n6CC(CC)CCCC)s7)cc(c%12ccc(c%11c%10c(=O)n(CC(CC)CCCC)c(c9ccc(c8ccccc8)s9)c%10c(=O)n%11CC(CC)CCCC)s%12)c%13)cc(c%18ccc(c%17c%16c(=O)n(CC(CC)CCCC)c(c%15ccc(c%14ccccc%14)s%15)c%16c(=O)n%17CC(CC)CCCC)s%18)c%19)s%20)c%21c%22=O</t>
  </si>
  <si>
    <t xml:space="preserve">['BP(DPPB)_{4}']</t>
  </si>
  <si>
    <t xml:space="preserve">{"power conversion efficiency": {"entity_name": "power conversion efficiency", "entity_start": 83, "entity_end": 85, "property_value_start": 87, "property_value_end": 88, "property_numeric_value": 1.43, "property_unit": "%", "property_value_descriptor": ""}, "open circuit voltage": {"entity_name": "V_{oc}", "entity_start": 97, "entity_end": 99, "property_value_start": 101, "property_value_end": 102, "property_numeric_value": 1.17,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</si>
  <si>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10.1002/app.37852</t>
  </si>
  <si>
    <t xml:space="preserve">HPL1</t>
  </si>
  <si>
    <t xml:space="preserve">[*]c5ccc(c4ccc(c3ccc(c2sc(c1cc(CCCCCCCCCCCC)c([*])s1)cc2CCCCCCCCCCCC)s3)s4)s5</t>
  </si>
  <si>
    <t xml:space="preserve">['HPL1']</t>
  </si>
  <si>
    <t xml:space="preserve">0.6 V</t>
  </si>
  <si>
    <t xml:space="preserve">2.79 mA cm^{-2}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</si>
  <si>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 gap", "entity_start": 36, "entity_end": 38, "property_value_start": 58, "property_value_end": 59, "property_numeric_value": 1.89, "property_unit": "eV", "property_value_descriptor": ""}, "hole mobility": {}, "electron mobility": {}, "external quantum efficiency": {}}</t>
  </si>
  <si>
    <t xml:space="preserve">10.1002/app.39563</t>
  </si>
  <si>
    <t xml:space="preserve">PF-BTh-DBT</t>
  </si>
  <si>
    <t xml:space="preserve">[*]c%27ccc%26c%11ccc(c%10cc9c(OCCC(CC)CCCC)c8sc(c7sc(c5ccc(c4cc(CCCCCC)c(c3cc2c(OCC(CC)CCCC)c1sc([*])cc1c(OCC(CC)CCCC)c2s3)s4)c6nsnc56)cc7CCCCCC)cc8c(OCC(CC)CCCC)c9s%10)cc%11C(c%18ccc(Oc%17ccc(N(c%12ccccc%12)c%16ccc(C%14=CC=C(c%13ccc(CCCCCC)s%13)C%15NSN=C%14%15)cc%16)cc%17)cc%18)(c%25ccc(c%24ccc(N(c%19ccccc%19)c%23ccc(c%21ccc(c%20ccc(CCCCCC)s%20)c%22nsnc%21%22)cc%23)cc%24)cc%25)c%26c%27</t>
  </si>
  <si>
    <t xml:space="preserve">['PF-BTh-DBT']</t>
  </si>
  <si>
    <t xml:space="preserve">{"power conversion efficiency": {"entity_name": "power conversion efficiency", "entity_start": 110, "entity_end": 112, "property_value_start": 131, "property_value_end": 132, "property_numeric_value": 1.6, "property_unit": "%", "property_value_descriptor": ""}, "open circuit voltage": {"entity_name": "V_{oc}", "entity_start": 139, "entity_end": 140, "property_value_start": 142, "property_value_end": 143, "property_numeric_value": 0.84,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</si>
  <si>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10.1002/marc.202000144</t>
  </si>
  <si>
    <t xml:space="preserve">poly{(N,N'-bis(2-ethylhexyl)-1,4,5,8-naphthalenedicarboximide-2,6-diyl)-alt-5,5-(3,3'-didodecyl-2,2'-bifuran)}</t>
  </si>
  <si>
    <t xml:space="preserve">[*]c6cc(CCCCCCCCCCCC)c(c5oc(c1cc3c(=O)n(CC(CC)CCCC)c(=O)c4c([*])cc2c(=O)n(CC(CC)CCCC)c(=O)c1c2c34)cc5CCCCCCCCCCCC)o6</t>
  </si>
  <si>
    <t xml:space="preserve">["poly{(N,N'-bis(2-ethylhexyl)-1,4,5,8-naphthalenedicarboximide-2,6-diyl)-alt-5,5-(3,3'-didodecyl-2,2'-bifuran)}", 'NDI-BFR']</t>
  </si>
  <si>
    <t xml:space="preserve">{"power conversion efficiency": {"entity_name": "PCE", "entity_start": 193, "entity_end": 193, "property_value_start": 196, "property_value_end": 197, "property_numeric_value": 4.39, "property_unit": "%", "property_value_descriptor": ""}, "open circuit voltage": {}, "short circuit current": {}, "fill factor": {}, "highest occupied molecular orbital": {}, "lowest unoccupied molecular orbital": {}, "bandgap": {"entity_name": "optical bandgap", "entity_start": 93, "entity_end": 94, "property_value_start": 96, "property_value_end": 97, "property_numeric_value": 1.26, "property_unit": "eV", "property_value_descriptor": ""}, "hole mobility": {}, "electron mobility": {"entity_name": "electron mobility", "entity_start": 151, "entity_end": 152, "property_value_start": 154, "property_value_end": 160, "property_numeric_value": 0.45, "property_unit": "cm^{2} V^{-1} s^{-1}", "property_value_descriptor": ""}, "external quantum efficiency": {}}</t>
  </si>
  <si>
    <t xml:space="preserve">10.1002/macp.201900439</t>
  </si>
  <si>
    <t xml:space="preserve">PASQ-BDT2</t>
  </si>
  <si>
    <t xml:space="preserve">[*]c9ccc(N(c6ccc(c5cc4c(c1ccc(CC(CC)CCCC)s1)c2sc([*])cc2c(c3ccc(CC(CC)CCCC)s3)c4s5)cc6)C8C(=O)C(c7c(O)cc(N(CC(C)C)CC(C)C)cc7O)C8=O)cc9</t>
  </si>
  <si>
    <t xml:space="preserve">['PASQ-BDT2']</t>
  </si>
  <si>
    <t xml:space="preserve">{"power conversion efficiency": {"entity_name": "PCE", "entity_start": 206, "entity_end": 206, "property_value_start": 211, "property_value_end": 212, "property_numeric_value": 3.72,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</si>
  <si>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10.1002/macp.201900554</t>
  </si>
  <si>
    <t xml:space="preserve">{"power conversion efficiency": {"entity_name": "PCEs", "entity_start": 188, "entity_end": 188, "property_value_start": 193, "property_value_end": 194, "property_numeric_value": 10.2,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</si>
  <si>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"PCEs", "entity_start": 188, "entity_end": 188, "property_value_start": 190, "property_value_end": 191, "property_numeric_value": 8.2,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</si>
  <si>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10.1002/pi.6024</t>
  </si>
  <si>
    <t xml:space="preserve">{"power conversion efficiency": {"entity_name": "power conversion efficiency", "entity_start": 175, "entity_end": 177, "property_value_start": 179, "property_value_end": 180, "property_numeric_value": 5.74,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</si>
  <si>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10.1007/s13233-020-8079-z</t>
  </si>
  <si>
    <t xml:space="preserve">[*]c%14cc%13c(c3ccc(c2ccc1cc(OCC(CCCCCC)CCCCCCC)ccc1c2)s3)c9sc(c8sc(c6sc(c4cc(CCCCCCCC)c([*])s4)c7c(=O)c5c(CC(CC)CCCC)sc(CC(CC)CCCC)c5c(=O)c67)cc8CCCCCCCC)cc9c(c%12ccc(c%11ccc%10cc(OCC(CCCCCC)CCCCCCCC)ccc%10c%11)s%12)c%13s%14</t>
  </si>
  <si>
    <t xml:space="preserve">{"power conversion efficiency": {"entity_name": "PCE", "entity_start": 113, "entity_end": 113, "property_value_start": 117, "property_value_end": 118, "property_numeric_value": 5.33, "property_unit": "%", "property_value_descriptor": ""}, "open circuit voltage": {}, "short circuit current": {}, "fill factor": {}, "highest occupied molecular orbital": {}, "lowest unoccupied molecular orbital": {}, "bandgap": {"entity_name": "optical band gap", "entity_start": 47, "entity_end": 49, "property_value_start": 51, "property_value_end": 52, "property_numeric_value": 1.61, "property_unit": "eV", "property_value_descriptor": ""}, "hole mobility": {}, "electron mobility": {}, "external quantum efficiency": {}}</t>
  </si>
  <si>
    <t xml:space="preserve">10.1080/10601325.2017.1309250</t>
  </si>
  <si>
    <t xml:space="preserve">P2T-DTTAZ</t>
  </si>
  <si>
    <t xml:space="preserve">[*]c6ccc(c4ccc(c3ccc(c2cc(CCCCCCCCCCCC)c(c1sc([*])cc1CCCCCCCCCCCC)s2)s3)c5nn(CC(CC)CCCC)nc45)s6</t>
  </si>
  <si>
    <t xml:space="preserve">['P2T-DTTAZ']</t>
  </si>
  <si>
    <t xml:space="preserve">{"power conversion efficiency": {"entity_name": "PCEs", "entity_start": 179, "entity_end": 179, "property_value_start": 189, "property_value_end": 190, "property_numeric_value": 1.25, "property_unit": "%", "property_value_descriptor": ""}, "open circuit voltage": {}, "short circuit current": {}, "fill factor": {}, "highest occupied molecular orbital": {}, "lowest unoccupied molecular orbital": {}, "bandgap": {"entity_name": "E_{g}", "entity_start": 64, "entity_end": 66, "property_value_start": 76, "property_value_end": 77, "property_numeric_value": 2.09, "property_unit": "eV", "property_value_descriptor": ""}, "hole mobility": {}, "electron mobility": {}, "external quantum efficiency": {}}</t>
  </si>
  <si>
    <t xml:space="preserve">P2T-DTTTAZ</t>
  </si>
  <si>
    <t xml:space="preserve">[*]c8cc(CCCCCCCCCCCN)c(c7sc(c6cc5sc(c3ccc(c2cc1sc([*])cc1s2)c4nn(CC(CC)CCCC)nc34)cc5s6)cc7CCCCCCCCCCCC)s8</t>
  </si>
  <si>
    <t xml:space="preserve">['P2T-DTTTAZ']</t>
  </si>
  <si>
    <t xml:space="preserve">10.1080/10601325.2015.1080103</t>
  </si>
  <si>
    <t xml:space="preserve">[*]c7cc6sc(c5cc4sc3c(OCC(CCCCCC)CCCCCCCC)c2c(sc1cc([*])sc12)c(OCC(CCCCCC)CCCCCCCC)c3c4s5)cc6s7</t>
  </si>
  <si>
    <t xml:space="preserve">{"power conversion efficiency": {"entity_name": "PCEs", "entity_start": 192, "entity_end": 192, "property_value_start": 204, "property_value_end": 205, "property_numeric_value": 2.5, "property_unit": "%", "property_value_descriptor": ""}, "open circuit voltage": {"entity_name": "V_{oc}", "entity_start": 214, "entity_end": 215, "property_value_start": 218, "property_value_end": 219, "property_numeric_value": 0.7, "property_unit": "V", "property_value_descriptor": ""}, "short circuit current": {"entity_name": "J_{sc}", "entity_start": 228, "entity_end": 229, "property_value_start": 232, "property_value_end": 235, "property_numeric_value": 6.89, "property_unit": "mA cm^{-2}", "property_value_descriptor": ""}, "fill factor": {"entity_name": "FF", "entity_start": 242, "entity_end": 242, "property_value_start": 245, "property_value_end": 246, "property_numeric_value": 52.0, "property_unit": "%", "property_value_descriptor": ""}, "highest occupied molecular orbital": {"entity_name": "HOMO", "entity_start": 133, "entity_end": 133, "property_value_start": 145, "property_value_end": 146, "property_numeric_value": -5.35, "property_unit": "eV", "property_value_descriptor": ""}, "lowest unoccupied molecular orbital": {}, "bandgap": {}, "hole mobility": {}, "electron mobility": {}, "external quantum efficiency": {}}</t>
  </si>
  <si>
    <t xml:space="preserve">[*]c6ccc(c5cc4sc3c(OCC(CCCCCC)CCCCCCCC)c2c(sc1cc([*])sc12)c(OCC(CCCCCC)CCCCCCCC)c3c4s5)s6</t>
  </si>
  <si>
    <t xml:space="preserve">='2.14%'</t>
  </si>
  <si>
    <t xml:space="preserve">10.1080/10601325.2020.1740598</t>
  </si>
  <si>
    <t xml:space="preserve">{[*]c2ccc(c1sc([*])cc1CCCCCC)s2, [*]c4ccc(c1sc([*])cc1COc3ccc(/N=N/c2ccccc2)cc3)s4}</t>
  </si>
  <si>
    <t xml:space="preserve">["poly (1-(4-((4‴-hexyl-[2,2′: 5′, 2″: 5″, 2‴ - tetrathiophene] − 3′-yl) methoxy) phenyl) −2-phenyldiazene)", 'P2']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</si>
  <si>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 gaps", "entity_start": 137, "entity_end": 139, "property_value_start": 149, "property_value_end": 150, "property_numeric_value": 1.64, "property_unit": "eV", "property_value_descriptor": ""}, "hole mobility": {}, "electron mobility": {}, "external quantum efficiency": {}}</t>
  </si>
  <si>
    <t xml:space="preserve">{[*]c2ccc(c1sc([*])cc1CCCCCC)s2, [*]c4ccc(c1sc([*])cc1COc2cc(=O)oc3ccccc23)s4}</t>
  </si>
  <si>
    <t xml:space="preserve">["poly (4-((3‴-hexyl-[2,2′:5′,2″:5″,2‴-tetrathiophene] − 3′-yl)methoxy) - 2H-chromen-2-one", 'P1']</t>
  </si>
  <si>
    <t xml:space="preserve">{"power conversion efficiency": {"entity_name": "power conversion efficiency", "entity_start": 251, "entity_end": 253, "property_value_start": 257, "property_value_end": 258, "property_numeric_value": 0.81,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</si>
  <si>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10.1002/aenm.202000590</t>
  </si>
  <si>
    <t xml:space="preserve">PM6-Ir0</t>
  </si>
  <si>
    <t xml:space="preserve">['PM6-Ir0']</t>
  </si>
  <si>
    <t xml:space="preserve">{"power conversion efficiency": {"entity_name": "PCEs", "entity_start": 149, "entity_end": 149, "property_value_start": 152, "property_value_end": 153, "property_numeric_value": 17.24,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</si>
  <si>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PM6-Ir1</t>
  </si>
  <si>
    <t xml:space="preserve">['PM6-Ir1']</t>
  </si>
  <si>
    <t xml:space="preserve">{"power conversion efficiency": {"entity_name": "PCE", "entity_start": 176, "entity_end": 176, "property_value_start": 199, "property_value_end": 200, "property_numeric_value": 15.39,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</si>
  <si>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10.1002/aenm.201803976</t>
  </si>
  <si>
    <t xml:space="preserve">DTP-IC-4Ph</t>
  </si>
  <si>
    <t xml:space="preserve">CCCCCCc%16ccc(C5(c1ccc(CCCCCC)cc1)C4=C(SC(C=c3c(=O)c2ccccc2c3=C(C#N)C#N)C4)c6ccc7cc%13c9c(ccc8cc5c6c7c89)c%12sc(C=c%11c(=O)c%10ccccc%10c%11=C(C#N)C#N)cc%12C%13(c%14ccc(CCCCCC)cc%14)c%15ccc(CCCCCC)cc%15)cc%16</t>
  </si>
  <si>
    <t xml:space="preserve">['DTP-IC-4Ph']</t>
  </si>
  <si>
    <t xml:space="preserve">{"power conversion efficiency": {"entity_name": "power conversion efficiency", "entity_start": 223, "entity_end": 225, "property_value_start": 227, "property_value_end": 228, "property_numeric_value": 10.37,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</si>
  <si>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10.1002/aenm.202000743</t>
  </si>
  <si>
    <t xml:space="preserve">Poly(3,4-ethylenedioxythiophene)</t>
  </si>
  <si>
    <t xml:space="preserve">['Poly(3,4-ethylenedioxythiophene)']</t>
  </si>
  <si>
    <t xml:space="preserve">PSS-DA</t>
  </si>
  <si>
    <t xml:space="preserve">['PSS-DA']</t>
  </si>
  <si>
    <t xml:space="preserve">{"power conversion efficiency": {"entity_name": "power conversion efficiency", "entity_start": 121, "entity_end": 123, "property_value_start": 125, "property_value_end": 126, "property_numeric_value": 16.55,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</si>
  <si>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10.1002/aenm.201901805</t>
  </si>
  <si>
    <t xml:space="preserve">{"power conversion efficiency": {"entity_name": "PCE", "entity_start": 65, "entity_end": 65, "property_value_start": 68, "property_value_end": 69, "property_numeric_value": 13.5,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</si>
  <si>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10.1002/adfm.200500114</t>
  </si>
  <si>
    <t xml:space="preserve">APFO-Green1</t>
  </si>
  <si>
    <t xml:space="preserve">[*]c%10ccc9c8ccc(c7ccc(c5c1nsnc1c(c2ccc([*])s2)c6nc(c3ccccc3)c(c4ccccc4)nc56)s7)cc8C(CCCCCCCC)(CCCCCCCC)c9c%10</t>
  </si>
  <si>
    <t xml:space="preserve">['APFO-Green1']</t>
  </si>
  <si>
    <t xml:space="preserve">BTPF70</t>
  </si>
  <si>
    <t xml:space="preserve">O=N(=O)c%39ccc(N%37N=C(c1cc(C(F)(F)F)cc(C(F)(F)F)c1)C2%38c3c4c5c2c6c7c%36c8c9c(c%10c3c%11c%12c4c%13c%14c5c%15c6c%16c7c%17c8c%18c%19c9c%20c%10c%11c%21c%29c%12c%13c%28c%27c%14c%15c%26c%16c%25c%17c%24c%18c%23c%19c%22c%20c%21c%30c%22c%32c%23c%33c%24c%25c%34c%26c%27c%35c%31c%28c%29c%30c%31c%32c%33c%34%35)C%36%37%38)cc%39</t>
  </si>
  <si>
    <t xml:space="preserve">['BTPF70', "3'-(3,5-bis-trifluoromethylphenyl)-1'-(4-nitrophenyl)pyrazolino[70]fullerene"]</t>
  </si>
  <si>
    <t xml:space="preserve">{"power conversion efficiency": {"entity_name": "power-conversion efficiency", "entity_start": 112, "entity_end": 115, "property_value_start": 117, "property_value_end": 118, "property_numeric_value": 0.7, "property_unit": "%", "property_value_descriptor": ""}, "open circuit voltage": {"entity_name": "open-circuit voltage", "entity_start": 103, "entity_end": 106, "property_value_start": 108, "property_value_end": 109, "property_numeric_value": 0.58,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</si>
  <si>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10.1002/adfm.201707278</t>
  </si>
  <si>
    <t xml:space="preserve">["poly(4,8-bis(5-(2-ethylhexyl)thiophen-2-yl)benzo[1,2-b;4,5-b′]dithiophene-2,6-diyl-alt-(4-(2-ethylhexyl)-3-fluorothieno[3,4-b]thiophene-)-2-carboxylate-2-6-diyl", 'PTB7-Th']</t>
  </si>
  <si>
    <t xml:space="preserve">{"power conversion efficiency": {"entity_name": "PCE", "entity_start": 100, "entity_end": 100, "property_value_start": 109, "property_value_end": 110, "property_numeric_value": 11.94,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</si>
  <si>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10.1002/adfm.200900797</t>
  </si>
  <si>
    <t xml:space="preserve">P3PT</t>
  </si>
  <si>
    <t xml:space="preserve">[*]c2cc(CCCCC)c(c1cc(CCCCC)c([*])s1)s2</t>
  </si>
  <si>
    <t xml:space="preserve">['poly(3-pentylthiophene)', 'P3PT']</t>
  </si>
  <si>
    <t xml:space="preserve">{"power conversion efficiency": {"entity_name": "Power conversion efficiencies", "entity_start": 113, "entity_end": 115, "property_value_start": 119, "property_value_end": 119, "property_numeric_value": 4.3,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</si>
  <si>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efficiencies", "entity_start": 113, "entity_end": 115, "property_value_start": 122, "property_value_end": 123, "property_numeric_value": 4.6,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</si>
  <si>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[*]c1cc(CCCC)c([*])s1</t>
  </si>
  <si>
    <t xml:space="preserve">['poly(3-butylthiophene)', 'P3BT']</t>
  </si>
  <si>
    <t xml:space="preserve">10.1002/adfm.200900931</t>
  </si>
  <si>
    <t xml:space="preserve">Si-PCPDTBT</t>
  </si>
  <si>
    <t xml:space="preserve">['Si-PCPDTBT']</t>
  </si>
  <si>
    <t xml:space="preserve">{"power conversion efficiency": {"entity_name": "power conversion efficiencies", "entity_start": 262, "entity_end": 264, "property_value_start": 267, "property_value_end": 268,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</si>
  <si>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10.1002/adfm.201807662</t>
  </si>
  <si>
    <t xml:space="preserve">INPIC-4F</t>
  </si>
  <si>
    <t xml:space="preserve">CCCCCCCCn9c3cc(C=c2c(=O)c1cc(F)c(F)cc1c2=C(C#N)C#N)sc3c8sc7c4cc%15c(cc4C(c5ccc(CCCCCC)cc5)(c6ccc(CCCCCC)cc6)c7c89)c%14sc%13c%12sc(C=c%11c(=O)c%10cc(F)c(F)cc%10c%11=C(C#N)C#N)cc%12n(CCCCCCCC)c%13c%14C%15(c%16ccc(CCCCCC)cc%16)c%17ccc(CCCCCC)cc%17</t>
  </si>
  <si>
    <t xml:space="preserve">['INPIC-4F']</t>
  </si>
  <si>
    <t xml:space="preserve">{"power conversion efficiency": {"entity_name": "PCE", "entity_start": 197, "entity_end": 197, "property_value_start": 199, "property_value_end": 200, "property_numeric_value": 13.1,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</si>
  <si>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10.1002/adfm.201906587</t>
  </si>
  <si>
    <t xml:space="preserve">TPO-PDI</t>
  </si>
  <si>
    <t xml:space="preserve">CCCCC(CCCC)n%18c(=O)c%19ccc%20c%22ccc%23c(=O)n(C(CCCC)CCCC)c(=O)c%24cc(c%17ccc(P(c8ccc(c1cc4c(=O)n(C(CCCC)CCCC)c(=O)c3ccc2c5ccc6c(=O)n(C(CCCC)CCCC)c(=O)c7ccc(c1c2c34)c5c67)cc8)c%16ccc(c9cc%12c(=O)n(C(CCCC)CCCC)c(=O)c%11ccc%10c%13ccc%14c(=O)n(C(CCCC)CCCC)c(=O)c%15ccc(c9c%10c%11%12)c%13c%14%15)cc%16)cc%17)c(c%21ccc(c%18=O)c%19c%20%21)c%22c%23%24</t>
  </si>
  <si>
    <t xml:space="preserve">['TPO-PDI']</t>
  </si>
  <si>
    <t xml:space="preserve">{"power conversion efficiency": {"entity_name": "PCE", "entity_start": 212, "entity_end": 212, "property_value_start": 214, "property_value_end": 215, "property_numeric_value": 11.01,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</si>
  <si>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10.1002/adfm.201906809</t>
  </si>
  <si>
    <t xml:space="preserve">L2</t>
  </si>
  <si>
    <t xml:space="preserve">[*]c9cc8c(c1cc(Cl)c(CC(CC)CCCC)s1)c6oc(c5ccc(c3c(F)c(F)c(c2ccc([*])s2)c4nn(CC(CCCCCC)CCCCCCCC)nc34)s5)cc6c(c7cc(Cl)c(CC(CC)CCCC)s7)c8o9</t>
  </si>
  <si>
    <t xml:space="preserve">['L2']</t>
  </si>
  <si>
    <t xml:space="preserve">TTPT-T-4F</t>
  </si>
  <si>
    <t xml:space="preserve">CCCCCCc%15ccc(C%14(c1ccc(CCCCCC)cc1)c9cc8c5sc4cc(C=c3c(=O)c2cc(F)c(F)cc2c3=C(C#N)C#N)sc4c5C(c6ccc(CCCCCC)cc6)(c7ccc(CCCCCC)cc7)c8cc9c%13sc(c%12ccc(C=c%11c(=O)c%10cc(F)c(F)cc%10c%11=C(C#N)C#N)s%12)cc%13%14)cc%15</t>
  </si>
  <si>
    <t xml:space="preserve">['TTPT-T-4F']</t>
  </si>
  <si>
    <t xml:space="preserve">{"power conversion efficiency": {"entity_name": "PCE", "entity_start": 130, "entity_end": 130, "property_value_start": 150, "property_value_end": 151, "property_numeric_value": 12.72,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</si>
  <si>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211, "entity_end": 211, "property_value_start": 214, "property_value_end": 215, "property_numeric_value": 2.7,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</si>
  <si>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10.1002/adfm.200801189</t>
  </si>
  <si>
    <t xml:space="preserve">{"power conversion efficiency": {"entity_name": "power conversion efficiencies", "entity_start": 134, "entity_end": 136, "property_value_start": 156, "property_value_end": 157, "property_numeric_value": 4.1,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</si>
  <si>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10.1002/adfm.201910466</t>
  </si>
  <si>
    <t xml:space="preserve">['IT-M']</t>
  </si>
  <si>
    <t xml:space="preserve">{"power conversion efficiency": {"entity_name": "PCE", "entity_start": 97, "entity_end": 97, "property_value_start": 99, "property_value_end": 100, "property_numeric_value": 13.19,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</si>
  <si>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97, "entity_end": 97, "property_value_start": 118, "property_value_end": 119, "property_numeric_value": 12.14,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</si>
  <si>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PBDB-TF</t>
  </si>
  <si>
    <t xml:space="preserve">[*]c%10ccc(c8sc(c6ccc(c5cc4c(c1cc(F)c(CC(CC)CCCC)s1)c2sc([*])cc2c(c3cc(F)c(CC(CC)CCCC)s3)c4s5)s6)c9c(=O)c7c(CC(CC)CCCC)sc(CC(CC)CCCC)c7c(=O)c89)s%10</t>
  </si>
  <si>
    <t xml:space="preserve">['PBDB-TF']</t>
  </si>
  <si>
    <t xml:space="preserve">BTP-4Cl</t>
  </si>
  <si>
    <t xml:space="preserve">CCCCCCCCCCCc3c(C=c2c(=O)c1cc(Cl)c(Cl)cc1c2=C(C#N)C#N)sc%11c3sc%12c%10c4nsnc4c9c8sc7c(CCCCCCCCCCC)c(C=c6c(=O)c5cc(Cl)c(Cl)cc5c6=C(C#N)C#N)sc7c8n(CC(CC)CCCC)c9c%10n(CC(CC)CCCC)c%11%12</t>
  </si>
  <si>
    <t xml:space="preserve">['BTP-4Cl']</t>
  </si>
  <si>
    <t xml:space="preserve">{"power conversion efficiency": {"entity_name": "PCE", "entity_start": 200, "entity_end": 200, "property_value_start": 202, "property_value_end": 203, "property_numeric_value": 16.26,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</si>
  <si>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10.1002/adfm.201910205</t>
  </si>
  <si>
    <t xml:space="preserve">['Y6', 'Y6-based']</t>
  </si>
  <si>
    <t xml:space="preserve">{"power conversion efficiency": {"entity_name": "PCE", "entity_start": 111, "entity_end": 111, "property_value_start": 114, "property_value_end": 115, "property_numeric_value": 16.4,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</si>
  <si>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10.1002/adfm.202000383</t>
  </si>
  <si>
    <t xml:space="preserve">IDTP-4F</t>
  </si>
  <si>
    <t xml:space="preserve">CCCCCCc%15ccc(C%14(c1ccc(CCCCCC)cc1)c%10cc9c6sc5c4sc(C=c3c(=O)c2cc(F)c(F)cc2c3=C(C#N)C#N)cc4n(CC(CC)CCCC)c5c6C(c7ccc(CCCCCC)cc7)(c8ccc(CCCCCC)cc8)c9cc%10c%13sc(C=c%12c(=O)c%11cc(F)c(F)cc%11c%12=C(C#N)C#N)cc%13%14)cc%15</t>
  </si>
  <si>
    <t xml:space="preserve">['IDTP-4F']</t>
  </si>
  <si>
    <t xml:space="preserve">{"power conversion efficiency": {"entity_name": "PCE", "entity_start": 241, "entity_end": 241, "property_value_start": 243, "property_value_end": 244, "property_numeric_value": 15.0,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</si>
  <si>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IDTTP-4F</t>
  </si>
  <si>
    <t xml:space="preserve">CCCCCCc%16ccc(C%15(c1ccc(CCCCCC)cc1)c%10cc9c6sc5c4sc(C=c3c(=O)c2cc(F)c(F)cc2c3=C(C#N)C#N)cc4n(CC(CC)CCCC)c5c6C(c7ccc(CCCCCC)cc7)(c8ccc(CCCCCC)cc8)c9cc%10c%14sc%13cc(C=c%12c(=O)c%11cc(F)c(F)cc%11c%12=C(C#N)C#N)sc%13c%14%15)cc%16</t>
  </si>
  <si>
    <t xml:space="preserve">['IDTTP-4F']</t>
  </si>
  <si>
    <t xml:space="preserve">{"power conversion efficiency": {"entity_name": "PCE", "entity_start": 145, "entity_end": 145, "property_value_start": 164, "property_value_end": 165, "property_numeric_value": 13.8,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</si>
  <si>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10.1002/adfm.202001251</t>
  </si>
  <si>
    <t xml:space="preserve">PBDB-T-2F</t>
  </si>
  <si>
    <t xml:space="preserve">[*]c%10ccc(c8sc(c6ccc(c5cc4c(c1cc(F)c(CC(CC)CCCC)s1)c2sc([*])cc2c(c3cc(F)c(CC(CC)CCCC)s3)c4s5)s6)c9c(=O)c7=C(CC(CC)CCCC)CC(CC(CC)CCCC)=c7c(=O)c89)s%10</t>
  </si>
  <si>
    <t xml:space="preserve">['PBDB-T-2F']</t>
  </si>
  <si>
    <t xml:space="preserve">{"power conversion efficiency": {"entity_name": "power conversion efficiency", "entity_start": 140, "entity_end": 142, "property_value_start": 144, "property_value_end": 145, "property_numeric_value": 12.5,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</si>
  <si>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10.1002/adfm.201902441</t>
  </si>
  <si>
    <t xml:space="preserve">PBDTT-DPP</t>
  </si>
  <si>
    <t xml:space="preserve">[*]c9ccc(c8c7c(=O)n(CC(CCCC)CCCCCC)c(c6ccc(c5cc4c(c1ccc(CC(CC)CCCC)s1)c2sc([*])cc2c(c3ccc(CC(CC)CCCC)s3)c4s5)s6)c7c(=O)n8CC(CCCC)CCCCCC)s9</t>
  </si>
  <si>
    <t xml:space="preserve">['PBDTT-DPP']</t>
  </si>
  <si>
    <t xml:space="preserve">{"power conversion efficiency": {"entity_name": "power conversion efficiency", "entity_start": 132, "entity_end": 134, "property_value_start": 136, "property_value_end": 137, "property_numeric_value": 9.66,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{"entity_name": "EQE_{max}", "entity_start": 153, "entity_end": 154, "property_value_start": 156, "property_value_end": 158, "property_numeric_value": 70.0, "property_unit": "%", "property_value_descriptor": "&gt;"}}</t>
  </si>
  <si>
    <t xml:space="preserve">10.1002/adfm.201904956</t>
  </si>
  <si>
    <t xml:space="preserve">PFBDB-T</t>
  </si>
  <si>
    <t xml:space="preserve">[*]c%10cc9c(c1ccc(CC(CC)CCCC)s1)c7sc(c6sc(c4sc(c2cc(F)c([*])s2)c5c(=O)c3c(CC(CC)CCCC)sc(CC(CC)CCCC)c3c(=O)c45)cc6F)cc7c(c8ccc(CC(CC)CCCC)s8)c9s%10</t>
  </si>
  <si>
    <t xml:space="preserve">['PFBDB-T']</t>
  </si>
  <si>
    <t xml:space="preserve">CDTTIC</t>
  </si>
  <si>
    <t xml:space="preserve">CCCCCCCCC9(CCCCCCCC)c3c(sc4cc(C=c2c(=O)c1ccccc1c2=C(C#N)C#N)sc34)c8sc7cc(C=c6c(=O)c5ccccc5c6=C(C#N)C#N)sc7c89</t>
  </si>
  <si>
    <t xml:space="preserve">['CDTTIC']</t>
  </si>
  <si>
    <t xml:space="preserve">{"power conversion efficiency": {"entity_name": "power conversion efficiencies", "entity_start": 82, "entity_end": 84, "property_value_start": 86, "property_value_end": 87, "property_numeric_value": 11.0, "property_unit": "%", "property_value_descriptor": ""}, "open circuit voltage": {}, "short circuit current": {"entity_name": "short-circuit currents", "entity_start": 69, "entity_end": 72, "property_value_start": 75, "property_value_end": 78, "property_numeric_value": 26.2,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</si>
  <si>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10.1002/adfm.201903269</t>
  </si>
  <si>
    <t xml:space="preserve">{"power conversion efficiency": {"entity_name": "PCE", "entity_start": 168, "entity_end": 168, "property_value_start": 170, "property_value_end": 171, "property_numeric_value": 14.0,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</si>
  <si>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10.1002/adfm.201902155</t>
  </si>
  <si>
    <t xml:space="preserve">BTTIC-Ph</t>
  </si>
  <si>
    <t xml:space="preserve">CCCCCCc%17ccc(c%15c7sc6c3sc(C=c2c(=O)c1c(C)scc1c2=C(C#N)C#N)cc3C(c4ccc(CCCCCC)cc4)(c5ccc(CCCCCC)cc5)c6c7c(c8ccc(CCCCCC)cc8)c%16sc%14c%11sc(C=c%10c(=O)c9c(C)scc9c%10=C(C#N)C#N)cc%11C(c%12ccc(CCCCCC)cc%12)(c%13ccc(CCCCCC)cc%13)c%14c%15%16)cc%17</t>
  </si>
  <si>
    <t xml:space="preserve">['BTTIC-Ph']</t>
  </si>
  <si>
    <t xml:space="preserve">{"power conversion efficiency": {"entity_name": "PCE", "entity_start": 166, "entity_end": 166, "property_value_start": 191, "property_value_end": 192, "property_numeric_value": 9.14,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</si>
  <si>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BTTIC-Th</t>
  </si>
  <si>
    <t xml:space="preserve">CCCCCCc%17ccc(C%10(c1ccc(CCCCCC)cc1)c4cc(C=c3c(=O)c2c(C)scc2c3=C(C#N)C#N)sc4c9sc8c(c5ccc(CC(CC)CCCC)s5)c6c%14c(sc6c(c7ccc(CC(CC)CCCC)s7)c8c9%10)c%13sc(C=c%12c(=O)c%11c(C)scc%11c%12=C(C#N)C#N)cc%13C%14(c%15ccc(CCCCCC)cc%15)c%16ccc(CCCCCC)cc%16)cc%17</t>
  </si>
  <si>
    <t xml:space="preserve">['BTTIC-Th']</t>
  </si>
  <si>
    <t xml:space="preserve">{"power conversion efficiency": {"entity_name": "PCE", "entity_start": 166, "entity_end": 166, "property_value_start": 179, "property_value_end": 180, "property_numeric_value": 12.91,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</si>
  <si>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BTTIC-TT</t>
  </si>
  <si>
    <t xml:space="preserve">CCCCCCc%19ccc(C%12(c1ccc(CCCCCC)cc1)c4cc(C=c3c(=O)c2c(C)scc2c3=C(C#N)C#N)sc4c%11sc%10c(c6cc5sc(CC(CC)CCCC)cc5s6)c7c%16c(sc7c(c9cc8sc(CC(CC)CCCC)cc8s9)c%10c%11%12)c%15sc(C=c%14c(=O)c%13c(C)scc%13c%14=C(C#N)C#N)cc%15C%16(c%17ccc(CCCCCC)cc%17)c%18ccc(CCCCCC)cc%18)cc%19</t>
  </si>
  <si>
    <t xml:space="preserve">['BTTIC-TT']</t>
  </si>
  <si>
    <t xml:space="preserve">10.1002/adom.201901241</t>
  </si>
  <si>
    <t xml:space="preserve">ITIC-Th</t>
  </si>
  <si>
    <t xml:space="preserve">CCCCCCc%15ccc(C7(c1ccc(CCCCCC)s1)c2cc%10c(cc2c6sc5cc(C=c4c(=O)c3ccccc3c4=C(C#N)C#N)sc5c67)C(c8ccc(CCCCCC)s8)(c9ccc(CCCCCC)s9)c%13c%10sc%14cc(C=c%12c(=O)c%11ccccc%11c%12=C(C#N)C#N)sc%13%14)s%15</t>
  </si>
  <si>
    <t xml:space="preserve">['ITIC-Th']</t>
  </si>
  <si>
    <t xml:space="preserve">{"power conversion efficiency": {"entity_name": "power conversion efficiency", "entity_start": 126, "entity_end": 128, "property_value_start": 134, "property_value_end": 135, "property_numeric_value": 12.57, "property_unit": "%", "property_value_descriptor": ""}, "open circuit voltage": {"entity_name": "V_{OC}", "entity_start": 172, "entity_end": 173, "property_value_start": 176, "property_value_end": 177, "property_numeric_value": 0.91, "property_unit": "V", "property_value_descriptor": ""}, "short circuit current": {"entity_name": "J_{SC}", "entity_start": 185, "entity_end": 186, "property_value_start": 189, "property_value_end": 192, "property_numeric_value": 19.94, "property_unit": "mA cm^{-2}", "property_value_descriptor": ""}, "fill factor": {"entity_name": "fill factor", "entity_start": 195, "entity_end": 196, "property_value_start": 198, "property_value_end": 199, "property_numeric_value": 69.6,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</si>
  <si>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10.1002/adom.201400450</t>
  </si>
  <si>
    <t xml:space="preserve">["poly[N-9'-heptadecanyl-2,7-carbazole-alt-5,5-(4',7'-di-2-thienyl-2',1',3'-benzothiadiazole)]"]</t>
  </si>
  <si>
    <t xml:space="preserve">LGO-EDNB</t>
  </si>
  <si>
    <t xml:space="preserve">O=C(O)C%24CC4=c%25c6c%27c%31=C7C%34=C9C%36=C%11C(C(C(=O)NCCNC(=O)c1cc(N(=O)=O)cc(N(=O)=O)c1)=CC%12C(C(=O)NCCNC(=O)c2cc(N(=O)=O)cc(N(=O)=O)c2)C=C%10C(=O)C38OC3C(=C4C(=O)NCCNC(=O)c5cc(N(=O)=O)cc(N(=O)=O)c5)C6C7C8=C9C%10%13OC%11%12%13)C%38C=CC%40=C%37C%42=C%35c%32c%14=C%43C(=CC%17c%14c%18c%33c%29c%20c%16c%28c(C(C(=O)NCCNC(=O)c%15cc(N(=O)=O)cc(N(=O)=O)c%15)=CC%16C%22=C%19C(C=C(C%17C(=O)O)C%18(O)C%19%20)C(C(=O)NCCNC(=O)c%21cc(N(=O)=O)cc(N(=O)=O)c%21)C=C%22)c%26cc(C(=O)NCCNC(=O)c%23cc(N(=O)=O)cc(N(=O)=O)c%23)c%24c%25c%26C%27C%28%30OC%29%30c%31c(c%32%33)C%34(O)C%35C%36(O)C%37%38)C(C(=O)NCCNC(=O)c%39cc(N(=O)=O)cc(N(=O)=O)c%39)=CC(C%40C(=O)NCCNC(=O)c%41cc(N(=O)=O)cc(N(=O)=O)c%41)C%42%43O</t>
  </si>
  <si>
    <t xml:space="preserve">['LGO-EDNB']</t>
  </si>
  <si>
    <t xml:space="preserve">{"power conversion efficiency": {"entity_name": "PCE", "entity_start": 219, "entity_end": 219, "property_value_start": 222, "property_value_end": 223, "property_numeric_value": 2.41, "property_unit": "%", "property_value_descriptor": ""}, "open circuit voltage": {"entity_name": "open-circuit voltage", "entity_start": 206, "entity_end": 209, "property_value_start": 211, "property_value_end": 212, "property_numeric_value": 1.17, "property_unit": "V", "property_value_descriptor": ""}, "short circuit current": {}, "fill factor": {}, "highest occupied molecular orbital": {}, "lowest unoccupied molecular orbital": {"entity_name": "lowest unoccupied molecular orbital level", "entity_start": 194, "entity_end": 198, "property_value_start": 200, "property_value_end": 201, "property_numeric_value": 4.1, "property_unit": "eV", "property_value_descriptor": ""}, "bandgap": {"entity_name": "band gap", "entity_start": 185, "entity_end": 186, "property_value_start": 188, "property_value_end": 189, "property_numeric_value": 1.7, "property_unit": "eV", "property_value_descriptor": ""}, "hole mobility": {}, "electron mobility": {}, "external quantum efficiency": {}}</t>
  </si>
  <si>
    <t xml:space="preserve">10.1002/adma.201902210</t>
  </si>
  <si>
    <t xml:space="preserve">{"power conversion efficiency": {"entity_name": "PCE", "entity_start": 134, "entity_end": 134, "property_value_start": 136, "property_value_end": 137, "property_numeric_value": 14.06,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</si>
  <si>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71, "entity_end": 71, "property_value_start": 79, "property_value_end": 80, "property_numeric_value": 16.0,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</si>
  <si>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10.1002/adma.201902899</t>
  </si>
  <si>
    <t xml:space="preserve">PTzBI-Si</t>
  </si>
  <si>
    <t xml:space="preserve">[*]c%10ccc(c8c1nn(CCCCCC[Si](C)(O[Si](C)(C)C)O[Si](C)(C)C)nc1c(c7ccc(c6cc5c(c2ccc(CC(CC)CCCC)s2)c3sc([*])cc3c(c4ccc(CC(CC)CCCC)s4)c5s6)s7)c9c(=O)n(CCCCCCCC)c(=O)c89)s%10</t>
  </si>
  <si>
    <t xml:space="preserve">['PTzBI-Si']</t>
  </si>
  <si>
    <t xml:space="preserve">{"power conversion efficiency": {"entity_name": "PCE", "entity_start": 131, "entity_end": 131, "property_value_start": 144, "property_value_end": 145,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</si>
  <si>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10.1002/adma.201704271</t>
  </si>
  <si>
    <t xml:space="preserve">{"power conversion efficiency": {"entity_name": "PCE", "entity_start": 169, "entity_end": 169, "property_value_start": 172, "property_value_end": 173, "property_numeric_value": 12.27, "property_unit": "%", "property_value_descriptor": ""}, "open circuit voltage": {}, "short circuit current": {"entity_name": "J_{sc}", "entity_start": 198, "entity_end": 199, "property_value_start": 202, "property_value_end": 205, "property_numeric_value": 17.86,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</si>
  <si>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{"entity_name": "V_{oc}", "entity_start": 184, "entity_end": 185, "property_value_start": 188, "property_value_end": 189, "property_numeric_value": 0.93, "property_unit": "V", "property_value_descriptor": ""}, "short circuit current": {}, "fill factor": {"entity_name": "fill factor", "entity_start": 209, "entity_end": 210, "property_value_start": 212, "property_value_end": 213, "property_numeric_value": 73.9,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</si>
  <si>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SFBRCN</t>
  </si>
  <si>
    <t xml:space="preserve">['SFBRCN']</t>
  </si>
  <si>
    <t xml:space="preserve">{"power conversion efficiency": {"entity_name": "PCE", "entity_start": 242, "entity_end": 242, "property_value_start": 244, "property_value_end": 245,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</si>
  <si>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10.1002/adma.201905480</t>
  </si>
  <si>
    <t xml:space="preserve">{"power conversion efficiency": {"entity_name": "PCE", "entity_start": 189, "entity_end": 189, "property_value_start": 191, "property_value_end": 192, "property_numeric_value": 16.21,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</si>
  <si>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PTQ8</t>
  </si>
  <si>
    <t xml:space="preserve">[*]c2ccc(c1sc([*])c(F)c1F)c3ncc(OCC(CCCCCC)CCCCCCCC)nc23</t>
  </si>
  <si>
    <t xml:space="preserve">['PTQ8']</t>
  </si>
  <si>
    <t xml:space="preserve">10.1002/advs.201902470</t>
  </si>
  <si>
    <t xml:space="preserve">PBDT2T</t>
  </si>
  <si>
    <t xml:space="preserve">[*]c7ccc(c6sc(c5cc4c(c1ccc(CC(CC)CCCC)s1)c2sc([*])cc2c(c3ccc(CC(CC)CCCC)s3)c4s5)cc6C(=O)OCC(CC)CCCC)s7</t>
  </si>
  <si>
    <t xml:space="preserve">['PBDT2T']</t>
  </si>
  <si>
    <t xml:space="preserve">{"power conversion efficiency": {"entity_name": "power conversion efficiency", "entity_start": 105, "entity_end": 107, "property_value_start": 109, "property_value_end": 110, "property_numeric_value": 6.43,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</si>
  <si>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10.1002/advs.201902269</t>
  </si>
  <si>
    <t xml:space="preserve">poly[(2,6-(4,8-bis(5-(2-ethyl-hexyl)-thiophen-2-yl)-benzo[1,2-b:4,5-b′] dithiophene))-alt-(5,5-(1′,3′-di-2-thienyl-5′,7-bis(2-ethylhexyl)benzo[1′,2′-c: 4′,5′-c′]dithiophene-4,8-dione)</t>
  </si>
  <si>
    <t xml:space="preserve">3,9-bis(2-methylene-((3-(1, 1-dicyanomethylene)-6/7-methyl)-indanone))-5,5,11,11-tetrakis(4-hexylphenyl)-dithieno[2,3-d: 2′,3′-d′]-s-indaceno[1,2-b: 5, 6-b′]dithiophene</t>
  </si>
  <si>
    <t xml:space="preserve">{"power conversion efficiency": {"entity_name": "PCE", "entity_start": 118, "entity_end": 118, "property_value_start": 121, "property_value_end": 122, "property_numeric_value": 12.01,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</si>
  <si>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10.1002/advs.201903455</t>
  </si>
  <si>
    <t xml:space="preserve">[*]c%11ccc(c9c(F)c(F)c(c8ccc(c7cc6c(c2ccc(c1ccc(SCC(CCCCCC)CCCCCCCC)cc1)cc2)c3sc([*])cc3c(c5ccc(c4ccc(SCC(CCCCCC)CCCCCCCC)cc4)cc5)c6s7)s8)c%10nn(CC(CCCCCC)CCCCCCCC)nc9%10)s%11</t>
  </si>
  <si>
    <t xml:space="preserve">['P1', 'P2']</t>
  </si>
  <si>
    <t xml:space="preserve">{"power conversion efficiency": {"entity_name": "PCE", "entity_start": 162, "entity_end": 162, "property_value_start": 164, "property_value_end": 165, "property_numeric_value": 8.97,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</si>
  <si>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[*]c9ccc(c7c(F)c(F)c(c6ccc(c5cc4c(c1ccc(SCC(CCCCCC)CCCCCCCC)cc1)c2sc([*])cc2c(c3ccc(SCC(CCCCCC)CCCCCCCC)cc3)c4s5)s6)c8nn(CC(CCCCCC)CCCCCCCC)nc78)s9</t>
  </si>
  <si>
    <t xml:space="preserve">10.1002/advs.201901773</t>
  </si>
  <si>
    <t xml:space="preserve">[*]c6cc5c(c1ccc(CC(CC)CCCC)s1)c3sc(c2sc([*])c(C(=O)OC)c2F)cc3c(c4ccc(CC(CC)CCCC)s4)c5s6</t>
  </si>
  <si>
    <t xml:space="preserve">{"power conversion efficiency": {"entity_name": "PCE", "entity_start": 214, "entity_end": 214, "property_value_start": 216, "property_value_end": 217, "property_numeric_value": 12.11,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</si>
  <si>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10.1002/advs.201903784</t>
  </si>
  <si>
    <t xml:space="preserve">='PBDB-TF'</t>
  </si>
  <si>
    <t xml:space="preserve">BTIC-2Br-m</t>
  </si>
  <si>
    <t xml:space="preserve">CCCCCCCCCCCc3c(/C=C/2C(=O)C1C=C(Br)C=CC1C2=C(C#N)/C#N)sc%11c3sc%12c%10c4nsnc4c9c8sc7c(CCCCCCCCCCC)c(C=c6c(=O)c5cc(Br)ccc5c6=C(C#N)C#N)sc7c8n(CC(CC)CCCC)c9c%10n(CC(CC)CCCC)c%11%12</t>
  </si>
  <si>
    <t xml:space="preserve">['BTIC-2Br-m']</t>
  </si>
  <si>
    <t xml:space="preserve">{"power conversion efficiency": {"entity_name": "PCE", "entity_start": 132, "entity_end": 132, "property_value_start": 134, "property_value_end": 135, "property_numeric_value": 16.11, "property_unit": "%", "property_value_descriptor": ""}, "open circuit voltage": {"entity_name": "V_{oc}", "entity_start": 144, "entity_end": 145, "property_value_start": 147, "property_value_end": 148, "property_numeric_value": 0.88,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</si>
  <si>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10.1002/advs.201700053</t>
  </si>
  <si>
    <t xml:space="preserve">["poly [[2,6'-4,8-di(5-ethylhexylthienyl)benzo[1,2-b;3,3-b]dithiophene][3-fluoro-2[(2-ethylhexyl)carbonyl]thieno [3,4-b]thiophenediyl]]", 'PTB7-Th']</t>
  </si>
  <si>
    <t xml:space="preserve">{"power conversion efficiency": {"entity_name": "PCE", "entity_start": 110, "entity_end": 110, "property_value_start": 112, "property_value_end": 113, "property_numeric_value": 10.14,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</si>
  <si>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10.1002/advs.201500250</t>
  </si>
  <si>
    <t xml:space="preserve">{"power conversion efficiency": {"entity_name": "PCEs", "entity_start": 79, "entity_end": 79, "property_value_start": 85, "property_value_end": 86, "property_numeric_value": 8.58, "property_unit": "%", "property_value_descriptor": ""}, "open circuit voltage": {}, "short circuit current": {}, "fill factor": {"entity_name": "fill factors", "entity_start": 158, "entity_end": 159, "property_value_start": 169, "property_value_end": 170, "property_numeric_value": 71.6,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</si>
  <si>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10.1002/advs.201800307</t>
  </si>
  <si>
    <t xml:space="preserve">['- FIC']</t>
  </si>
  <si>
    <t xml:space="preserve">{"power conversion efficiency": {"entity_name": "PCE", "entity_start": 184, "entity_end": 184, "property_value_start": 189, "property_value_end": 190, "property_numeric_value": 13.54, "property_unit": "%", "property_value_descriptor": ""}, "open circuit voltage": {}, "short circuit current": {"entity_name": "J_{sc}", "entity_start": 171, "entity_end": 172, "property_value_start": 178, "property_value_end": 180, "property_numeric_value": 27.73, "property_unit": "mA cm^{-2}", "property_value_descriptor": ""}, "fill factor": {}, "highest occupied molecular orbital": {}, "lowest unoccupied molecular orbital": {}, "bandgap": {"entity_name": "optical bandgap", "entity_start": 63, "entity_end": 64, "property_value_start": 66, "property_value_end": 67, "property_numeric_value": 1.25, "property_unit": "eV", "property_value_descriptor": ""}, "hole mobility": {}, "electron mobility": {}, "external quantum efficiency": {}}</t>
  </si>
  <si>
    <t xml:space="preserve">3TT-FIC</t>
  </si>
  <si>
    <t xml:space="preserve">CCCCC(CC)Cc%16ccc([C@]8(c1ccc(CC(CC)CCCC)cc1)c5sc4cc(C=c3c(=O)c2cc(F)c(F)cc2c3=C(C#N)C#N)sc4c5c7sc6c%13c(sc6c78)c%12sc%11cc(C=c%10c(=O)c9cc(F)c(F)cc9c%10=C(C#N)C#N)sc%11c%12[C@]%13(c%14ccc(CC(CC)CCCC)cc%14)c%15ccc(CC(CC)CCCC)cc%15)cc%16</t>
  </si>
  <si>
    <t xml:space="preserve">['3TT-FIC']</t>
  </si>
  <si>
    <t xml:space="preserve">{"power conversion efficiency": {"entity_name": "PCE", "entity_start": 87, "entity_end": 87, "property_value_start": 90, "property_value_end": 91, "property_numeric_value": 12.21, "property_unit": "%", "property_value_descriptor": ""}, "open circuit voltage": {}, "short circuit current": {"entity_name": "J_{sc}", "entity_start": 100, "entity_end": 101, "property_value_start": 104, "property_value_end": 106, "property_numeric_value": 25.89,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</si>
  <si>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10.1002/advs.201802103</t>
  </si>
  <si>
    <t xml:space="preserve">PBBF11</t>
  </si>
  <si>
    <t xml:space="preserve">{[*]c%10ccc(c8sc(c6ccc(c5cc4c(c1ccc(SCC(CC)CCCC)s1)c2sc([*])cc2c(c3ccc(SCC(CC)CCCC)s3)c4s5)s6)c9c(=O)c7c(CC(CC)CCCC)sc(CC(CC)CCCC)c7c(=O)c89)s%10, [*]c9ccc(c7c(F)c(F)c(c6ccc(c5cc4c(c1ccc(SCC(CC)CCCC)s1)c2sc([*])cc2c(c3ccc(SCC(CC)CCCC)s3)c4s5)s6)c8nn(CC(CCCCCC)CCCCCCCC)nc78)s9}</t>
  </si>
  <si>
    <t xml:space="preserve">['PBBF11']</t>
  </si>
  <si>
    <t xml:space="preserve">{"power conversion efficiency": {"entity_name": "PCE", "entity_start": 212, "entity_end": 212, "property_value_start": 214, "property_value_end": 215, "property_numeric_value": 11.4,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</si>
  <si>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10.1002/anie.201005408</t>
  </si>
  <si>
    <t xml:space="preserve">PT1</t>
  </si>
  <si>
    <t xml:space="preserve">{[*]c5ccc(c1sc([*])cc1/C=C/c4ccc(/C=C/c3ccc(/C=C/c2ccc(CCCCCC)s2)s3)s4)s5, [*]c2ccc(c1sc([*])cc1CCCCCC)s2}</t>
  </si>
  <si>
    <t xml:space="preserve">['PT1']</t>
  </si>
  <si>
    <t xml:space="preserve">='PC-PDI'</t>
  </si>
  <si>
    <t xml:space="preserve">[*]c%10ccc9c8ccc(c1cc4c(=O)n(CC(CC)CCCC)c(=O)c3ccc2c5c([*])cc7c(=O)n(CC(CC)CCCC)c(=O)c6ccc(c1c2c34)c5c67)cc8n(C(CCCCCCCC)CCCCCCCC)c9c%10</t>
  </si>
  <si>
    <t xml:space="preserve">['PC-PDI']</t>
  </si>
  <si>
    <t xml:space="preserve">{"power conversion efficiency": {"entity_name": "PCE", "entity_start": 58, "entity_end": 58, "property_value_start": 65, "property_value_end": 66, "property_numeric_value": 2.23,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</si>
  <si>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10.1002/anie.202005357</t>
  </si>
  <si>
    <t xml:space="preserve">['PBDB-T.', 'PBDB-T']</t>
  </si>
  <si>
    <t xml:space="preserve">PTPBT-ET_{0.3}</t>
  </si>
  <si>
    <t xml:space="preserve">{[*]c%13ccc%12c(=C(C#N)C#N)c(=Cc%11sc9c(sc%10c8c1nsnc1c7c6sc5c(CCCCCCCCCCC)c(C=c4c(=O)c3cc(c2ccc([*])s2)ccc3c4=C(C#N)C#N)sc5c6n(CC(CCCCCCCCCC)CCCCCCCCCCCC)c7c8n(CC(CCCCCCCCCC)CCCCCCCCCCCC)c9%10)c%11CCCCCCCCCCC)c(=O)c%12c%13, [*]c2ccc(c1sc([*])cc1C(=O)OCC)s2}</t>
  </si>
  <si>
    <t xml:space="preserve">['PTPBT-ET_{0.3}', 'PTPBT-ET_{0.3}-based']</t>
  </si>
  <si>
    <t xml:space="preserve">10.1002/anie.202002292</t>
  </si>
  <si>
    <t xml:space="preserve">P(BTI-BTI2)</t>
  </si>
  <si>
    <t xml:space="preserve">[*]c9cc8c(=O)n(CC(CCCCCCCC)CCCCCCCCCC)c(=O)c7cc(c6cc5c(=O)n(CC(CCCCCCCC)CCCCCCCCCC)c(=O)c1c(sc4c1sc3c2sc([*])cc2c(=O)n(CC(CCCCCCCC)CCCCCCCCCC)c(=O)c34)c5s6)sc7c8s9</t>
  </si>
  <si>
    <t xml:space="preserve">['P(BTI-BTI2)']</t>
  </si>
  <si>
    <t xml:space="preserve">{"power conversion efficiency": {"entity_name": "PCE", "entity_start": 107, "entity_end": 107, "property_value_start": 128, "property_value_end": 129, "property_numeric_value": 0.14,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mobility", "entity_start": 59, "entity_end": 60, "property_value_start": 63, "property_value_end": 68, "property_numeric_value": 2.6, "property_unit": "cm^{2} V^{-1} s^{-1}", "property_value_descriptor": ""}, "external quantum efficiency": {}}</t>
  </si>
  <si>
    <t xml:space="preserve">PBTI</t>
  </si>
  <si>
    <t xml:space="preserve">[*]c3cc2c(=O)n(CC(CCCCCCCC)CCCCCCCCCC)c(=O)c1cc([*])sc1c2s3</t>
  </si>
  <si>
    <t xml:space="preserve">['PBTI']</t>
  </si>
  <si>
    <t xml:space="preserve">10.1002/ente.201800627</t>
  </si>
  <si>
    <t xml:space="preserve">['] thieno[3,4-b]thiophenediyl]]', 'PTB7']</t>
  </si>
  <si>
    <t xml:space="preserve">{"power conversion efficiency": {"entity_name": "power conversion efficiency", "entity_start": 279, "entity_end": 281, "property_value_start": 283, "property_value_end": 284, "property_numeric_value": 5.5,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</si>
  <si>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10.1002/ente.201901323</t>
  </si>
  <si>
    <t xml:space="preserve">{"power conversion efficiency": {"entity_name": "PCE", "entity_start": 241, "entity_end": 241, "property_value_start": 242, "property_value_end": 243, "property_numeric_value": 9.9,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</si>
  <si>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165, "entity_end": 165, "property_value_start": 186, "property_value_end": 189, "property_numeric_value": 6.23,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</si>
  <si>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10.1016/j.orgel.2011.06.017</t>
  </si>
  <si>
    <t xml:space="preserve">Si-PCPDTTBT</t>
  </si>
  <si>
    <t xml:space="preserve">[*]c7ccc(c6sc(c5nc(CCCCCC)c(c4ccc(c1cc3c(s1)c2sc([*])cc2[Si]3(CC(CC)CCCC)CC(CC)CCCC)s4)s5)nc6CCCCCC)s7</t>
  </si>
  <si>
    <t xml:space="preserve">["poly[(4,4'-bis(2-ethylhexyl)dithieno[3,2-b:2',3'-d]silole)-2,6-diyl-alt-(5,5'-thienyl-4,4'-dihexyl-2,2'-bithiazole)-2,6-diyl]", 'Si-PCPDTTBT']</t>
  </si>
  <si>
    <t xml:space="preserve">{"power conversion efficiency": {"entity_name": "power conversion efficiencies", "entity_start": 159, "entity_end": 161, "property_value_start": 163, "property_value_end": 164, "property_numeric_value": 3.33,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</si>
  <si>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10.1016/j.orgel.2019.03.038</t>
  </si>
  <si>
    <t xml:space="preserve">IDT2SeC2C4 4F</t>
  </si>
  <si>
    <t xml:space="preserve">CCCCC(CC)CC%11(CC(CC)CCCC)c6cc5c4sc(c3ccc(C=c2c(=O)c1cc(F)c(F)cc1c2=C(C#N)C#N)[se]3)cc4C(CC(CC)CCCC)(CC(CC)CCCC)c5cc6c%10sc(c9c[se]c(C=c8c(=O)c7cc(F)c(F)cc7c8=C(C#N)C#N)c9)cc%10%11</t>
  </si>
  <si>
    <t xml:space="preserve">['IDT2SeC2C4 4F']</t>
  </si>
  <si>
    <t xml:space="preserve">{"power conversion efficiency": {"entity_name": "PCE", "entity_start": 167, "entity_end": 167, "property_value_start": 169, "property_value_end": 170, "property_numeric_value": 8.92, "property_unit": "%", "property_value_descriptor": ""}, "open circuit voltage": {}, "short circuit current": {}, "fill factor": {}, "highest occupied molecular orbital": {}, "lowest unoccupied molecular orbital": {}, "bandgap": {"entity_name": "optical band gaps", "entity_start": 46, "entity_end": 48, "property_value_start": 53, "property_value_end": 56, "property_numeric_value": 1.37, "property_unit": "eV", "property_value_descriptor": "-"}, "hole mobility": {}, "electron mobility": {}, "external quantum efficiency": {}}</t>
  </si>
  <si>
    <t xml:space="preserve">DT2SeC2C4</t>
  </si>
  <si>
    <t xml:space="preserve">CCCCC(CC)CC%11(CC(CC)CCCC)c6cc5c4sc(c3ccc(C=c2c(=O)c1ccccc1c2=C(C#N)C#N)[se]3)cc4C(CC(CC)CCCC)(CC(CC)CCCC)c5cc6c%10sc(c9c[se]c(C=c8c(=O)c7ccccc7c8=C(C#N)C#N)c9)cc%10%11</t>
  </si>
  <si>
    <t xml:space="preserve">['DT2SeC2C4']</t>
  </si>
  <si>
    <t xml:space="preserve">10.1016/j.orgel.2011.06.019</t>
  </si>
  <si>
    <t xml:space="preserve">['PCBM', '[6,6]-phenyl C_{61} butyric acid methyl ester']</t>
  </si>
  <si>
    <t xml:space="preserve">{"power conversion efficiency": {"entity_name": "power conversion efficiency", "entity_start": 199, "entity_end": 201, "property_value_start": 206, "property_value_end": 207, "property_numeric_value": 0.14,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</si>
  <si>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10.1016/j.orgel.2013.04.029</t>
  </si>
  <si>
    <t xml:space="preserve">{"power conversion efficiency": {"entity_name": "power conversion efficiency", "entity_start": 180, "entity_end": 182, "property_value_start": 184, "property_value_end": 185, "property_numeric_value": 4.83,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</si>
  <si>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10.1016/j.orgel.2015.07.010</t>
  </si>
  <si>
    <t xml:space="preserve">{"power conversion efficiency": {"entity_name": "PCE", "entity_start": 6, "entity_end": 6, "property_value_start": 21, "property_value_end": 22,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</si>
  <si>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10.1016/j.orgel.2018.06.019</t>
  </si>
  <si>
    <t xml:space="preserve">{"power conversion efficiency": {"entity_name": "PCE", "entity_start": 143, "entity_end": 143, "property_value_start": 148, "property_value_end": 149, "property_numeric_value": 4.33,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</si>
  <si>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10.1016/j.orgel.2013.01.022</t>
  </si>
  <si>
    <t xml:space="preserve">{"power conversion efficiency": {"entity_name": "PCE", "entity_start": 266, "entity_end": 266, "property_value_start": 302, "property_value_end": 303, "property_numeric_value": 2.83, "property_unit": "%", "property_value_descriptor": ""}, "open circuit voltage": {"entity_name": "V_{oc}", "entity_start": 158, "entity_end": 159, "property_value_start": 204, "property_value_end": 205, "property_numeric_value": 0.55, "property_unit": "V", "property_value_descriptor": ""}, "short circuit current": {"entity_name": "J_{sc}", "entity_start": 273, "entity_end": 275, "property_value_start": 305, "property_value_end": 309, "property_numeric_value": -9.19,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</si>
  <si>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10.1016/j.orgel.2020.105616</t>
  </si>
  <si>
    <t xml:space="preserve">P(1/1)</t>
  </si>
  <si>
    <t xml:space="preserve">{[*]c8ccc(c1cc4c(=O)n(CC(CCCCCCCC)CCCCCCCCCC)c(=O)c3ccc2c5c([*])cc7c(=O)n(CC(CCCCCCCC)CCCCCCCCCC)c(=O)c6ccc(c1c2c34)c5c67)s8, [*]c8ccc(c1cc4c(=O)n(C(CC)CCCC)c(=O)c3cc([*])c2c5ccc6c(=O)n(C(CC)CCCC)c(=O)c7ccc(c1c2c34)c5c67)s8}</t>
  </si>
  <si>
    <t xml:space="preserve">{"power conversion efficiency": {"entity_name": "power conversion efficiency", "entity_start": 94, "entity_end": 96, "property_value_start": 99, "property_value_end": 100, "property_numeric_value": 6.18, "property_unit": "%", "property_value_descriptor": ""}, "open circuit voltage": {"entity_name": "open-circuit voltage", "entity_start": 103, "entity_end": 106, "property_value_start": 108, "property_value_end": 109, "property_numeric_value": 0.74, "property_unit": "V", "property_value_descriptor": ""}, "short circuit current": {"entity_name": "short-circuit current density", "entity_start": 112, "entity_end": 116, "property_value_start": 118, "property_value_end": 121, "property_numeric_value": 14.71, "property_unit": "mA cm^{-2}", "property_value_descriptor": ""}, "fill factor": {"entity_name": "fill factor", "entity_start": 125, "entity_end": 126, "property_value_start": 128, "property_value_end": 128, "property_numeric_value": 56.99999999999999,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</si>
  <si>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10.1016/j.orgel.2019.105419</t>
  </si>
  <si>
    <t xml:space="preserve">{"power conversion efficiency": {"entity_name": "power conversion efficiency", "entity_start": 169, "entity_end": 171, "property_value_start": 173, "property_value_end": 174, "property_numeric_value": 6.68, "property_unit": "%", "property_value_descriptor": ""}, "open circuit voltage": {"entity_name": "open circuit voltage", "entity_start": 123, "entity_end": 125, "property_value_start": 127, "property_value_end": 130, "property_numeric_value": 0.03, "property_unit": "V", "property_value_descriptor": "-"},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</si>
  <si>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10.1016/j.orgel.2019.105542</t>
  </si>
  <si>
    <t xml:space="preserve">{"power conversion efficiency": {"entity_name": "power conversion efficiencies", "entity_start": 58, "entity_end": 60, "property_value_start": 65, "property_value_end": 66, "property_numeric_value": 10.5,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</si>
  <si>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10.1016/j.orgel.2016.06.040</t>
  </si>
  <si>
    <t xml:space="preserve">{"power conversion efficiency": {"entity_name": "PCE", "entity_start": 95, "entity_end": 95, "property_value_start": 97, "property_value_end": 98, "property_numeric_value": 7.86, "property_unit": "%", "property_value_descriptor": ""}, "open circuit voltage": {"entity_name": "V oc", "entity_start": 142, "entity_end": 143, "property_value_start": 150, "property_value_end": 151, "property_numeric_value": 0.86, "property_unit": "V", "property_value_descriptor": ""}, "short circuit current": {"entity_name": "J sc", "entity_start": 112, "entity_end": 113, "property_value_start": 116, "property_value_end": 119, "property_numeric_value": 15.21, "property_unit": "mA cm^{-2}", "property_value_descriptor": ""}, "fill factor": {"entity_name": "fill factor", "entity_start": 122, "entity_end": 123, "property_value_start": 125, "property_value_end": 126, "property_numeric_value": 69.7,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</si>
  <si>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10.1016/j.orgel.2017.03.028</t>
  </si>
  <si>
    <t xml:space="preserve">["poly(4,8-bis-(2-ethylhexyloxy)-benzo(1,2-b:4,5-b')dithiophene-2,6-diyl-alt-(4-(2-ethylhexyloyl)-thieno(3,4-b)thiophene))-2,6-diyl):[6,6]-phenyl-C_{71}-butyric acid methyl este", 'PBDTTT-C']</t>
  </si>
  <si>
    <t xml:space="preserve">{"power conversion efficiency": {}, "open circuit voltage": {"entity_name": "V_{OC}", "entity_start": 180, "entity_end": 181, "property_value_start": 184, "property_value_end": 185, "property_numeric_value": 0.73,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</si>
  <si>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PBTDN</t>
  </si>
  <si>
    <t xml:space="preserve">['poly((5,5-E-alpha-((2-thienyl)methylene)-2-thiophene)-alt-2,6-[(1,5-didecyloxy)naphthalene])', 'PBTDN']</t>
  </si>
  <si>
    <t xml:space="preserve">{"power conversion efficiency": {}, "open circuit voltage": {}, "short circuit current": {}, "fill factor": {"entity_name": "FF", "entity_start": 188, "entity_end": 188, "property_value_start": 190, "property_value_end": 191, "property_numeric_value": 53.3,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</si>
  <si>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PBTADN</t>
  </si>
  <si>
    <t xml:space="preserve">['poly((5,5-E-alpha-((2-thienyl)methylene)-2-thiopheneacetonitrile)-alt-2,6-[(1,5-didecyloxy)naphthalene])', 'PBTADN']</t>
  </si>
  <si>
    <t xml:space="preserve">{"power conversion efficiency": {"entity_name": "PCE", "entity_start": 199, "entity_end": 199, "property_value_start": 202, "property_value_end": 203, "property_numeric_value": 6.9,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</si>
  <si>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10.1016/j.orgel.2018.09.032</t>
  </si>
  <si>
    <t xml:space="preserve">[*]c9ccc8c(=c6c(=O)n(CC(CC)CCCC)c7cc(c5cc4c(c1ccc(CC(CC)CCCC)s1)c2sc([*])cc2c(c3cc(CC(CC)CCCC)cs3)c4s5)ccc67)c(=O)n(CC(CC)CCCC)c8c9</t>
  </si>
  <si>
    <t xml:space="preserve">{"power conversion efficiency": {"entity_name": "PCE", "entity_start": 170, "entity_end": 170, "property_value_start": 180, "property_value_end": 181, "property_numeric_value": 1.28,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mobilities", "entity_start": 128, "entity_end": 129, "property_value_start": 136, "property_value_end": 145, "property_numeric_value": 0.012, "property_unit": "cm^{2} V^{-1} s^{-1}", "property_value_descriptor": ""}, "electron mobility": {}, "external quantum efficiency": {}}</t>
  </si>
  <si>
    <t xml:space="preserve">[*]c9cc8c(c1cc(CC(CC)CCCC)cs1)c6sc(c2cc5c(s2)c(=c3c(=O)n(CC(CC)CCCC)c4cc([*])sc34)c(=O)n5CC(CC)CCCC)cc6c(c7ccc(CC(CC)CCCC)s7)c8s9</t>
  </si>
  <si>
    <t xml:space="preserve">10.1016/j.orgel.2019.105572</t>
  </si>
  <si>
    <t xml:space="preserve">BDTTS-TzBI</t>
  </si>
  <si>
    <t xml:space="preserve">[*]c%10ccc(c8c1nn(CC(CCCC)CCCC)nc1c(c7ccc(c6cc5c(c2ccc(SCCCCCCCCCCCC)s2)c3sc([*])cc3c(c4ccc(SCCCCCCCCCCCC)s4)c5s6)s7)c9c(=O)n(CCCCCCCC)c(=O)c89)s%10</t>
  </si>
  <si>
    <t xml:space="preserve">['BDTTS-TzBI', 'PBDTTS-TzBI']</t>
  </si>
  <si>
    <t xml:space="preserve">{"power conversion efficiency": {"entity_name": "power conversion efficiency", "entity_start": 120, "entity_end": 122, "property_value_start": 124, "property_value_end": 125, "property_numeric_value": 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</si>
  <si>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PBDTTSi-TzBI</t>
  </si>
  <si>
    <t xml:space="preserve">[*]c%10ccc(c8c1nn(CC(CCCC)CCCC)nc1c(c7ccc(c6cc5c(c2ccc([Si](CCCC)(CCCC)CCCC)s2)c3sc([*])cc3c(c4ccc([Si](CCCC)(CCCC)CCCC)s4)c5s6)s7)c9c(=O)n(CCCCCCCC)c(=O)c89)s%10</t>
  </si>
  <si>
    <t xml:space="preserve">['PBDTTSi-TzBI']</t>
  </si>
  <si>
    <t xml:space="preserve">{"power conversion efficiency": {"entity_name": "power conversion efficiency", "entity_start": 120, "entity_end": 122, "property_value_start": 128, "property_value_end": 129,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</si>
  <si>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10.1016/j.orgel.2019.105525</t>
  </si>
  <si>
    <t xml:space="preserve">{"power conversion efficiency": {"entity_name": "PCE", "entity_start": 278, "entity_end": 278, "property_value_start": 283, "property_value_end": 284, "property_numeric_value": 5.11,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</si>
  <si>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10.1016/j.orgel.2018.08.018</t>
  </si>
  <si>
    <t xml:space="preserve">{"power conversion efficiency": {"entity_name": "power conversion efficiency", "entity_start": 137, "entity_end": 139, "property_value_start": 164, "property_value_end": 165, "property_numeric_value": 6.44,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</si>
  <si>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["poly[(5,6-difluoro-2,1,3-benzothiadiazol-4,7-diyl)-alt-(3,3'''-di(2-octyldode-cyl)-2,2'; 5',2''; -5'',2'''-quaterthio-phen-5,5'''-diyl)]", 'PffBT4T-2OD']</t>
  </si>
  <si>
    <t xml:space="preserve">10.1016/j.orgel.2017.01.028</t>
  </si>
  <si>
    <t xml:space="preserve">{"power conversion efficiency": {"entity_name": "PCE", "entity_start": 84, "entity_end": 84, "property_value_start": 98, "property_value_end": 99, "property_numeric_value": 8.72,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</si>
  <si>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10.1016/j.orgel.2014.09.019</t>
  </si>
  <si>
    <t xml:space="preserve">PTTPPz-BDTT</t>
  </si>
  <si>
    <t xml:space="preserve">[*]c%13ccc(c8c(OCCCCCCCC)c(OCCCCCCCC)c(c6ccc(c5cc4c(c1ccc(CC(CC)CCCCCC)s1)c2sc([*])cc2c(c3ccc(CC(CC)CCCCCC)s3)c4s5)s6)c9nc7c%12cccc%11ccc%10cccc(c7nc89)c%10c%11%12)s%13</t>
  </si>
  <si>
    <t xml:space="preserve">{"power conversion efficiency": {"entity_name": "PCE", "entity_start": 137, "entity_end": 137, "property_value_start": 139, "property_value_end": 140, "property_numeric_value": 4.86, "property_unit": "%", "property_value_descriptor": ""}, "open circuit voltage": {}, "short circuit current": {"entity_name": "short-circuit current density", "entity_start": 142, "entity_end": 146, "property_value_start": 148, "property_value_end": 151, "property_numeric_value": 11.1, "property_unit": "mA cm^{-2}", "property_value_descriptor": ""}, "fill factor": {"entity_name": "fill factor", "entity_start": 153, "entity_end": 154, "property_value_start": 156, "property_value_end": 157, "property_numeric_value": 62.5,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</si>
  <si>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10.1016/j.orgel.2016.07.007</t>
  </si>
  <si>
    <r>
      <rPr>
        <sz val="14"/>
        <color rgb="FFFF0000"/>
        <rFont val="NexusSerif"/>
        <family val="0"/>
        <charset val="1"/>
      </rPr>
      <t xml:space="preserve">P</t>
    </r>
    <r>
      <rPr>
        <i val="true"/>
        <sz val="14"/>
        <color rgb="FFFF0000"/>
        <rFont val="NexusSerif"/>
        <family val="0"/>
        <charset val="1"/>
      </rPr>
      <t xml:space="preserve">ff</t>
    </r>
    <r>
      <rPr>
        <sz val="14"/>
        <color rgb="FFFF0000"/>
        <rFont val="NexusSerif"/>
        <family val="0"/>
        <charset val="1"/>
      </rPr>
      <t xml:space="preserve">Qx-PS</t>
    </r>
  </si>
  <si>
    <t xml:space="preserve">[*]c%11ccc(C9=C(F)C(F)=C(c6ccc(c5cc4c(c1ccc(SCC(CC)CCCC)cc1)c2sc([*])cc2c(c3ccc(SCC(CC)CCCC)cc3)c4s5)s6)C%10N=C(c7ccc(OCC(CC)CCCC)c(F)c7)C(c8ccc(OCC(CC)CCCC)c(F)c8)=NC9%10)s%11</t>
  </si>
  <si>
    <t xml:space="preserve">0.93V</t>
  </si>
  <si>
    <t xml:space="preserve">{"power conversion efficiency": {"entity_name": "power conversion efficiencies", "entity_start": 178, "entity_end": 180, "property_value_start": 201, "property_value_end": 202,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</si>
  <si>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r>
      <rPr>
        <sz val="14"/>
        <color rgb="FF4472C4"/>
        <rFont val="NexusSerif"/>
        <family val="0"/>
        <charset val="1"/>
      </rPr>
      <t xml:space="preserve">P</t>
    </r>
    <r>
      <rPr>
        <i val="true"/>
        <sz val="14"/>
        <color rgb="FF4472C4"/>
        <rFont val="NexusSerif"/>
        <family val="0"/>
        <charset val="1"/>
      </rPr>
      <t xml:space="preserve">ff</t>
    </r>
    <r>
      <rPr>
        <sz val="14"/>
        <color rgb="FF4472C4"/>
        <rFont val="NexusSerif"/>
        <family val="0"/>
        <charset val="1"/>
      </rPr>
      <t xml:space="preserve">Qx-PO</t>
    </r>
  </si>
  <si>
    <t xml:space="preserve">[*]c%11ccc(C9=C(F)C(F)=C(c6ccc(c5cc4c(c1ccc(OCC(CC)CCCC)cc1)c2sc([*])cc2c(c3ccc(OCC(CC)CCCC)cc3)c4s5)s6)C%10N=C(c7ccc(OCC(CC)CCCC)c(F)c7)C(c8ccc(OCC(CC)CCCC)c(F)c8)=NC9%10)s%11</t>
  </si>
  <si>
    <t xml:space="preserve">PffQx-m-fPO</t>
  </si>
  <si>
    <t xml:space="preserve">[*]c%11ccc(C9=C(F)C(F)=C(c6ccc(c5cc4c(c1ccc(OCC(CC)CCCC)c(F)c1)c2sc([*])cc2c(c3ccc(OCC(CC)CCCC)c(F)c3)c4s5)s6)C%10N=C(c7ccc(OCC(CC)CCCC)c(F)c7)C(c8ccc(OCC(CC)CCCC)c(F)c8)=NC9%10)s%11</t>
  </si>
  <si>
    <t xml:space="preserve">10.1016/j.orgel.2019.105459</t>
  </si>
  <si>
    <t xml:space="preserve">10.15 mA cm^{-2}</t>
  </si>
  <si>
    <t xml:space="preserve">{"power conversion efficiency": {"entity_name": "power conversion efficiency", "entity_start": 280, "entity_end": 282, "property_value_start": 284, "property_value_end": 285, "property_numeric_value": 4.02,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</si>
  <si>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10.1016/j.orgel.2014.03.029</t>
  </si>
  <si>
    <t xml:space="preserve">{"power conversion efficiency": {"entity_name": "power conversion efficiency", "entity_start": 307, "entity_end": 309, "property_value_start": 319, "property_value_end": 320, "property_numeric_value": 5.95,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</si>
  <si>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10.1016/j.orgel.2016.02.003</t>
  </si>
  <si>
    <t xml:space="preserve">poly[[4,8-bis[(2-ethylhexyl)oxy]benzo[1,2-b:4,5-b']dithiophene-2,6-diyl] [3-fluoro-2-[(2-ethylhexyl)carbonyl] thieno[3,4-b]thiophenediyl]]</t>
  </si>
  <si>
    <t xml:space="preserve">["poly[[4,8-bis[(2-ethylhexyl)oxy]benzo[1,2-b:4,5-b']dithiophene-2,6-diyl] [3-fluoro-2-[(2-ethylhexyl)carbonyl] thieno[3,4-b]thiophenediyl]]", 'PTB7']</t>
  </si>
  <si>
    <t xml:space="preserve">{"power conversion efficiency": {"entity_name": "PCE", "entity_start": 92, "entity_end": 92, "property_value_start": 94, "property_value_end": 95, "property_numeric_value": 6.8,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</si>
  <si>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10.1016/j.orgel.2016.02.007</t>
  </si>
  <si>
    <t xml:space="preserve">PBTI3T</t>
  </si>
  <si>
    <t xml:space="preserve">[*]c6cc5c(=O)n(CC(CCCCCC)CCCCCC)c(=O)c4cc(c3sc(c2ccc(c1cc(CCCCCCCCCC)c([*])s1)s2)cc3CCCCCCCCCC)sc4c5s6</t>
  </si>
  <si>
    <t xml:space="preserve">['PBTI3T']</t>
  </si>
  <si>
    <t xml:space="preserve">{"power conversion efficiency": {"entity_name": "PCE", "entity_start": 131, "entity_end": 131, "property_value_start": 135, "property_value_end": 136, "property_numeric_value": 5.27,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</si>
  <si>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10.1016/j.orgel.2019.01.051</t>
  </si>
  <si>
    <t xml:space="preserve">[*]c9cc8c(c1ccc(CC(CC)CCCC)s1)c6cc(c5sc(c3sc(c2cc(CCCCCC)c([*])s2)c4cc(C(=O)OCC(CC)CCCC)sc34)cc5CCCCCC)sc6c(c7ccc(CC(CC)CCCC)s7)c8s9</t>
  </si>
  <si>
    <t xml:space="preserve">{"power conversion efficiency": {"entity_name": "PCE", "entity_start": 78, "entity_end": 78, "property_value_start": 81, "property_value_end": 82, "property_numeric_value": 2.83,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</si>
  <si>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[*]c9cc8c(c1ccc(CC(CC)CCCC)s1)c6cc(c5sc(c3sc(c2cc(SCCCCCC)c([*])s2)c4cc(C(=O)OCC(CC)CCCC)sc34)cc5SCCCCCC)sc6c(c7ccc(CC(CC)CCCC)s7)c8s9</t>
  </si>
  <si>
    <t xml:space="preserve">['P2', 'P2-based']</t>
  </si>
  <si>
    <t xml:space="preserve">{"power conversion efficiency": {"entity_name": "PCE", "entity_start": 170, "entity_end": 170, "property_value_start": 172, "property_value_end": 173, "property_numeric_value": 6.15, "property_unit": "%", "property_value_descriptor": ""}, "open circuit voltage": {"entity_name": "V_{OC}", "entity_start": 181, "entity_end": 182, "property_value_start": 185, "property_value_end": 186, "property_numeric_value": 0.71, "property_unit": "V", "property_value_descriptor": ""}, "short circuit current": {"entity_name": "J_{SC}", "entity_start": 194, "entity_end": 195, "property_value_start": 198, "property_value_end": 201, "property_numeric_value": 14.55, "property_unit": "mA cm^{-2}", "property_value_descriptor": ""}, "fill factor": {"entity_name": "FF", "entity_start": 207, "entity_end": 207, "property_value_start": 210, "property_value_end": 211, "property_numeric_value": 59.5, "property_unit": "%", "property_value_descriptor": ""}, "highest occupied molecular orbital": {}, "lowest unoccupied molecular orbital": {}, "bandgap": {}, "hole mobility": {"entity_name": "hole mobility", "entity_start": 214, "entity_end": 215, "property_value_start": 220, "property_value_end": 228, "property_numeric_value": 0.00022000000000000003, "property_unit": "cm^{2} V^{-1} s^{-1}", "property_value_descriptor": ""}, "electron mobility": {}, "external quantum efficiency": {}}</t>
  </si>
  <si>
    <t xml:space="preserve">10.1016/j.orgel.2016.03.012</t>
  </si>
  <si>
    <t xml:space="preserve">PIDT-DTFPQx</t>
  </si>
  <si>
    <t xml:space="preserve">[*]c%15ccc(c%13c(OCCCCCCCC)c(OCCCCCCCC)c(c%10ccc(c1cc3c(s1)c2cc7c(cc2C3(c4ccc(CCCCCC)cc4)c5ccc(CCCCCC)cc5)c6sc([*])cc6C7(c8ccc(CCCCCC)cc8)c9ccc(CCCCCC)cc9)s%10)c%14nc(c%11ccc(F)cc%11)c(c%12ccc(F)cc%12)nc%13%14)s%15</t>
  </si>
  <si>
    <t xml:space="preserve">{"power conversion efficiency": {"entity_name": "PCE", "entity_start": 200, "entity_end": 200, "property_value_start": 202, "property_value_end": 203, "property_numeric_value": 5.11, "property_unit": "%", "property_value_descriptor": ""}, "open circuit voltage": {"entity_name": "V_{oc}", "entity_start": 162, "entity_end": 163, "property_value_start": 165, "property_value_end": 166, "property_numeric_value": 0.86, "property_unit": "V", "property_value_descriptor": ""}, "short circuit current": {"entity_name": "J_{sc}", "entity_start": 168, "entity_end": 169, "property_value_start": 171, "property_value_end": 174, "property_numeric_value": 10.84, "property_unit": "mA cm^{-2}", "property_value_descriptor": ""}, "fill factor": {"entity_name": "FF", "entity_start": 176, "entity_end": 176, "property_value_start": 178, "property_value_end": 179, "property_numeric_value": 61.7,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</si>
  <si>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PIDT-DTPQx</t>
  </si>
  <si>
    <t xml:space="preserve">[*]c%15ccc(c%13c(OCCCCCCCC)c(OCCCCCCCC)c(c%10ccc(c1cc3c(s1)c2cc7c(cc2C3(c4ccc(CCCCCC)cc4)c5ccc(CCCCCC)cc5)c6sc([*])cc6C7(c8ccc(CCCCCC)cc8)c9ccc(CCCCCC)cc9)s%10)c%14nc(c%11ccccc%11)c(c%12ccccc%12)nc%13%14)s%15</t>
  </si>
  <si>
    <t xml:space="preserve">10.1016/j.orgel.2011.10.006</t>
  </si>
  <si>
    <t xml:space="preserve">{"power conversion efficiency": {"entity_name": "PCE", "entity_start": 59, "entity_end": 59, "property_value_start": 74, "property_value_end": 75, "property_numeric_value": 1.08,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</si>
  <si>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10.1016/j.orgel.2016.03.024</t>
  </si>
  <si>
    <t xml:space="preserve">[*]c5ccc(c4sc(c2c(F)c(F)c(c1cc(CC(CCCCCC)CCCCCCCC)c([*])s1)c3nsnc23)cc4CC(CCCCCC)CCCCCCCC)[se]5</t>
  </si>
  <si>
    <t xml:space="preserve">{"power conversion efficiency": {"entity_name": "PCE", "entity_start": 103, "entity_end": 103, "property_value_start": 109, "property_value_end": 110, "property_numeric_value": 6.84,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</si>
  <si>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P8</t>
  </si>
  <si>
    <t xml:space="preserve">[*]c5ccc(c4sc(c2c(F)c(F)c(c1cc(CC(CCCCCC)CCCCCCCC)c([*])s1)c3nsnc23)cc4CC(CCCCCC)CCCCCCCC)s5</t>
  </si>
  <si>
    <t xml:space="preserve">['P8']</t>
  </si>
  <si>
    <t xml:space="preserve">10.1016/j.orgel.2015.04.003</t>
  </si>
  <si>
    <r>
      <rPr>
        <b val="true"/>
        <sz val="14"/>
        <color rgb="FF2E2E2E"/>
        <rFont val="NexusSerif"/>
        <family val="0"/>
        <charset val="1"/>
      </rPr>
      <t xml:space="preserve">DTSi(THDCV)</t>
    </r>
    <r>
      <rPr>
        <b val="true"/>
        <sz val="10"/>
        <color rgb="FF2E2E2E"/>
        <rFont val="NexusSerif"/>
        <family val="0"/>
        <charset val="1"/>
      </rPr>
      <t xml:space="preserve">2</t>
    </r>
  </si>
  <si>
    <t xml:space="preserve">CCCCCCc1cc(/C=C(C#N)/C#N)sc1c2cc5c(s2)c4sc(c3sc(/C=C(C#N)/C#N)cc3CCCCCC)cc4[Si]5(CC(CC)CCCC)CC(CC)CCCC</t>
  </si>
  <si>
    <t xml:space="preserve">['DTSi(THDCV)2']</t>
  </si>
  <si>
    <t xml:space="preserve">{"power conversion efficiency": {"entity_name": "PCE", "entity_start": 195, "entity_end": 195, "property_value_start": 197, "property_value_end": 198, "property_numeric_value": 1.56, "property_unit": "%", "property_value_descriptor": ""}, "open circuit voltage": {}, "short circuit current": {}, "fill factor": {}, "highest occupied molecular orbital": {}, "lowest unoccupied molecular orbital": {"entity_name": "E_{LUMO}", "entity_start": 128, "entity_end": 129, "property_value_start": 131, "property_value_end": 132, "property_numeric_value": -2.91, "property_unit": "eV", "property_value_descriptor": ""}, "bandgap": {}, "hole mobility": {}, "electron mobility": {"entity_name": "Electron mobilities", "entity_start": 200, "entity_end": 201, "property_value_start": 211, "property_value_end": 218, "property_numeric_value": 1e-05, "property_unit": "cm^{2} V^{-1} s^{-1}", "property_value_descriptor": ""}, "external quantum efficiency": {}}</t>
  </si>
  <si>
    <t xml:space="preserve">10.1016/j.orgel.2011.11.009</t>
  </si>
  <si>
    <t xml:space="preserve">9.83 mA cm^{-2}</t>
  </si>
  <si>
    <t xml:space="preserve">{"power conversion efficiency": {"entity_name": "power conversion efficiency", "entity_start": 136, "entity_end": 138, "property_value_start": 144, "property_value_end": 145, "property_numeric_value": 3.51,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</si>
  <si>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10.1016/j.orgel.2016.05.036</t>
  </si>
  <si>
    <t xml:space="preserve">poly[2,6-(4,4-bis-(2-ethylhexyl)-4H-cyclopenta[2,1-b;3,4-b']dithiophene)-alt-4,7-(2,1,3-fluorobenzothiadiazole)]</t>
  </si>
  <si>
    <t xml:space="preserve">["poly[2,6-(4,4-bis-(2-ethylhexyl)-4H-cyclopenta[2,1-b;3,4-b']dithiophene)-alt-4,7-(2,1,3-fluorobenzothiadiazole)]", 'PCPDTFBT']</t>
  </si>
  <si>
    <t xml:space="preserve">{"power conversion efficiency": {"entity_name": "PCE", "entity_start": 88, "entity_end": 88, "property_value_start": 91, "property_value_end": 92, "property_numeric_value": 5.84, "property_unit": "%", "property_value_descriptor": ""}, "open circuit voltage": {}, "short circuit current": {"entity_name": "J_{sc}", "entity_start": 96, "entity_end": 97, "property_value_start": 99, "property_value_end": 102, "property_numeric_value": 16.4,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</si>
  <si>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10.1016/j.orgel.2019.05.029</t>
  </si>
  <si>
    <t xml:space="preserve">PDI-CNTVT-PDI</t>
  </si>
  <si>
    <t xml:space="preserve">['PDI-CNTVT-PDI']</t>
  </si>
  <si>
    <t xml:space="preserve">PDI-CNTVT-PDI; TVT; PDI; PDI)-base</t>
  </si>
  <si>
    <t xml:space="preserve">{"power conversion efficiency": {"entity_name": "PCE", "entity_start": 162, "entity_end": 162, "property_value_start": 164, "property_value_end": 165, "property_numeric_value": 4.32,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</si>
  <si>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10.1016/j.orgel.2016.07.013</t>
  </si>
  <si>
    <t xml:space="preserve">{"power conversion efficiency": {"entity_name": "power conversion efficiency", "entity_start": 84, "entity_end": 86, "property_value_start": 90, "property_value_end": 91, "property_numeric_value": 8.84,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</si>
  <si>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10.1016/j.orgel.2016.07.016</t>
  </si>
  <si>
    <t xml:space="preserve">{"power conversion efficiency": {"entity_name": "PCE", "entity_start": 255, "entity_end": 255, "property_value_start": 258, "property_value_end": 259, "property_numeric_value": 6.93, "property_unit": "%", "property_value_descriptor": ""}, "open circuit voltage": {}, "short circuit current": {}, "fill factor": {}, "highest occupied molecular orbital": {"entity_name": "HOMO", "entity_start": 78, "entity_end": 79, "property_value_start": 85, "property_value_end": 86, "property_numeric_value": -5.26, "property_unit": "eV", "property_value_descriptor": ""}, "lowest unoccupied molecular orbital": {}, "bandgap": {"entity_name": "optical bandgaps", "entity_start": 58, "entity_end": 59, "property_value_start": 64, "property_value_end": 65, "property_numeric_value": 1.18, "property_unit": "eV", "property_value_descriptor": ""}, "hole mobility": {}, "electron mobility": {}, "external quantum efficiency": {}}</t>
  </si>
  <si>
    <t xml:space="preserve">10.1016/j.orgel.2016.07.027</t>
  </si>
  <si>
    <t xml:space="preserve">{"power conversion efficiency": {"entity_name": "PCE", "entity_start": 155, "entity_end": 155, "property_value_start": 159, "property_value_end": 160,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</si>
  <si>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10.1016/j.orgel.2012.04.013</t>
  </si>
  <si>
    <t xml:space="preserve">{"power conversion efficiency": {"entity_name": "power conversion efficiency", "entity_start": 76, "entity_end": 78, "property_value_start": 84, "property_value_end": 85, "property_numeric_value": 5.2, "property_unit": "%", "property_value_descriptor": ""}, "open circuit voltage": {"entity_name": "V_{OC}", "entity_start": 144, "entity_end": 145, "property_value_start": 147, "property_value_end": 148, "property_numeric_value": 1.205,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</si>
  <si>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10.1016/j.orgel.2012.04.028</t>
  </si>
  <si>
    <t xml:space="preserve">{"power conversion efficiency": {"entity_name": "PCE", "entity_start": 190, "entity_end": 190, "property_value_start": 192, "property_value_end": 193, "property_numeric_value": 3.12, "property_unit": "%", "property_value_descriptor": ""}, "open circuit voltage": {}, "short circuit current": {"entity_name": "J_{SC}", "entity_start": 180, "entity_end": 182, "property_value_start": 184, "property_value_end": 187, "property_numeric_value": 10.54,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</si>
  <si>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10.1016/j.orgel.2016.10.039</t>
  </si>
  <si>
    <t xml:space="preserve">P2b</t>
  </si>
  <si>
    <t xml:space="preserve">['poly((9H-fluoren-9-ylidene)methylene)bis((2-ethylhexyl)sulfane)-alt-4,7-di(thiophen-2-yl)benzo[c][1,2,5]thiadiazole', 'P2b']</t>
  </si>
  <si>
    <t xml:space="preserve">{"power conversion efficiency": {"entity_name": "PCE", "entity_start": 228, "entity_end": 228, "property_value_start": 231, "property_value_end": 232, "property_numeric_value": 1.4,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</si>
  <si>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10.1016/j.orgel.2016.11.006</t>
  </si>
  <si>
    <t xml:space="preserve">DR3TBDTT</t>
  </si>
  <si>
    <t xml:space="preserve">['DR3TBDTT']</t>
  </si>
  <si>
    <t xml:space="preserve">{"power conversion efficiency": {"entity_name": "PCE", "entity_start": 106, "entity_end": 106, "property_value_start": 108, "property_value_end": 109, "property_numeric_value": 9.25,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</si>
  <si>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10.1016/j.orgel.2016.11.009</t>
  </si>
  <si>
    <t xml:space="preserve">{"power conversion efficiency": {"entity_name": "PCE", "entity_start": 249, "entity_end": 249, "property_value_start": 261, "property_value_end": 262, "property_numeric_value": 6.86,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</si>
  <si>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10.1016/j.orgel.2016.11.038</t>
  </si>
  <si>
    <t xml:space="preserve">P(PDI-BDT-Ph); P(PDI-BDT-Th); PDI</t>
  </si>
  <si>
    <t xml:space="preserve">{"power conversion efficiency": {"entity_name": "PCE", "entity_start": 130, "entity_end": 130, "property_value_start": 133, "property_value_end": 134, "property_numeric_value": 4.31, "property_unit": "%", "property_value_descriptor": ""}, "open circuit voltage": {"entity_name": "V_{oc}", "entity_start": 158, "entity_end": 159, "property_value_start": 162, "property_value_end": 163, "property_numeric_value": 0.81, "property_unit": "V", "property_value_descriptor": ""}, "short circuit current": {}, "fill factor": {"entity_name": "FF", "entity_start": 170, "entity_end": 170, "property_value_start": 173, "property_value_end": 174, "property_numeric_value": 44.49,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</si>
  <si>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197, "entity_end": 197, "property_value_start": 199, "property_value_end": 200, "property_numeric_value": 3.58, "property_unit": "%", "property_value_descriptor": ""}, "open circuit voltage": {"entity_name": "V_{oc}", "entity_start": 211, "entity_end": 212, "property_value_start": 214, "property_value_end": 215, "property_numeric_value": 0.79, "property_unit": "V", "property_value_descriptor": ""}, "short circuit current": {"entity_name": "J_{sc}", "entity_start": 203, "entity_end": 204, "property_value_start": 206, "property_value_end": 209, "property_numeric_value": 11.36, "property_unit": "mA cm^{-2}", "property_value_descriptor": ""}, "fill factor": {"entity_name": "FF", "entity_start": 218, "entity_end": 218, "property_value_start": 220, "property_value_end": 221, "property_numeric_value": 40.0,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</si>
  <si>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10.1016/j.orgel.2016.12.018</t>
  </si>
  <si>
    <t xml:space="preserve">{"power conversion efficiency": {"entity_name": "PCE", "entity_start": 99, "entity_end": 99, "property_value_start": 104, "property_value_end": 105, "property_numeric_value": 3.8,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</si>
  <si>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10.1016/j.orgel.2012.07.024</t>
  </si>
  <si>
    <t xml:space="preserve">{"power conversion efficiency": {}, "open circuit voltage": {"entity_name": "V_{oc}'s", "entity_start": 95, "entity_end": 97, "property_value_start": 99, "property_value_end": 102, "property_numeric_value": 0.72, "property_unit": "V", "property_value_descriptor": "and"}, "short circuit current": {"entity_name": "J_{sc}'s", "entity_start": 110, "entity_end": 112, "property_value_start": 114, "property_value_end": 120, "property_numeric_value": -12.075, "property_unit": "mA/cm^{2}", "property_value_descriptor": "and"}, "fill factor": {"entity_name": "FFs", "entity_start": 125, "entity_end": 125, "property_value_start": 131, "property_value_end": 132, "property_numeric_value": 60.03,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</si>
  <si>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10.1016/j.orgel.2012.07.029</t>
  </si>
  <si>
    <t xml:space="preserve">{"power conversion efficiency": {"entity_name": "PCE", "entity_start": 184, "entity_end": 184, "property_value_start": 186, "property_value_end": 190, "property_numeric_value": 0.5700000000000001, "property_unit": "%", "property_value_descriptor": ""}, "open circuit voltage": {"entity_name": "V_{OC}", "entity_start": 164, "entity_end": 165, "property_value_start": 167, "property_value_end": 168, "property_numeric_value": 0.6, "property_unit": "V", "property_value_descriptor": ""}, "short circuit current": {"entity_name": "J_{SC}", "entity_start": 170, "entity_end": 171, "property_value_start": 173, "property_value_end": 177, "property_numeric_value": 4.61, "property_unit": "mA/cm^{2}", "property_value_descriptor": ""}, "fill factor": {"entity_name": "FF", "entity_start": 179, "entity_end": 179, "property_value_start": 181, "property_value_end": 181, "property_numeric_value": 21.0,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</si>
  <si>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10.1016/j.orgel.2017.01.003</t>
  </si>
  <si>
    <t xml:space="preserve">6-diyl)]</t>
  </si>
  <si>
    <t xml:space="preserve">{"power conversion efficiency": {"entity_name": "PCE", "entity_start": 146, "entity_end": 146, "property_value_start": 148, "property_value_end": 149, "property_numeric_value": 9.4,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</si>
  <si>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10.1016/j.orgel.2012.07.033</t>
  </si>
  <si>
    <t xml:space="preserve">['poly-3-hexylthiophene', 'P3HT']</t>
  </si>
  <si>
    <t xml:space="preserve">{"power conversion efficiency": {"entity_name": "power conversion efficiency", "entity_start": 112, "entity_end": 114, "property_value_start": 117, "property_value_end": 118, "property_numeric_value": 3.45,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</si>
  <si>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10.1016/j.orgel.2019.105458</t>
  </si>
  <si>
    <t xml:space="preserve">["poly{4,8-bis [(2-ethylhexyl)oxy]benzo [1,2-b:4,5-b']dithiophene-2,6-diyl-alt-3-fluoro-2-[(2-ethylhexyl)carbonyl]thieno [3,4-b]thiophene-4,6-diyl}:[6,6]-phenyl C71-butyric acid methyl ester", 'PTB7']</t>
  </si>
  <si>
    <t xml:space="preserve">{"power conversion efficiency": {"entity_name": "PCE", "entity_start": 204, "entity_end": 204, "property_value_start": 206, "property_value_end": 207, "property_numeric_value": 11.74,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</si>
  <si>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10.1016/j.orgel.2019.105482</t>
  </si>
  <si>
    <t xml:space="preserve">{"power conversion efficiency": {"entity_name": "power conversion efficiency", "entity_start": 96, "entity_end": 98, "property_value_start": 100, "property_value_end": 101, "property_numeric_value": 9.036, "property_unit": "%", "property_value_descriptor": ""}, "open circuit voltage": {}, "short circuit current": {}, "fill factor": {"entity_name": "fill factor", "entity_start": 90, "entity_end": 91, "property_value_start": 93, "property_value_end": 94, "property_numeric_value": 69.83,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</si>
  <si>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10.1016/j.orgel.2012.10.015</t>
  </si>
  <si>
    <t xml:space="preserve">{"power conversion efficiency": {"entity_name": "PCE", "entity_start": 147, "entity_end": 147, "property_value_start": 154, "property_value_end": 155, "property_numeric_value": 4.27, "property_unit": "%", "property_value_descriptor": ""}, "open circuit voltage": {"entity_name": "open circuit voltage", "entity_start": 125, "entity_end": 127, "property_value_start": 139, "property_value_end": 140, "property_numeric_value": 0.82,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</si>
  <si>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10.1016/j.orgel.2017.03.022</t>
  </si>
  <si>
    <t xml:space="preserve">PPDI-F</t>
  </si>
  <si>
    <t xml:space="preserve">['PPDI-F']</t>
  </si>
  <si>
    <t xml:space="preserve">{"power conversion efficiency": {"entity_name": "power conversion efficiency", "entity_start": 161, "entity_end": 163, "property_value_start": 183, "property_value_end": 184, "property_numeric_value": 2.73, "property_unit": "%", "property_value_descriptor": ""}, "open circuit voltage": {}, "short circuit current": {}, "fill factor": {}, "highest occupied molecular orbital": {}, "lowest unoccupied molecular orbital": {"entity_name": "lowest unoccupied molecular orbital energy levels", "entity_start": 98, "entity_end": 103, "property_value_start": 106, "property_value_end": 107, "property_numeric_value": -3.8, "property_unit": "eV", "property_value_descriptor": ""}, "bandgap": {}, "hole mobility": {}, "electron mobility": {}, "external quantum efficiency": {}}</t>
  </si>
  <si>
    <t xml:space="preserve">10.1016/j.orgel.2012.11.010</t>
  </si>
  <si>
    <t xml:space="preserve">diketopyrrolopyrrole</t>
  </si>
  <si>
    <t xml:space="preserve">['diketopyrrolopyrrole']</t>
  </si>
  <si>
    <t xml:space="preserve">{"power conversion efficiency": {"entity_name": "power conversion efficiencies", "entity_start": 107, "entity_end": 109, "property_value_start": 114, "property_value_end": 115, "property_numeric_value": 4.9,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</si>
  <si>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10.1016/j.orgel.2012.11.022</t>
  </si>
  <si>
    <t xml:space="preserve">{"power conversion efficiency": {"entity_name": "solar power conversion efficiency", "entity_start": 119, "entity_end": 122, "property_value_start": 124, "property_value_end": 125, "property_numeric_value": 0.5,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</si>
  <si>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10.1016/j.orgel.2012.12.003</t>
  </si>
  <si>
    <t xml:space="preserve">thiadiazolo[3,4-c]pyridine</t>
  </si>
  <si>
    <t xml:space="preserve">PyTZ</t>
  </si>
  <si>
    <t xml:space="preserve">{"power conversion efficiency": {"entity_name": "PCEs", "entity_start": 118, "entity_end": 118, "property_value_start": 124, "property_value_end": 125, "property_numeric_value": 5.11,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</si>
  <si>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10.1016/j.orgel.2017.05.027</t>
  </si>
  <si>
    <t xml:space="preserve">{"power conversion efficiency": {"entity_name": "PCE", "entity_start": 84, "entity_end": 84, "property_value_start": 90, "property_value_end": 91, "property_numeric_value": 8.18,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</si>
  <si>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10.1016/j.orgel.2011.02.017</t>
  </si>
  <si>
    <t xml:space="preserve">{"power conversion efficiency": {"entity_name": "power conversion efficiency", "entity_start": 160, "entity_end": 162, "property_value_start": 164, "property_value_end": 165, "property_numeric_value": 2.4,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</si>
  <si>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10.1016/j.orgel.2013.01.031</t>
  </si>
  <si>
    <t xml:space="preserve">['P3HT', 'poly(3-hexylthiophene) P3HT']</t>
  </si>
  <si>
    <t xml:space="preserve">{"power conversion efficiency": {"entity_name": "PCE", "entity_start": 72, "entity_end": 72, "property_value_start": 75, "property_value_end": 76, "property_numeric_value": 4.22,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</si>
  <si>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poly(3-hexylthiophene) P3HT</t>
  </si>
  <si>
    <t xml:space="preserve">{"power conversion efficiency": {"entity_name": "PCE", "entity_start": 83, "entity_end": 83, "property_value_start": 85, "property_value_end": 86, "property_numeric_value": 3.68,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</si>
  <si>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10.1016/j.orgel.2013.03.003</t>
  </si>
  <si>
    <t xml:space="preserve">poly[N-9''-hepta-decanyl-2,7-carbazole-alt-5,5-(4',7'-di-2-thienyl-2',1',3'-benzothiadiazole)]</t>
  </si>
  <si>
    <t xml:space="preserve">{"power conversion efficiency": {"entity_name": "power conversion efficiency", "entity_start": 204, "entity_end": 206, "property_value_start": 210, "property_value_end": 211, "property_numeric_value": 5.1,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</si>
  <si>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10.1016/j.orgel.2013.03.018</t>
  </si>
  <si>
    <t xml:space="preserve">PTh-BDT-2DTDPP</t>
  </si>
  <si>
    <t xml:space="preserve">['PTh-BDT-2DTDPP']</t>
  </si>
  <si>
    <t xml:space="preserve">{"power conversion efficiency": {"entity_name": "power conversion efficiency", "entity_start": 83, "entity_end": 85, "property_value_start": 87, "property_value_end": 88, "property_numeric_value": 4.36, "property_unit": "%", "property_value_descriptor": ""}, "open circuit voltage": {"entity_name": "open-circuit voltage", "entity_start": 92, "entity_end": 95, "property_value_start": 97, "property_value_end": 98, "property_numeric_value": 0.78, "property_unit": "V", "property_value_descriptor": ""}, "short circuit current": {"entity_name": "short-circuit current", "entity_start": 101, "entity_end": 104, "property_value_start": 106, "property_value_end": 109, "property_numeric_value": 10.47, "property_unit": "mA cm^{-2}", "property_value_descriptor": ""}, "fill factor": {"entity_name": "fill factor", "entity_start": 112, "entity_end": 113, "property_value_start": 115, "property_value_end": 116, "property_numeric_value": 53.0,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</si>
  <si>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10.1016/j.orgel.2017.08.008</t>
  </si>
  <si>
    <t xml:space="preserve">DPP(ThAr)_{2}</t>
  </si>
  <si>
    <t xml:space="preserve">['DPP(ThAr)_{2}', 'DPP(ThAr)_{2}].']</t>
  </si>
  <si>
    <t xml:space="preserve">{"power conversion efficiency": {"entity_name": "power conversion efficiencies", "entity_start": 213, "entity_end": 215, "property_value_start": 222, "property_value_end": 223, "property_numeric_value": 2.6,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</si>
  <si>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10.1016/j.orgel.2013.04.038</t>
  </si>
  <si>
    <t xml:space="preserve">{"power conversion efficiency": {"entity_name": "power conversion efficiency", "entity_start": 101, "entity_end": 103, "property_value_start": 105, "property_value_end": 106, "property_numeric_value": 4.42,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</si>
  <si>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10.1016/j.orgel.2017.08.031</t>
  </si>
  <si>
    <t xml:space="preserve">PBDDIDTT</t>
  </si>
  <si>
    <t xml:space="preserve">['PBDDIDTT']</t>
  </si>
  <si>
    <t xml:space="preserve">{"power conversion efficiency": {"entity_name": "PCE", "entity_start": 113, "entity_end": 113, "property_value_start": 118, "property_value_end": 119, "property_numeric_value": 6.4,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</si>
  <si>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10.1016/j.orgel.2013.09.030</t>
  </si>
  <si>
    <t xml:space="preserve">PODBDT-BTz</t>
  </si>
  <si>
    <t xml:space="preserve">['PODBDT-BTz']</t>
  </si>
  <si>
    <t xml:space="preserve">{"power conversion efficiency": {"entity_name": "PCE", "entity_start": 186, "entity_end": 186, "property_value_start": 202, "property_value_end": 203, "property_numeric_value": 3.71,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</si>
  <si>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10.1016/j.orgel.2013.11.036</t>
  </si>
  <si>
    <t xml:space="preserve">['P3BT', 'P3BTs', 'P3HT']</t>
  </si>
  <si>
    <t xml:space="preserve">{"power conversion efficiency": {"entity_name": "power conversion efficiency", "entity_start": 152, "entity_end": 154, "property_value_start": 156, "property_value_end": 157,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</si>
  <si>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10.1016/j.orgel.2018.03.001</t>
  </si>
  <si>
    <t xml:space="preserve">triptycenyl-phenazino-thiadiazole</t>
  </si>
  <si>
    <t xml:space="preserve">{"power conversion efficiency": {"entity_name": "power conversion efficiency", "entity_start": 59, "entity_end": 61, "property_value_start": 63, "property_value_end": 64, "property_numeric_value": 2.4,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</si>
  <si>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10.1016/j.orgel.2018.03.028</t>
  </si>
  <si>
    <t xml:space="preserve">FBTA</t>
  </si>
  <si>
    <t xml:space="preserve">J46-based</t>
  </si>
  <si>
    <t xml:space="preserve">['J46-based']</t>
  </si>
  <si>
    <t xml:space="preserve">{"power conversion efficiency": {"entity_name": "PCE", "entity_start": 68, "entity_end": 68, "property_value_start": 114, "property_value_end": 115, "property_numeric_value": 9.0,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</si>
  <si>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119, "entity_end": 119, "property_value_start": 126, "property_value_end": 127, "property_numeric_value": 2.33,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</si>
  <si>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10.1016/j.orgel.2018.03.017</t>
  </si>
  <si>
    <t xml:space="preserve">{"power conversion efficiency": {"entity_name": "power conversion efficiency", "entity_start": 322, "entity_end": 324, "property_value_start": 333, "property_value_end": 334, "property_numeric_value": 7.61,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</si>
  <si>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10.1016/j.orgel.2020.105725</t>
  </si>
  <si>
    <t xml:space="preserve">["poly[(2,6-(4,8-bis(5-(2-ethylhexy)thiophen-2-yl)-benzo[1,2-b:4,5-b']dithiophene))-alt-(5,5-(1',3'-di-2-thienyl-5',7'-bis(2-ethylhexyl)benzo[1',2'-c:4'5'-c']dithiophene-4,8-dione))]", 'PBDB-T']</t>
  </si>
  <si>
    <t xml:space="preserve">IT</t>
  </si>
  <si>
    <t xml:space="preserve">['IT']</t>
  </si>
  <si>
    <t xml:space="preserve">{"power conversion efficiency": {"entity_name": "PCE", "entity_start": 203, "entity_end": 203, "property_value_start": 206, "property_value_end": 207, "property_numeric_value": 9.34,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</si>
  <si>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10.1016/j.orgel.2018.04.003</t>
  </si>
  <si>
    <t xml:space="preserve">F3TBT3</t>
  </si>
  <si>
    <t xml:space="preserve">['F3TBT3']</t>
  </si>
  <si>
    <t xml:space="preserve">{"power conversion efficiency": {"entity_name": "PCE", "entity_start": 155, "entity_end": 155, "property_value_start": 157, "property_value_end": 158, "property_numeric_value": 4.19,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</si>
  <si>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10.1016/j.orgel.2014.02.004</t>
  </si>
  <si>
    <t xml:space="preserve">{"power conversion efficiency": {"entity_name": "PCE", "entity_start": 115, "entity_end": 115, "property_value_start": 123, "property_value_end": 124, "property_numeric_value": 3.4,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</si>
  <si>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10.1016/j.orgel.2018.04.047</t>
  </si>
  <si>
    <t xml:space="preserve">poly(N-Dodecyl-2,7-carbazole-alt-benzothiadiazole)</t>
  </si>
  <si>
    <t xml:space="preserve">['poly(N-Dodecyl-2,7-carbazole-alt-benzothiadiazole)', 'CBZ-BT']</t>
  </si>
  <si>
    <t xml:space="preserve">{"power conversion efficiency": {"entity_name": "power conversion efficiency", "entity_start": 308, "entity_end": 310, "property_value_start": 312, "property_value_end": 313, "property_numeric_value": 1.7, "property_unit": "%", "property_value_descriptor": "~"}, "open circuit voltage": {"entity_name": "open circuit voltage", "entity_start": 299, "entity_end": 301, "property_value_start": 303, "property_value_end": 304, "property_numeric_value": 0.85, "property_unit": "V", "property_value_descriptor": "~"},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</si>
  <si>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10.1016/j.orgel.2018.05.050</t>
  </si>
  <si>
    <t xml:space="preserve">IDT-TN</t>
  </si>
  <si>
    <t xml:space="preserve">['IDT-TN']</t>
  </si>
  <si>
    <t xml:space="preserve">{"power conversion efficiency": {"entity_name": "power conversion efficiency", "entity_start": 87, "entity_end": 89, "property_value_start": 92, "property_value_end": 93, "property_numeric_value": 5.89, "property_unit": "%", "property_value_descriptor": ""}, "open circuit voltage": {"entity_name": "open-circuit voltage", "entity_start": 100, "entity_end": 103, "property_value_start": 105, "property_value_end": 106, "property_numeric_value": 0.97,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</si>
  <si>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10.1016/j.orgel.2014.03.011</t>
  </si>
  <si>
    <t xml:space="preserve">['P', 'TPA(DPP-P)_{2}-based']</t>
  </si>
  <si>
    <t xml:space="preserve">{"power conversion efficiency": {"entity_name": "PCE", "entity_start": 129, "entity_end": 129, "property_value_start": 132, "property_value_end": 133, "property_numeric_value": 3.42, "property_unit": "%", "property_value_descriptor": ""}, "open circuit voltage": {}, "short circuit current": {"entity_name": "J_{sc}", "entity_start": 143, "entity_end": 144, "property_value_start": 147, "property_value_end": 151, "property_numeric_value": 9.2,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</si>
  <si>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10.1016/j.orgel.2014.04.012</t>
  </si>
  <si>
    <t xml:space="preserve">Poly(3-hexylthiophene-2,5-diyl)</t>
  </si>
  <si>
    <t xml:space="preserve">['Poly(3-hexylthiophene-2,5-diyl)']</t>
  </si>
  <si>
    <t xml:space="preserve">{"power conversion efficiency": {"entity_name": "power conversion efficiency", "entity_start": 143, "entity_end": 145, "property_value_start": 147, "property_value_end": 148, "property_numeric_value": 3.4,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</si>
  <si>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10.1016/j.orgel.2014.08.022</t>
  </si>
  <si>
    <t xml:space="preserve">PBDTT-TQ</t>
  </si>
  <si>
    <t xml:space="preserve">['PBDTT-TQ', 'PBDTT-TTQ']</t>
  </si>
  <si>
    <t xml:space="preserve">{"power conversion efficiency": {"entity_name": "power conversion efficiency", "entity_start": 108, "entity_end": 110, "property_value_start": 112, "property_value_end": 113, "property_numeric_value": 5.9, "property_unit": "%", "property_value_descriptor": ""}, "open circuit voltage": {}, "short circuit current": {"entity_name": "short circuit current", "entity_start": 116, "entity_end": 118, "property_value_start": 120, "property_value_end": 124, "property_numeric_value": 13.7, "property_unit": "mA/cm^{2}", "property_value_descriptor": ""}, "fill factor": {"entity_name": "fill factor", "entity_start": 127, "entity_end": 128, "property_value_start": 130, "property_value_end": 130, "property_numeric_value": 56.00000000000001,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</si>
  <si>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10.1016/j.orgel.2014.08.042</t>
  </si>
  <si>
    <t xml:space="preserve">{"power conversion efficiency": {"entity_name": "PCE", "entity_start": 189, "entity_end": 189, "property_value_start": 191, "property_value_end": 192, "property_numeric_value": 3.17,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</si>
  <si>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10.1016/j.orgel.2014.10.024</t>
  </si>
  <si>
    <t xml:space="preserve">poly[N-9''-hepta-decanyl-2,7-carbazole-alt-5,5-(4',7'-di-2-thienyl-2',1',3'-benzothiadiazole)</t>
  </si>
  <si>
    <t xml:space="preserve">bis(trifluoromethanesulfonyl)amide</t>
  </si>
  <si>
    <t xml:space="preserve">['bis(trifluoromethanesulfonyl)amide', 'TFSA']</t>
  </si>
  <si>
    <t xml:space="preserve">{"power conversion efficiency": {"entity_name": "PCE", "entity_start": 133, "entity_end": 133, "property_value_start": 142, "property_value_end": 143, "property_numeric_value": 5.98,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</si>
  <si>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10.1016/j.orgel.2014.11.021</t>
  </si>
  <si>
    <t xml:space="preserve">PBDTDT(Qx-2)-T</t>
  </si>
  <si>
    <t xml:space="preserve">['PBDTDT(Qx-2)-T']</t>
  </si>
  <si>
    <t xml:space="preserve">{"power conversion efficiency": {"entity_name": "PCE", "entity_start": 110, "entity_end": 110, "property_value_start": 113, "property_value_end": 114, "property_numeric_value": 6.31, "property_unit": "%", "property_value_descriptor": ""}, "open circuit voltage": {"entity_name": "V_{oc}", "entity_start": 116, "entity_end": 117, "property_value_start": 119, "property_value_end": 120, "property_numeric_value": 0.95, "property_unit": "V", "property_value_descriptor": ""}, "short circuit current": {"entity_name": "short-circuit current", "entity_start": 122, "entity_end": 125, "property_value_start": 127, "property_value_end": 130, "property_numeric_value": 10.82, "property_unit": "mA cm^{-2}", "property_value_descriptor": ""}, "fill factor": {"entity_name": "fill factor", "entity_start": 132, "entity_end": 133, "property_value_start": 135, "property_value_end": 136, "property_numeric_value": 61.4,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</si>
  <si>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10.1016/j.orgel.2014.12.029</t>
  </si>
  <si>
    <t xml:space="preserve">{"power conversion efficiency": {"entity_name": "power conversion efficiency", "entity_start": 210, "entity_end": 212, "property_value_start": 221, "property_value_end": 224, "property_numeric_value": 2.4, "property_unit": "%", "property_value_descriptor": ""}, "open circuit voltage": {"entity_name": "open-circuit voltage", "entity_start": 189, "entity_end": 192, "property_value_start": 194, "property_value_end": 197, "property_numeric_value": 0.808, "property_unit": "V", "property_value_descriptor": ""}, "short circuit current": {}, "fill factor": {"entity_name": "fill factor", "entity_start": 181, "entity_end": 182, "property_value_start": 184, "property_value_end": 186, "property_numeric_value": 53.0,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</si>
  <si>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10.1016/j.orgel.2015.10.011</t>
  </si>
  <si>
    <t xml:space="preserve">{"power conversion efficiency": {"entity_name": "power conversion efficiencies", "entity_start": 122, "entity_end": 124, "property_value_start": 126, "property_value_end": 127, "property_numeric_value": 2.9,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</si>
  <si>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10.1016/j.orgel.2015.04.013</t>
  </si>
  <si>
    <t xml:space="preserve">TTPABDT</t>
  </si>
  <si>
    <t xml:space="preserve">{"power conversion efficiency": {"entity_name": "PCE", "entity_start": 184, "entity_end": 184, "property_value_start": 186, "property_value_end": 187, "property_numeric_value": 3.92, "property_unit": "%", "property_value_descriptor": ""}, "open circuit voltage": {}, "short circuit current": {}, "fill factor": {"entity_name": "FF", "entity_start": 190, "entity_end": 190, "property_value_start": 192, "property_value_end": 193, "property_numeric_value": 58.8, "property_unit": "%", "property_value_descriptor": ""}, "highest occupied molecular orbital": {}, "lowest unoccupied molecular orbital": {}, "bandgap": {}, "hole mobility": {"entity_name": "hole mobility", "entity_start": 97, "entity_end": 98, "property_value_start": 100, "property_value_end": 109, "property_numeric_value": 0.000215, "property_unit": "cm^{2} V^{-1} s^{-1}", "property_value_descriptor": ""}, "electron mobility": {}, "external quantum efficiency": {}}</t>
  </si>
  <si>
    <t xml:space="preserve">10.1016/j.orgel.2020.105738</t>
  </si>
  <si>
    <t xml:space="preserve">PDTBT-OTT</t>
  </si>
  <si>
    <t xml:space="preserve">['PDTBT-OTT', 'PTTBT-OTT', 'PBTBT-OTT']</t>
  </si>
  <si>
    <t xml:space="preserve">{"power conversion efficiency": {"entity_name": "PCE", "entity_start": 279, "entity_end": 279, "property_value_start": 281, "property_value_end": 282, "property_numeric_value": 8.61, "property_unit": "%", "property_value_descriptor": ""}, "open circuit voltage": {}, "short circuit current": {"entity_name": "J_{SC}", "entity_start": 271, "entity_end": 272, "property_value_start": 274, "property_value_end": 277, "property_numeric_value": 16.61,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</si>
  <si>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10.1016/j.orgel.2015.07.003</t>
  </si>
  <si>
    <t xml:space="preserve">DIO</t>
  </si>
  <si>
    <t xml:space="preserve">['1,8-diiodooctane', 'DIO']</t>
  </si>
  <si>
    <t xml:space="preserve">{"power conversion efficiency": {"entity_name": "PCE", "entity_start": 131, "entity_end": 131, "property_value_start": 134, "property_value_end": 135, "property_numeric_value": 4.45,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</si>
  <si>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{}, "short circuit current": {}, "fill factor": {}, "highest occupied molecular orbital": {}, "lowest unoccupied molecular orbital": {}, "bandgap": {}, "hole mobility": {}, "electron mobility": {"entity_name": "electron mobilities", "entity_start": 239, "entity_end": 240, "property_value_start": 254, "property_value_end": 260, "property_numeric_value": 0.36, "property_unit": "cm^{2} V^{-1} s^{-1}", "property_value_descriptor": ""}, "external quantum efficiency": {}}</t>
  </si>
  <si>
    <t xml:space="preserve">10.1016/j.orgel.2015.07.005</t>
  </si>
  <si>
    <t xml:space="preserve">{"power conversion efficiency": {"entity_name": "PCE", "entity_start": 47, "entity_end": 47, "property_value_start": 49, "property_value_end": 50, "property_numeric_value": 4.37,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</si>
  <si>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10.1016/j.orgel.2013.06.012</t>
  </si>
  <si>
    <t xml:space="preserve">{"power conversion efficiency": {"entity_name": "PCE", "entity_start": 188, "entity_end": 188, "property_value_start": 190, "property_value_end": 191, "property_numeric_value": 4.8,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</si>
  <si>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10.1016/j.orgel.2015.11.030</t>
  </si>
  <si>
    <t xml:space="preserve">poly(3,4-ethylene dioxythiophene)</t>
  </si>
  <si>
    <t xml:space="preserve">['poly(3,4-ethylene dioxythiophene)']</t>
  </si>
  <si>
    <t xml:space="preserve">{"power conversion efficiency": {"entity_name": "PCE", "entity_start": 157, "entity_end": 157, "property_value_start": 171, "property_value_end": 172, "property_numeric_value": 2.33,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</si>
  <si>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10.1016/j.orgel.2015.12.032</t>
  </si>
  <si>
    <t xml:space="preserve">P(BDTT-BDPPD)</t>
  </si>
  <si>
    <t xml:space="preserve">['P(BDT-BDPPD)', 'P(BDTT-BDPPD)']</t>
  </si>
  <si>
    <t xml:space="preserve">{"power conversion efficiency": {"entity_name": "PCEs", "entity_start": 194, "entity_end": 194, "property_value_start": 200, "property_value_end": 201, "property_numeric_value": 3.63,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</si>
  <si>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10.1016/j.orgel.2008.07.003</t>
  </si>
  <si>
    <t xml:space="preserve">{"power conversion efficiency": {"entity_name": "power conversion efficiency", "entity_start": 96, "entity_end": 98, "property_value_start": 100, "property_value_end": 101, "property_numeric_value": 2.6,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</si>
  <si>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10.1016/j.orgel.2009.02.008</t>
  </si>
  <si>
    <t xml:space="preserve">MDMO-PPV</t>
  </si>
  <si>
    <t xml:space="preserve">['poly[2-methoxy-5-(3,7-dimethyloctyloxy)-1,4-phenylenevinylene]', 'MDMO-PPV']</t>
  </si>
  <si>
    <t xml:space="preserve">{"power conversion efficiency": {"entity_name": "power conversion efficiency", "entity_start": 248, "entity_end": 250, "property_value_start": 252, "property_value_end": 253, "property_numeric_value": 0.93,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</si>
  <si>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10.1016/j.orgel.2009.05.025</t>
  </si>
  <si>
    <t xml:space="preserve">PF-PThCVPTZ</t>
  </si>
  <si>
    <t xml:space="preserve">['PF-PThCVPTZ']</t>
  </si>
  <si>
    <t xml:space="preserve">{"power conversion efficiency": {"entity_name": "PCE", "entity_start": 118, "entity_end": 118, "property_value_start": 121, "property_value_end": 122, "property_numeric_value": 1.85, "property_unit": "%", "property_value_descriptor": ""}, "open circuit voltage": {"entity_name": "V_{OC}", "entity_start": 147, "entity_end": 149, "property_value_start": 151, "property_value_end": 152, "property_numeric_value": 0.8, "property_unit": "V", "property_value_descriptor": ""}, "short circuit current": {"entity_name": "J_{SC}", "entity_start": 132, "entity_end": 134, "property_value_start": 136, "property_value_end": 140, "property_numeric_value": 5.37, "property_unit": "mA/cm^{2}", "property_value_descriptor": ""}, "fill factor": {"entity_name": "FF", "entity_start": 159, "entity_end": 159, "property_value_start": 162, "property_value_end": 163, "property_numeric_value": 43.0,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</si>
  <si>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10.1016/j.orgel.2016.10.009</t>
  </si>
  <si>
    <t xml:space="preserve">['polythieno[3,4-b]thiophene-co-benzodithiophene', 'PTB7']</t>
  </si>
  <si>
    <t xml:space="preserve">{"power conversion efficiency": {"entity_name": "PCE", "entity_start": 168, "entity_end": 168, "property_value_start": 173, "property_value_end": 174, "property_numeric_value": 8.51,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</si>
  <si>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168, "entity_end": 168, "property_value_start": 170, "property_value_end": 171, "property_numeric_value": 9.66,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</si>
  <si>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["poly(4,8-bis-alkyloxybenzo(l,2-b:4,5-b')dithiophene-2,6-diylalt-(alkylthieno(3,4-b)thiophene-2-carboxylate)-2,6-diyl)", 'PBDTTT-C']</t>
  </si>
  <si>
    <t xml:space="preserve">{"power conversion efficiency": {"entity_name": "PCE", "entity_start": 168, "entity_end": 168, "property_value_start": 176, "property_value_end": 177, "property_numeric_value": 7.19,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</si>
  <si>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10.1016/j.orgel.2019.01.013</t>
  </si>
  <si>
    <t xml:space="preserve">Poly[N-9''-hepta-decanyl-2,7-carbazolealt-5,5-(4',7'-di-2-thienyl-2',1',3'-benzothiadiazole)]</t>
  </si>
  <si>
    <t xml:space="preserve">["Poly[N-9''-hepta-decanyl-2,7-carbazolealt-5,5-(4',7'-di-2-thienyl-2',1',3'-benzothiadiazole)]", 'PCDTBT']</t>
  </si>
  <si>
    <t xml:space="preserve">{"power conversion efficiency": {"entity_name": "PCE", "entity_start": 69, "entity_end": 69, "property_value_start": 72, "property_value_end": 73, "property_numeric_value": 7.07,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</si>
  <si>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10.1016/j.orgel.2010.02.006</t>
  </si>
  <si>
    <t xml:space="preserve">[6,6]-phenyl-C71 butyric acid methyl ester</t>
  </si>
  <si>
    <t xml:space="preserve">{"power conversion efficiency": {"entity_name": "PCE", "entity_start": 57, "entity_end": 57, "property_value_start": 61, "property_value_end": 62, "property_numeric_value": 3.2,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</si>
  <si>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10.1016/j.orgel.2010.02.008</t>
  </si>
  <si>
    <t xml:space="preserve">PDT2Se2</t>
  </si>
  <si>
    <t xml:space="preserve">['PDT2Se2']</t>
  </si>
  <si>
    <t xml:space="preserve">{"power conversion efficiency": {"entity_name": "power conversion efficiencies", "entity_start": 123, "entity_end": 125, "property_value_start": 127, "property_value_end": 128, "property_numeric_value": 1.4, "property_unit": "%", "property_value_descriptor": ""}, "open circuit voltage": {}, "short circuit current": {}, "fill factor": {"entity_name": "fill factor", "entity_start": 151, "entity_end": 152, "property_value_start": 154, "property_value_end": 155, "property_numeric_value": 47.0,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</si>
  <si>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PQT-12</t>
  </si>
  <si>
    <t xml:space="preserve">["poly(3,3'''-didodecyl quaterthiophene)", 'PQT-12']</t>
  </si>
  <si>
    <t xml:space="preserve">{"power conversion efficiency": {}, "open circuit voltage": {"entity_name": "open circuit voltage", "entity_start": 142, "entity_end": 144, "property_value_start": 146, "property_value_end": 147, "property_numeric_value": 0.69, "property_unit": "V", "property_value_descriptor": ""}, "short circuit current": {"entity_name": "short circuit current density", "entity_start": 131, "entity_end": 134, "property_value_start": 136, "property_value_end": 139, "property_numeric_value": 4.3,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</si>
  <si>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10.1016/j.orgel.2010.08.004</t>
  </si>
  <si>
    <t xml:space="preserve">PETVTBT</t>
  </si>
  <si>
    <t xml:space="preserve">['PETVTBT']</t>
  </si>
  <si>
    <t xml:space="preserve">PC_{[71]}BM</t>
  </si>
  <si>
    <t xml:space="preserve">['PC_{[71]}BM']</t>
  </si>
  <si>
    <t xml:space="preserve">{"power conversion efficiency": {"entity_name": "power conversion efficiency", "entity_start": 101, "entity_end": 103, "property_value_start": 105, "property_value_end": 106, "property_numeric_value": 1.0, "property_unit": "%", "property_value_descriptor": ""}, "open circuit voltage": {}, "short circuit current": {}, "fill factor": {}, "highest occupied molecular orbital": {"entity_name": "HOMO level", "entity_start": 52, "entity_end": 53, "property_value_start": 56, "property_value_end": 57, "property_numeric_value": 5.1, "property_unit": "eV", "property_value_descriptor": ""}, "lowest unoccupied molecular orbital": {}, "bandgap": {"entity_name": "band gap", "entity_start": 37, "entity_end": 38, "property_value_start": 40, "property_value_end": 41, "property_numeric_value": 1.57, "property_unit": "eV", "property_value_descriptor": ""}, "hole mobility": {"entity_name": "hole mobility", "entity_start": 71, "entity_end": 72, "property_value_start": 74, "property_value_end": 76, "property_numeric_value": 0.025, "property_unit": "cm^{2}/V s", "property_value_descriptor": ""}, "electron mobility": {}, "external quantum efficiency": {}}</t>
  </si>
  <si>
    <t xml:space="preserve">10.1016/j.orgel.2010.08.010</t>
  </si>
  <si>
    <t xml:space="preserve">CCCCCCCCCCC7(CCCCCCCCCC)c1cc([*])ccc1c6ccc(c5ccc(c3ccc(c2ccc([*])s2)c4nsnc34)s5)cc67</t>
  </si>
  <si>
    <t xml:space="preserve">['poly[9,9-didecanefluorene-alt-(bis-thienylene) benzothiadiazole]', 'PF10TBT']</t>
  </si>
  <si>
    <t xml:space="preserve">['[6,6]-phenyl C_{61}-butyric acid methyl ester', 'PCBM']</t>
  </si>
  <si>
    <t xml:space="preserve">{"power conversion efficiency": {"entity_name": "power conversion efficiency", "entity_start": 135, "entity_end": 137, "property_value_start": 146, "property_value_end": 147, "property_numeric_value": 4.5,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</si>
  <si>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10.1016/j.orgel.2010.11.008</t>
  </si>
  <si>
    <t xml:space="preserve">{"power conversion efficiency": {"entity_name": "PCE", "entity_start": 155, "entity_end": 155, "property_value_start": 162, "property_value_end": 163, "property_numeric_value": 3.7,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</si>
  <si>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10.1016/j.orgel.2010.12.009</t>
  </si>
  <si>
    <t xml:space="preserve">F8TTBTT</t>
  </si>
  <si>
    <t xml:space="preserve">["poly(4-(3,4'-dihexyl-2,2'-bithiophen-5-yl)-7-(5'-(9,9-dioctyl-9H-fluoren-2-yl)-3,4'-dihexyl-2,2'-bithiophen-5-yl)benzo[c][1,2,5]thiadiazole)", 'F8TTBTT']</t>
  </si>
  <si>
    <t xml:space="preserve">{"power conversion efficiency": {"entity_name": "power conversion efficiency", "entity_start": 178, "entity_end": 180, "property_value_start": 186, "property_value_end": 187, "property_numeric_value": 1.54,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</si>
  <si>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10.1016/j.orgel.2017.12.006</t>
  </si>
  <si>
    <t xml:space="preserve">{"power conversion efficiency": {"entity_name": "PCE", "entity_start": 98, "entity_end": 98, "property_value_start": 117, "property_value_end": 118, "property_numeric_value": 9.37,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</si>
  <si>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10.1016/j.orgel.2020.105662</t>
  </si>
  <si>
    <t xml:space="preserve">X94FIC</t>
  </si>
  <si>
    <t xml:space="preserve">['X9T4FIC', 'X94FIC']</t>
  </si>
  <si>
    <t xml:space="preserve">{"power conversion efficiency": {"entity_name": "PCE", "entity_start": 124, "entity_end": 124, "property_value_start": 127, "property_value_end": 128, "property_numeric_value": 7.08,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</si>
  <si>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10.1016/j.orgel.2020.105776</t>
  </si>
  <si>
    <t xml:space="preserve">TPIC-4Cl</t>
  </si>
  <si>
    <t xml:space="preserve">CCCCCCc%15ccc(C%14(c1ccc(CCCCCC)cc1)c%10cc9c6sc5c4sc(C=c3c(=O)c2cc(Cl)c(Cl)cc2c3=C(C#N)C#N)cc4n(CC(CC)CCCC)c5c6C(c7ccc(CCCCCC)cc7)(c8ccc(CCCCCC)cc8)c9cc%10c%13sc(C=c%12c(=O)c%11cc(Cl)c(Cl)cc%11c%12=C(C#N)C#N)cc%13%14)cc%15</t>
  </si>
  <si>
    <t xml:space="preserve">['TPIC-4Cl']</t>
  </si>
  <si>
    <t xml:space="preserve">{"power conversion efficiency": {"entity_name": "PCE", "entity_start": 196, "entity_end": 196, "property_value_start": 198, "property_value_end": 199, "property_numeric_value": 15.0,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</si>
  <si>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140, "entity_end": 140, "property_value_start": 151, "property_value_end": 152, "property_numeric_value": 14.4,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</si>
  <si>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10.1016/j.orgel.2017.05.004</t>
  </si>
  <si>
    <t xml:space="preserve">TTAI</t>
  </si>
  <si>
    <t xml:space="preserve">['Triptycene-trisaroyleneimidazoles', 'TTAI']</t>
  </si>
  <si>
    <t xml:space="preserve">{"power conversion efficiency": {"entity_name": "power conversion efficiency", "entity_start": 151, "entity_end": 153, "property_value_start": 155, "property_value_end": 156, "property_numeric_value": 3.2, "property_unit": "%", "property_value_descriptor": ""}, "open circuit voltage": {"entity_name": "open circuit voltage", "entity_start": 127, "entity_end": 129, "property_value_start": 131, "property_value_end": 132, "property_numeric_value": 0.9,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</si>
  <si>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10.1016/j.orgel.2020.105707</t>
  </si>
  <si>
    <t xml:space="preserve">{"power conversion efficiency": {"entity_name": "PCE", "entity_start": 136, "entity_end": 136, "property_value_start": 138, "property_value_end": 139, "property_numeric_value": 7.31,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</si>
  <si>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10.1016/j.orgel.2020.105701</t>
  </si>
  <si>
    <t xml:space="preserve">{"power conversion efficiency": {"entity_name": "power conversion efficiency", "entity_start": 158, "entity_end": 160, "property_value_start": 162, "property_value_end": 163, "property_numeric_value": 7.1, "property_unit": "%", "property_value_descriptor": ""}, "open circuit voltage": {}, "short circuit current": {}, "fill factor": {"entity_name": "fill factor", "entity_start": 167, "entity_end": 168, "property_value_start": 170, "property_value_end": 171, "property_numeric_value": 75.09,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</si>
  <si>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10.1016/j.orgel.2015.03.012</t>
  </si>
  <si>
    <t xml:space="preserve">{"power conversion efficiency": {"entity_name": "PCE", "entity_start": 235, "entity_end": 235, "property_value_start": 245, "property_value_end": 246, "property_numeric_value": 4.97,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</si>
  <si>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10.1016/j.orgel.2018.07.021</t>
  </si>
  <si>
    <t xml:space="preserve">{"power conversion efficiency": {"entity_name": "PCE", "entity_start": 311, "entity_end": 311, "property_value_start": 313, "property_value_end": 314, "property_numeric_value": 6.55,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</si>
  <si>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10.1016/j.orgel.2018.11.030</t>
  </si>
  <si>
    <t xml:space="preserve">{"power conversion efficiency": {"entity_name": "PCE", "entity_start": 58, "entity_end": 58, "property_value_start": 84, "property_value_end": 85, "property_numeric_value": 3.83,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</si>
  <si>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10.1016/j.orgel.2019.105502</t>
  </si>
  <si>
    <t xml:space="preserve">["poly[4,8-bis(5-(2-ethylhexyl)thiophen-2-yl)benzo[1,2-b:4,5-b']dithiophene-co-3-fluorothieno[3,4-b]thiophene-2-carboxylate] :", '-', 'PTB7-Th']</t>
  </si>
  <si>
    <t xml:space="preserve">{"power conversion efficiency": {"entity_name": "PCE", "entity_start": 106, "entity_end": 106, "property_value_start": 122, "property_value_end": 123, "property_numeric_value": 8.61,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</si>
  <si>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10.1016/j.orgel.2012.12.010</t>
  </si>
  <si>
    <t xml:space="preserve">Poly(3-hexylthiophene)(P3HT)</t>
  </si>
  <si>
    <t xml:space="preserve">['P3HT', 'Poly(3-hexylthiophene)(P3HT)']</t>
  </si>
  <si>
    <t xml:space="preserve">{"power conversion efficiency": {"entity_name": "power conversion efficiency", "entity_start": 180, "entity_end": 182, "property_value_start": 184, "property_value_end": 185, "property_numeric_value": 2.46,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</si>
  <si>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10.1016/j.orgel.2015.11.015</t>
  </si>
  <si>
    <t xml:space="preserve">['poly(3-hexylthiophene),[6,6]-phenyl C61-butyric acid methyl ester', 'P3HT']</t>
  </si>
  <si>
    <t xml:space="preserve">{"power conversion efficiency": {"entity_name": "power conversion efficiency", "entity_start": 222, "entity_end": 224, "property_value_start": 232, "property_value_end": 233, "property_numeric_value": 4.44,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</si>
  <si>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10.1016/j.orgel.2016.11.016</t>
  </si>
  <si>
    <t xml:space="preserve">{"power conversion efficiency": {"entity_name": "PCE", "entity_start": 163, "entity_end": 163, "property_value_start": 165, "property_value_end": 166, "property_numeric_value": 9.12,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</si>
  <si>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10.1016/j.orgel.2013.12.012</t>
  </si>
  <si>
    <t xml:space="preserve">PCB</t>
  </si>
  <si>
    <t xml:space="preserve">['PCB']</t>
  </si>
  <si>
    <t xml:space="preserve">{"power conversion efficiency": {"entity_name": "Power conversion efficiencies", "entity_start": 135, "entity_end": 137, "property_value_start": 147, "property_value_end": 148, "property_numeric_value": 6.2,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</si>
  <si>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10.1016/j.orgel.2017.07.021</t>
  </si>
  <si>
    <t xml:space="preserve">TPI</t>
  </si>
  <si>
    <t xml:space="preserve">['TPI']</t>
  </si>
  <si>
    <t xml:space="preserve">TPI; PDI</t>
  </si>
  <si>
    <t xml:space="preserve">{"power conversion efficiency": {"entity_name": "power conversion efficiencies", "entity_start": 91, "entity_end": 93, "property_value_start": 98, "property_value_end": 99, "property_numeric_value": 3.64,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</si>
  <si>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10.1016/j.orgel.2014.07.026</t>
  </si>
  <si>
    <t xml:space="preserve">{"power conversion efficiency": {"entity_name": "power conversion efficiency", "entity_start": 118, "entity_end": 120, "property_value_start": 125, "property_value_end": 126, "property_numeric_value": 8.13,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</si>
  <si>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10.1016/j.orgel.2010.04.008</t>
  </si>
  <si>
    <t xml:space="preserve">{"power conversion efficiency": {"entity_name": "PCE", "entity_start": 162, "entity_end": 162, "property_value_start": 165, "property_value_end": 166, "property_numeric_value": 3.8,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</si>
  <si>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10.1016/j.orgel.2015.03.001</t>
  </si>
  <si>
    <t xml:space="preserve">POD2T-DTBT</t>
  </si>
  <si>
    <t xml:space="preserve">['POD2T-DTBT']</t>
  </si>
  <si>
    <t xml:space="preserve">{"power conversion efficiency": {"entity_name": "power conversion efficiency", "entity_start": 166, "entity_end": 168, "property_value_start": 175, "property_value_end": 176, "property_numeric_value": 2.66,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</si>
  <si>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efficiency", "entity_start": 166, "entity_end": 168, "property_value_start": 178, "property_value_end": 179, "property_numeric_value": 3.64,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</si>
  <si>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10.1016/j.orgel.2015.03.017</t>
  </si>
  <si>
    <t xml:space="preserve">PMI; PMI-F-PMI</t>
  </si>
  <si>
    <t xml:space="preserve">{"power conversion efficiency": {"entity_name": "PCE", "entity_start": 82, "entity_end": 82, "property_value_start": 84, "property_value_end": 85, "property_numeric_value": 2.3, "property_unit": "%", "property_value_descriptor": ""}, "open circuit voltage": {}, "short circuit current": {}, "fill factor": {}, "highest occupied molecular orbital": {}, "lowest unoccupied molecular orbital": {"entity_name": "LUMO", "entity_start": 116, "entity_end": 116, "property_value_start": 120, "property_value_end": 121, "property_numeric_value": -3.5, "property_unit": "eV", "property_value_descriptor": ""}, "bandgap": {}, "hole mobility": {}, "electron mobility": {}, "external quantum efficiency": {}}</t>
  </si>
  <si>
    <t xml:space="preserve">{"power conversion efficiency": {}, "open circuit voltage": {"entity_name": "V_{oc}", "entity_start": 136, "entity_end": 137, "property_value_start": 140, "property_value_end": 141, "property_numeric_value": 0.98,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</si>
  <si>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10.1016/j.orgel.2012.05.047</t>
  </si>
  <si>
    <t xml:space="preserve">{"power conversion efficiency": {"entity_name": "power conversion efficiency", "entity_start": 134, "entity_end": 136, "property_value_start": 140, "property_value_end": 141, "property_numeric_value": 2.5,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</si>
  <si>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10.1016/j.orgel.2015.08.014</t>
  </si>
  <si>
    <t xml:space="preserve">{"power conversion efficiency": {"entity_name": "PCE", "entity_start": 243, "entity_end": 243, "property_value_start": 266, "property_value_end": 267, "property_numeric_value": 3.1,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</si>
  <si>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10.1016/j.orgel.2010.11.021</t>
  </si>
  <si>
    <t xml:space="preserve">poly[4,4-bis(2-ethylhexyl)-4H-cyclopenta[2,1-b:3,4-b']dithiophene-2,6-diyl-alt-4,7-bis(2-thienyl)-2,1,3-benzothiadiazole-5',5''-diyl]</t>
  </si>
  <si>
    <t xml:space="preserve">["poly[4,4-bis(2-ethylhexyl)-4H-cyclopenta[2,1-b:3,4-b']dithiophene-2,6-diyl-alt-4,7-bis(2-thienyl)-2,1,3-benzothiadiazole-5',5''-diyl]"]</t>
  </si>
  <si>
    <t xml:space="preserve">{"power conversion efficiency": {"entity_name": "power conversion efficiency", "entity_start": 220, "entity_end": 222, "property_value_start": 224, "property_value_end": 225, "property_numeric_value": 1.37, "property_unit": "%", "property_value_descriptor": ""}, "open circuit voltage": {"entity_name": "open-circuit voltage", "entity_start": 190, "entity_end": 193, "property_value_start": 195, "property_value_end": 196, "property_numeric_value": 0.62, "property_unit": "V", "property_value_descriptor": ""}, "short circuit current": {"entity_name": "short-circuit current density", "entity_start": 199, "entity_end": 203, "property_value_start": 205, "property_value_end": 209, "property_numeric_value": -5.37, "property_unit": "mA/cm^{2}", "property_value_descriptor": ""}, "fill factor": {"entity_name": "fill factor", "entity_start": 212, "entity_end": 213, "property_value_start": 215, "property_value_end": 215, "property_numeric_value": 41.0, "property_unit": "%", "property_value_descriptor": ""}, "highest occupied molecular orbital": {}, "lowest unoccupied molecular orbital": {}, "bandgap": {"entity_name": "optical bandgap", "entity_start": 136, "entity_end": 137, "property_value_start": 141, "property_value_end": 142, "property_numeric_value": 1.52, "property_unit": "eV", "property_value_descriptor": ""}, "hole mobility": {}, "electron mobility": {}, "external quantum efficiency": {}}</t>
  </si>
  <si>
    <t xml:space="preserve">10.1016/j.orgel.2016.03.037</t>
  </si>
  <si>
    <t xml:space="preserve">{"power conversion efficiency": {"entity_name": "power conversion efficiency", "entity_start": 191, "entity_end": 193, "property_value_start": 195, "property_value_end": 196, "property_numeric_value": 7.9,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</si>
  <si>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10.1016/j.orgel.2016.05.033</t>
  </si>
  <si>
    <t xml:space="preserve">['-phenyl C61-butyric acid methyl ester', 'P3HT']</t>
  </si>
  <si>
    <t xml:space="preserve">{"power conversion efficiency": {"entity_name": "PCE", "entity_start": 130, "entity_end": 130, "property_value_start": 133, "property_value_end": 134, "property_numeric_value": 4.07,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</si>
  <si>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10.1016/j.orgel.2016.06.018</t>
  </si>
  <si>
    <t xml:space="preserve">{"power conversion efficiency": {"entity_name": "PCE", "entity_start": 148, "entity_end": 148, "property_value_start": 150, "property_value_end": 151, "property_numeric_value": 7.4,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</si>
  <si>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10.1016/j.orgel.2017.10.005</t>
  </si>
  <si>
    <t xml:space="preserve">[3-fluoro-2-[(2-ethylhexyl) carbonyl] thieno[3,4-b]-thiophenediyl]]</t>
  </si>
  <si>
    <t xml:space="preserve">[6,6]- phenyl-C70-butyric-acid-methyl-ester</t>
  </si>
  <si>
    <t xml:space="preserve">{"power conversion efficiency": {"entity_name": "Power conversion efficiency", "entity_start": 123, "entity_end": 125, "property_value_start": 188, "property_value_end": 189, "property_numeric_value": 7.48,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</si>
  <si>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10.1016/j.orgel.2019.02.015</t>
  </si>
  <si>
    <t xml:space="preserve">{"power conversion efficiency": {"entity_name": "PCE", "entity_start": 157, "entity_end": 157, "property_value_start": 201, "property_value_end": 202, "property_numeric_value": 9.51,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</si>
  <si>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10.1016/j.orgel.2018.07.026</t>
  </si>
  <si>
    <t xml:space="preserve">PDOT</t>
  </si>
  <si>
    <t xml:space="preserve">['PEDOT', 'PDOT']</t>
  </si>
  <si>
    <t xml:space="preserve">{"power conversion efficiency": {"entity_name": "PCE", "entity_start": 260, "entity_end": 260, "property_value_start": 275, "property_value_end": 278, "property_numeric_value": 5.88,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</si>
  <si>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10.1016/j.orgel.2018.09.015</t>
  </si>
  <si>
    <t xml:space="preserve">P(T-TPPDT)</t>
  </si>
  <si>
    <t xml:space="preserve">['P(T-TPPDT)', 'P(Tt-TPPDT)']</t>
  </si>
  <si>
    <t xml:space="preserve">{"power conversion efficiency": {}, "open circuit voltage": {}, "short circuit current": {}, "fill factor": {}, "highest occupied molecular orbital": {}, "lowest unoccupied molecular orbital": {}, "bandgap": {"entity_name": "E gs", "entity_start": 99, "entity_end": 100, "property_value_start": 106, "property_value_end": 107, "property_numeric_value": 2.0, "property_unit": "eV", "property_value_descriptor": ""}, "hole mobility": {}, "electron mobility": {}, "external quantum efficiency": {}}</t>
  </si>
  <si>
    <t xml:space="preserve">P(Tt-TPPDT)</t>
  </si>
  <si>
    <t xml:space="preserve">{"power conversion efficiency": {"entity_name": "PCEs", "entity_start": 204, "entity_end": 204, "property_value_start": 210, "property_value_end": 211, "property_numeric_value": 4.71,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</si>
  <si>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10.1016/j.orgel.2015.05.010</t>
  </si>
  <si>
    <t xml:space="preserve">SMPV1</t>
  </si>
  <si>
    <t xml:space="preserve">['SMPV1']</t>
  </si>
  <si>
    <t xml:space="preserve">['PC_{71}BM', 'ICBA']</t>
  </si>
  <si>
    <t xml:space="preserve">{"power conversion efficiency": {"entity_name": "PCE", "entity_start": 83, "entity_end": 83, "property_value_start": 85, "property_value_end": 86, "property_numeric_value": 2.54, "property_unit": "%", "property_value_descriptor": ""}, "open circuit voltage": {"entity_name": "V_{OC}", "entity_start": 65, "entity_end": 67, "property_value_start": 69, "property_value_end": 70, "property_numeric_value": 1.15, "property_unit": "V", "property_value_descriptor": ""}, "short circuit current": {}, "fill factor": {"entity_name": "FF", "entity_start": 92, "entity_end": 92, "property_value_start": 100, "property_value_end": 101, "property_numeric_value": 61.0,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</si>
  <si>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10.1016/j.orgel.2017.05.002</t>
  </si>
  <si>
    <t xml:space="preserve">['P(NDI2OD-T2)', 'poly{[N,N-9-bis(2-octyldodecyl)- naphthalene-1,4,5,8-bis(dicarboximide)-2,6-diyl]-alt-5,59-(2,29-bithiophene)}(P(NDI2OD-T2))']</t>
  </si>
  <si>
    <t xml:space="preserve">PTB7; P(NDI2OD-T2)</t>
  </si>
  <si>
    <t xml:space="preserve">{"power conversion efficiency": {"entity_name": "PCEs", "entity_start": 148, "entity_end": 148, "property_value_start": 153, "property_value_end": 154, "property_numeric_value": 7.0,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</si>
  <si>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10.1016/j.orgel.2009.01.012</t>
  </si>
  <si>
    <t xml:space="preserve">NiPI</t>
  </si>
  <si>
    <t xml:space="preserve">['NiPI']</t>
  </si>
  <si>
    <t xml:space="preserve">{"power conversion efficiency": {"entity_name": "power conversion efficiency", "entity_start": 261, "entity_end": 263, "property_value_start": 265, "property_value_end": 266, "property_numeric_value": 2.4,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</si>
  <si>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polyimide</t>
  </si>
  <si>
    <t xml:space="preserve">['polyimide', 'PI']</t>
  </si>
  <si>
    <t xml:space="preserve">{"power conversion efficiency": {}, "open circuit voltage": {}, "short circuit current": {}, "fill factor": {"entity_name": "FF", "entity_start": 326, "entity_end": 326, "property_value_start": 328, "property_value_end": 328, "property_numeric_value": 64.0,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</si>
  <si>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10.1016/j.orgel.2018.12.024</t>
  </si>
  <si>
    <t xml:space="preserve">{"power conversion efficiency": {"entity_name": "power conversion efficiency", "entity_start": 195, "entity_end": 197, "property_value_start": 199, "property_value_end": 200, "property_numeric_value": 5.35,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</si>
  <si>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efficiency", "entity_start": 195, "entity_end": 197, "property_value_start": 202, "property_value_end": 203, "property_numeric_value": 8.58,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</si>
  <si>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10.1016/j.orgel.2016.08.023</t>
  </si>
  <si>
    <t xml:space="preserve">{"power conversion efficiency": {"entity_name": "PCE", "entity_start": 98, "entity_end": 98, "property_value_start": 143, "property_value_end": 144, "property_numeric_value": 7.53,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</si>
  <si>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poly[(ethylhexyl-thiophenyl)-benzodithiophene -(ethylhexyl)-thienothiophene](PTB7-th)</t>
  </si>
  <si>
    <t xml:space="preserve">['PTB7-th', 'poly[(ethylhexyl-thiophenyl)-benzodithiophene -(ethylhexyl)-thienothiophene](PTB7-th)']</t>
  </si>
  <si>
    <t xml:space="preserve">{"power conversion efficiency": {"entity_name": "PCE", "entity_start": 98, "entity_end": 98, "property_value_start": 127, "property_value_end": 128, "property_numeric_value": 6.51,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</si>
  <si>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98, "entity_end": 98, "property_value_start": 146, "property_value_end": 147, "property_numeric_value": 8.48,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</si>
  <si>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10.1016/j.orgel.2019.105376</t>
  </si>
  <si>
    <t xml:space="preserve">["poly[4,8-bis(5-(2-ethylhexyl)thiophen-2-yl)benzo[1,2-b;4,5-b']dithiophene-2,6-diyl-alt-(4-(2-ethylhexyl)-3-fluorothieno[3,4-b]thiophene-)-2-carboxylate-2-6-diyl", 'PBDTTT-EFT']</t>
  </si>
  <si>
    <t xml:space="preserve">{"power conversion efficiency": {"entity_name": "PCE", "entity_start": 223, "entity_end": 223, "property_value_start": 225, "property_value_end": 226, "property_numeric_value": 3.67,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</si>
  <si>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10.1016/j.orgel.2020.105802</t>
  </si>
  <si>
    <t xml:space="preserve">['poly[4,8-bis(5-(2-ethylhexyl)thiophen-2-yl)benzo[1,2-b:4,5-b0]dithiophene-co-3-fluorothieno[3,4-b]thiophene-2-carboxylate]:[6,6]-phenyl-C70-butyric acid methyl ester', 'PTB7-Th']</t>
  </si>
  <si>
    <t xml:space="preserve">{"power conversion efficiency": {"entity_name": "PCE", "entity_start": 159, "entity_end": 159, "property_value_start": 161, "property_value_end": 162, "property_numeric_value": 10.31, "property_unit": "%", "property_value_descriptor": ""}, "open circuit voltage": {}, "short circuit current": {"entity_name": "short-circuit current density", "entity_start": 142, "entity_end": 146, "property_value_start": 151, "property_value_end": 154, "property_numeric_value": 17.9,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</si>
  <si>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10.1016/j.orgel.2011.07.011</t>
  </si>
  <si>
    <t xml:space="preserve">{"power conversion efficiency": {"entity_name": "power conversion efficiency", "entity_start": 111, "entity_end": 113, "property_value_start": 115, "property_value_end": 116, "property_numeric_value": 6.1,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</si>
  <si>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10.1016/j.orgel.2009.03.016</t>
  </si>
  <si>
    <t xml:space="preserve">{"power conversion efficiency": {"entity_name": "power conversion efficiency", "entity_start": 103, "entity_end": 105, "property_value_start": 112, "property_value_end": 113, "property_numeric_value": 3.1, "property_unit": "%", "property_value_descriptor": ""}, "open circuit voltage": {}, "short circuit current": {}, "fill factor": {"entity_name": "fill factor", "entity_start": 107, "entity_end": 108, "property_value_start": 115, "property_value_end": 115, "property_numeric_value": 70.0,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</si>
  <si>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10.1016/j.matlet.2016.04.009</t>
  </si>
  <si>
    <t xml:space="preserve">{"power conversion efficiency": {"entity_name": "power conversion efficiency", "entity_start": 99, "entity_end": 101, "property_value_start": 103, "property_value_end": 104, "property_numeric_value": 1.56, "property_unit": "%", "property_value_descriptor": ""}, "open circuit voltage": {"entity_name": "V_{oc}", "entity_start": 114, "entity_end": 115, "property_value_start": 117, "property_value_end": 118, "property_numeric_value": 0.79, "property_unit": "V", "property_value_descriptor": ""}, "short circuit current": {"entity_name": "J_{sc}", "entity_start": 106, "entity_end": 107, "property_value_start": 109, "property_value_end": 112, "property_numeric_value": 4.5, "property_unit": "mA cm^{-2}", "property_value_descriptor": ""}, "fill factor": {"entity_name": "FF", "entity_start": 121, "entity_end": 121, "property_value_start": 123, "property_value_end": 123, "property_numeric_value": 44.0, "property_unit": "%", "property_value_descriptor": ""}, "highest occupied molecular orbital": {}, "lowest unoccupied molecular orbital": {}, "bandgap": {"entity_name": "optical bandgap", "entity_start": 76, "entity_end": 77, "property_value_start": 79, "property_value_end": 80, "property_numeric_value": 1.55, "property_unit": "eV", "property_value_descriptor": "~"}, "hole mobility": {}, "electron mobility": {}, "external quantum efficiency": {}}</t>
  </si>
  <si>
    <t xml:space="preserve">10.1016/j.matlet.2016.09.118</t>
  </si>
  <si>
    <t xml:space="preserve">{"power conversion efficiency": {"entity_name": "PCE", "entity_start": 78, "entity_end": 78, "property_value_start": 93, "property_value_end": 94, "property_numeric_value": 4.44,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</si>
  <si>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10.1016/j.matlet.2015.05.122</t>
  </si>
  <si>
    <t xml:space="preserve">PEDOS</t>
  </si>
  <si>
    <t xml:space="preserve">['PEDOS']</t>
  </si>
  <si>
    <t xml:space="preserve">{"power conversion efficiency": {"entity_name": "PCE", "entity_start": 193, "entity_end": 193, "property_value_start": 195, "property_value_end": 196, "property_numeric_value": 3.88,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</si>
  <si>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10.1016/j.matlet.2015.12.088</t>
  </si>
  <si>
    <t xml:space="preserve">poly [N-9'']-hepta-decanyl-2,7-carbazole-alt-5,5-(4',7'-di-2-thienyl-2',1',3-benzothiadiazole)</t>
  </si>
  <si>
    <t xml:space="preserve">["poly [N-9'']-hepta-decanyl-2,7-carbazole-alt-5,5-(4',7'-di-2-thienyl-2',1',3-benzothiadiazole)", 'PCDTBT']</t>
  </si>
  <si>
    <t xml:space="preserve">{"power conversion efficiency": {"entity_name": "PCE", "entity_start": 61, "entity_end": 61, "property_value_start": 67, "property_value_end": 68, "property_numeric_value": 7.13,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</si>
  <si>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10.1016/j.matlet.2015.07.068</t>
  </si>
  <si>
    <t xml:space="preserve">PTPADTSe</t>
  </si>
  <si>
    <t xml:space="preserve">['PTPADTSe']</t>
  </si>
  <si>
    <t xml:space="preserve">{"power conversion efficiency": {"entity_name": "PCE", "entity_start": 164, "entity_end": 164, "property_value_start": 167, "property_value_end": 168, "property_numeric_value": 0.52, "property_unit": "%", "property_value_descriptor": ""}, "open circuit voltage": {"entity_name": "V_{oc}", "entity_start": 144, "entity_end": 145, "property_value_start": 148, "property_value_end": 149, "property_numeric_value": 0.81, "property_unit": "V", "property_value_descriptor": ""}, "short circuit current": {"entity_name": "J_{sc}", "entity_start": 131, "entity_end": 132, "property_value_start": 135, "property_value_end": 138, "property_numeric_value": 1.32, "property_unit": "mA cm^{-2}", "property_value_descriptor": ""}, "fill factor": {"entity_name": "FF", "entity_start": 154, "entity_end": 154, "property_value_start": 157, "property_value_end": 158, "property_numeric_value": 35.0, "property_unit": "%", "property_value_descriptor": ""}, "highest occupied molecular orbital": {"entity_name": "HOMO) energy leve", "entity_start": 85, "entity_end": 88, "property_value_start": 90, "property_value_end": 91, "property_numeric_value": -5.14, "property_unit": "eV", "property_value_descriptor": ""}, "lowest unoccupied molecular orbital": {}, "bandgap": {}, "hole mobility": {}, "electron mobility": {}, "external quantum efficiency": {}}</t>
  </si>
  <si>
    <t xml:space="preserve">10.1016/j.mtener.2016.12.005</t>
  </si>
  <si>
    <t xml:space="preserve">{"power conversion efficiency": {"entity_name": "power conversion efficiency", "entity_start": 162, "entity_end": 164, "property_value_start": 180, "property_value_end": 181, "property_numeric_value": 6.73,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</si>
  <si>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10.1016/j.jsamd.2017.11.005</t>
  </si>
  <si>
    <t xml:space="preserve">{"power conversion efficiency": {"entity_name": "PCE", "entity_start": 227, "entity_end": 227, "property_value_start": 230, "property_value_end": 231, "property_numeric_value": 0.12,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</si>
  <si>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10.1016/j.matchemphys.2012.03.058</t>
  </si>
  <si>
    <t xml:space="preserve">{"power conversion efficiency": {"entity_name": "power conversion efficiency", "entity_start": 148, "entity_end": 150, "property_value_start": 152, "property_value_end": 153, "property_numeric_value": 5.07, "property_unit": "%", "property_value_descriptor": ""}, "open circuit voltage": {}, "short circuit current": {}, "fill factor": {}, "highest occupied molecular orbital": {}, "lowest unoccupied molecular orbital": {}, "bandgap": {"entity_name": "optical band gap", "entity_start": 29, "entity_end": 31, "property_value_start": 35, "property_value_end": 36, "property_numeric_value": 1.74, "property_unit": "eV", "property_value_descriptor": ""}, "hole mobility": {}, "electron mobility": {}, "external quantum efficiency": {}}</t>
  </si>
  <si>
    <t xml:space="preserve">{"power conversion efficiency": {"entity_name": "PCE", "entity_start": 66, "entity_end": 66, "property_value_start": 89, "property_value_end": 90, "property_numeric_value": 2.34,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</si>
  <si>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10.1016/j.matchemphys.2014.12.035</t>
  </si>
  <si>
    <t xml:space="preserve">['diketopyrrolopyrrole', 'DPP)-base']</t>
  </si>
  <si>
    <t xml:space="preserve">{"power conversion efficiency": {"entity_name": "PCE", "entity_start": 97, "entity_end": 97, "property_value_start": 100, "property_value_end": 101, "property_numeric_value": 0.9,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</si>
  <si>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PONDPP</t>
  </si>
  <si>
    <t xml:space="preserve">['PONDPP']</t>
  </si>
  <si>
    <t xml:space="preserve">{"power conversion efficiency": {"entity_name": "PCE", "entity_start": 97, "entity_end": 97, "property_value_start": 105, "property_value_end": 106, "property_numeric_value": 1.1,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</si>
  <si>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10.1016/j.dyepig.2017.06.058</t>
  </si>
  <si>
    <t xml:space="preserve">PBT7-Th</t>
  </si>
  <si>
    <t xml:space="preserve">['PBT7-Th']</t>
  </si>
  <si>
    <t xml:space="preserve">PPDI</t>
  </si>
  <si>
    <t xml:space="preserve">['PPDI']</t>
  </si>
  <si>
    <t xml:space="preserve">{"power conversion efficiency": {"entity_name": "power conversion efficiency", "entity_start": 103, "entity_end": 105, "property_value_start": 108, "property_value_end": 109,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</si>
  <si>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10.1016/j.dyepig.2018.06.004</t>
  </si>
  <si>
    <t xml:space="preserve">["poly[4,8-bis[5-(2-ethylhexyl)-2-thienyl]benzo[1,2-b:4,5-b']dithiophene-alt-(4-(2-ethylhexyl)-3-fluorothieno[3,4-b]thiophene-)-2-carboxylate-2-6-diyl", 'PTB7-Th']</t>
  </si>
  <si>
    <t xml:space="preserve">NDIPh1</t>
  </si>
  <si>
    <t xml:space="preserve">['NDIPh1', 'NDIPh1-based']</t>
  </si>
  <si>
    <t xml:space="preserve">{"power conversion efficiency": {"entity_name": "power conversion efficiency", "entity_start": 119, "entity_end": 121, "property_value_start": 130, "property_value_end": 131, "property_numeric_value": 5.75,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</si>
  <si>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10.1016/j.dyepig.2018.10.008</t>
  </si>
  <si>
    <t xml:space="preserve">indacenodithiophene</t>
  </si>
  <si>
    <t xml:space="preserve">{"power conversion efficiency": {"entity_name": "PCE", "entity_start": 168, "entity_end": 168, "property_value_start": 170, "property_value_end": 171, "property_numeric_value": 8.65, "property_unit": "%", "property_value_descriptor": ""}, "open circuit voltage": {"entity_name": "V_{OC}", "entity_start": 233, "entity_end": 234, "property_value_start": 236, "property_value_end": 237, "property_numeric_value": 0.968, "property_unit": "V", "property_value_descriptor": ""}, "short circuit current": {"entity_name": "J_{SC}", "entity_start": 239, "entity_end": 240, "property_value_start": 242, "property_value_end": 245, "property_numeric_value": 8.12, "property_unit": "mA cm^{-2}", "property_value_descriptor": ""}, "fill factor": {"entity_name": "FF", "entity_start": 247, "entity_end": 247, "property_value_start": 249, "property_value_end": 249, "property_numeric_value": 35.0,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</si>
  <si>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10.1016/j.dyepig.2018.06.006</t>
  </si>
  <si>
    <t xml:space="preserve">thieno[3,2-b]thiophene</t>
  </si>
  <si>
    <t xml:space="preserve">DTS</t>
  </si>
  <si>
    <t xml:space="preserve">{"power conversion efficiency": {"entity_name": "PCE", "entity_start": 166, "entity_end": 166, "property_value_start": 168, "property_value_end": 169, "property_numeric_value": 4.52,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</si>
  <si>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10.1016/j.dyepig.2018.11.016</t>
  </si>
  <si>
    <t xml:space="preserve">["poly[(5,6-difluoro-2,1,3-benzothiadiazol-4,7-diyl)-alt-(3,3'''-di(2-octyldodecyl)2,2'; 5',2''; 5'',2'''-quaterthiophen-5,5'''-diyl)]", 'PffBT4T-2OD']</t>
  </si>
  <si>
    <t xml:space="preserve">SF(BR)_{4}</t>
  </si>
  <si>
    <t xml:space="preserve">['SF(BR)_{4}']</t>
  </si>
  <si>
    <t xml:space="preserve">{"power conversion efficiency": {"entity_name": "PCE", "entity_start": 145, "entity_end": 145, "property_value_start": 148, "property_value_end": 149, "property_numeric_value": 6.15, "property_unit": "%", "property_value_descriptor": ""}, "open circuit voltage": {}, "short circuit current": {}, "fill factor": {}, "highest occupied molecular orbital": {}, "lowest unoccupied molecular orbital": {}, "bandgap": {"entity_name": "optical bandgap", "entity_start": 60, "entity_end": 61, "property_value_start": 63, "property_value_end": 64, "property_numeric_value": 2.1, "property_unit": "eV", "property_value_descriptor": ""}, "hole mobility": {}, "electron mobility": {}, "external quantum efficiency": {}}</t>
  </si>
  <si>
    <t xml:space="preserve">10.1016/j.dyepig.2018.06.038</t>
  </si>
  <si>
    <t xml:space="preserve">DHII-EH-TR</t>
  </si>
  <si>
    <t xml:space="preserve">{"power conversion efficiency": {"entity_name": "PCE", "entity_start": 145, "entity_end": 145, "property_value_start": 148, "property_value_end": 149, "property_numeric_value": 3.6,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</si>
  <si>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10.1016/j.dyepig.2019.107548</t>
  </si>
  <si>
    <t xml:space="preserve">4,7-di(4-(2-ethylhexyl)-2-thienyl)-5,6-difluoro-2,1,3-benzothiadiazole</t>
  </si>
  <si>
    <t xml:space="preserve">{"power conversion efficiency": {"entity_name": "PCE", "entity_start": 82, "entity_end": 82, "property_value_start": 84, "property_value_end": 85,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</si>
  <si>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10.1016/j.dyepig.2019.108044</t>
  </si>
  <si>
    <t xml:space="preserve">PITPhf-DfQx</t>
  </si>
  <si>
    <t xml:space="preserve">['PITPhf-DfQx']</t>
  </si>
  <si>
    <t xml:space="preserve">{"power conversion efficiency": {"entity_name": "PCE", "entity_start": 265, "entity_end": 265, "property_value_start": 286, "property_value_end": 287, "property_numeric_value": 5.5,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</si>
  <si>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10.1016/j.dyepig.2019.108022</t>
  </si>
  <si>
    <t xml:space="preserve">PBDTT-QXT-TF1</t>
  </si>
  <si>
    <t xml:space="preserve">['PBDTT-QXT-TF1']</t>
  </si>
  <si>
    <t xml:space="preserve">{"power conversion efficiency": {"entity_name": "PCE", "entity_start": 360, "entity_end": 360, "property_value_start": 362, "property_value_end": 363, "property_numeric_value": 5.12, "property_unit": "%", "property_value_descriptor": ""}, "open circuit voltage": {"entity_name": "V_{OC}", "entity_start": 365, "entity_end": 366, "property_value_start": 368, "property_value_end": 369, "property_numeric_value": 0.975,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</si>
  <si>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PBDTT-QXT-TF2</t>
  </si>
  <si>
    <t xml:space="preserve">['PBDTT-QXT-TF2']</t>
  </si>
  <si>
    <t xml:space="preserve">{"power conversion efficiency": {}, "open circuit voltage": {"entity_name": "V_{OC}", "entity_start": 329, "entity_end": 330, "property_value_start": 332, "property_value_end": 333, "property_numeric_value": 0.951, "property_unit": "V", "property_value_descriptor": ""}, "short circuit current": {"entity_name": "J_{SC}", "entity_start": 335, "entity_end": 336, "property_value_start": 338, "property_value_end": 341, "property_numeric_value": 11.56, "property_unit": "mA cm^{-2}", "property_value_descriptor": ""}, "fill factor": {"entity_name": "FF", "entity_start": 343, "entity_end": 343, "property_value_start": 345, "property_value_end": 346, "property_numeric_value": 60.65,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</si>
  <si>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10.1016/j.dyepig.2020.108319</t>
  </si>
  <si>
    <t xml:space="preserve">TTz1</t>
  </si>
  <si>
    <t xml:space="preserve">['TTz1', 'TTz1-based']</t>
  </si>
  <si>
    <t xml:space="preserve">BTz1</t>
  </si>
  <si>
    <t xml:space="preserve">['BTz1', 'BTz1-based']</t>
  </si>
  <si>
    <t xml:space="preserve">{"power conversion efficiency": {"entity_name": "PCE", "entity_start": 228, "entity_end": 228, "property_value_start": 231, "property_value_end": 232, "property_numeric_value": 8.77, "property_unit": "%", "property_value_descriptor": ""}, "open circuit voltage": {"entity_name": "V_{oc}", "entity_start": 210, "entity_end": 211, "property_value_start": 214, "property_value_end": 215, "property_numeric_value": 0.96,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</si>
  <si>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10.1016/j.dyepig.2018.07.041</t>
  </si>
  <si>
    <t xml:space="preserve">FBT</t>
  </si>
  <si>
    <t xml:space="preserve">{"power conversion efficiency": {"entity_name": "PCE", "entity_start": 189, "entity_end": 189, "property_value_start": 191, "property_value_end": 192, "property_numeric_value": 7.04, "property_unit": "%", "property_value_descriptor": ""}, "open circuit voltage": {}, "short circuit current": {"entity_name": "J sc", "entity_start": 109, "entity_end": 110, "property_value_start": 113, "property_value_end": 116, "property_numeric_value": 12.52,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</si>
  <si>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FD10</t>
  </si>
  <si>
    <t xml:space="preserve">['FD10', 'FD11', 'FD12', 'FD01']</t>
  </si>
  <si>
    <t xml:space="preserve">{"power conversion efficiency": {}, "open circuit voltage": {"entity_name": "V oc", "entity_start": 204, "entity_end": 205, "property_value_start": 207, "property_value_end": 208, "property_numeric_value": 0.77, "property_unit": "V", "property_value_descriptor": ""}, "short circuit current": {"entity_name": "J sc", "entity_start": 195, "entity_end": 196, "property_value_start": 198, "property_value_end": 201, "property_numeric_value": 13.79,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</si>
  <si>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10.1016/j.dyepig.2018.08.009</t>
  </si>
  <si>
    <t xml:space="preserve">PBZ</t>
  </si>
  <si>
    <t xml:space="preserve">['PBZ']</t>
  </si>
  <si>
    <t xml:space="preserve">E)-5-(2-(5-(2-ethylhexyl)thiophen-2-yl)vinyl)-thiophene-2-y</t>
  </si>
  <si>
    <t xml:space="preserve">{"power conversion efficiency": {"entity_name": "PCE", "entity_start": 169, "entity_end": 169, "property_value_start": 172, "property_value_end": 173, "property_numeric_value": 5.84, "property_unit": "%", "property_value_descriptor": ""}, "open circuit voltage": {"entity_name": "V_{oc}", "entity_start": 181, "entity_end": 183, "property_value_start": 185, "property_value_end": 186, "property_numeric_value": 0.96, "property_unit": "V", "property_value_descriptor": ""}, "short circuit current": {"entity_name": "J_{sc}", "entity_start": 195, "entity_end": 196, "property_value_start": 199, "property_value_end": 202, "property_numeric_value": 14.22, "property_unit": "mA cm^{-2}", "property_value_descriptor": ""}, "fill factor": {}, "highest occupied molecular orbital": {}, "lowest unoccupied molecular orbital": {}, "bandgap": {"entity_name": "E_{g}^{opt}", "entity_start": 109, "entity_end": 111, "property_value_start": 113, "property_value_end": 114, "property_numeric_value": 1.48, "property_unit": "eV", "property_value_descriptor": ""}, "hole mobility": {}, "electron mobility": {"entity_name": "electron mobility", "entity_start": 118, "entity_end": 119, "property_value_start": 121, "property_value_end": 129, "property_numeric_value": 0.00018500000000000002, "property_unit": "cm^{2} V^{-1} s^{-1}", "property_value_descriptor": ""}, "external quantum efficiency": {}}</t>
  </si>
  <si>
    <t xml:space="preserve">10.1016/j.dyepig.2018.10.010</t>
  </si>
  <si>
    <t xml:space="preserve">PBMOQX</t>
  </si>
  <si>
    <t xml:space="preserve">['PBMOQX']</t>
  </si>
  <si>
    <t xml:space="preserve">{"power conversion efficiency": {"entity_name": "PCE", "entity_start": 108, "entity_end": 108, "property_value_start": 111, "property_value_end": 112, "property_numeric_value": 6.94, "property_unit": "%", "property_value_descriptor": ""}, "open circuit voltage": {}, "short circuit current": {}, "fill factor": {}, "highest occupied molecular orbital": {}, "lowest unoccupied molecular orbital": {}, "bandgap": {"entity_name": "optical bandgap", "entity_start": 73, "entity_end": 74, "property_value_start": 76, "property_value_end": 77, "property_numeric_value": 1.63, "property_unit": "eV", "property_value_descriptor": ""}, "hole mobility": {}, "electron mobility": {}, "external quantum efficiency": {}}</t>
  </si>
  <si>
    <t xml:space="preserve">10.1016/j.dyepig.2018.11.040</t>
  </si>
  <si>
    <t xml:space="preserve">spiro-IDT-O -IC</t>
  </si>
  <si>
    <t xml:space="preserve">['IDT-O -IC', 'spiro-IDT-O -IC']</t>
  </si>
  <si>
    <t xml:space="preserve">{"power conversion efficiency": {"entity_name": "PCE", "entity_start": 145, "entity_end": 145, "property_value_start": 147, "property_value_end": 148, "property_numeric_value": 6.23, "property_unit": "%", "property_value_descriptor": ""}, "open circuit voltage": {"entity_name": "V_{oc}", "entity_start": 161, "entity_end": 162, "property_value_start": 164, "property_value_end": 165, "property_numeric_value": 0.84, "property_unit": "V", "property_value_descriptor": ""}, "short circuit current": {"entity_name": "J_{sc}", "entity_start": 151, "entity_end": 152, "property_value_start": 154, "property_value_end": 158, "property_numeric_value": 11.76, "property_unit": "mA/cm^{2}", "property_value_descriptor": ""}, "fill factor": {"entity_name": "FF", "entity_start": 168, "entity_end": 168, "property_value_start": 170, "property_value_end": 170, "property_numeric_value": 63.0,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</si>
  <si>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10.1016/j.dyepig.2019.03.056</t>
  </si>
  <si>
    <t xml:space="preserve">P33</t>
  </si>
  <si>
    <t xml:space="preserve">['P33']</t>
  </si>
  <si>
    <t xml:space="preserve">IHIC</t>
  </si>
  <si>
    <t xml:space="preserve">['IHIC']</t>
  </si>
  <si>
    <t xml:space="preserve">{"power conversion efficiency": {"entity_name": "power conversion efficiency", "entity_start": 185, "entity_end": 187, "property_value_start": 189, "property_value_end": 190, "property_numeric_value": 8.35, "property_unit": "%", "property_value_descriptor": ""}, "open circuit voltage": {}, "short circuit current": {}, "fill factor": {"entity_name": "FF", "entity_start": 211, "entity_end": 211, "property_value_start": 213, "property_value_end": 214, "property_numeric_value": 64.89,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</si>
  <si>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P32</t>
  </si>
  <si>
    <t xml:space="preserve">['P32']</t>
  </si>
  <si>
    <t xml:space="preserve">{"power conversion efficiency": {}, "open circuit voltage": {}, "short circuit current": {"entity_name": "J_{SC}", "entity_start": 199, "entity_end": 200, "property_value_start": 202, "property_value_end": 205, "property_numeric_value": 16.77,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</si>
  <si>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10.1016/j.dyepig.2016.09.064</t>
  </si>
  <si>
    <t xml:space="preserve">thienopyrroledione</t>
  </si>
  <si>
    <t xml:space="preserve">{"power conversion efficiency": {"entity_name": "power conversion efficiency", "entity_start": 198, "entity_end": 200, "property_value_start": 202, "property_value_end": 203, "property_numeric_value": 2.86, "property_unit": "%", "property_value_descriptor": ""}, "open circuit voltage": {}, "short circuit current": {}, "fill factor": {}, "highest occupied molecular orbital": {}, "lowest unoccupied molecular orbital": {}, "bandgap": {"entity_name": "band-gaps", "entity_start": 136, "entity_end": 138, "property_value_start": 145, "property_value_end": 146, "property_numeric_value": 1.83, "property_unit": "eV", "property_value_descriptor": ""}, "hole mobility": {}, "electron mobility": {}, "external quantum efficiency": {}}</t>
  </si>
  <si>
    <t xml:space="preserve">{"power conversion efficiency": {}, "open circuit voltage": {}, "short circuit current": {}, "fill factor": {}, "highest occupied molecular orbital": {}, "lowest unoccupied molecular orbital": {}, "bandgap": {"entity_name": "band-gaps", "entity_start": 136, "entity_end": 138, "property_value_start": 148, "property_value_end": 149, "property_numeric_value": 1.74, "property_unit": "eV", "property_value_descriptor": ""}, "hole mobility": {}, "electron mobility": {}, "external quantum efficiency": {}}</t>
  </si>
  <si>
    <t xml:space="preserve">10.1016/j.dyepig.2016.11.005</t>
  </si>
  <si>
    <t xml:space="preserve">[6,6]-phenyl-C_{61}-butyric-acidmethyl-ester</t>
  </si>
  <si>
    <t xml:space="preserve">{"power conversion efficiency": {"entity_name": "power conversion efficiency", "entity_start": 151, "entity_end": 153, "property_value_start": 155, "property_value_end": 156, "property_numeric_value": 3.84, "property_unit": "%", "property_value_descriptor": ""}, "open circuit voltage": {}, "short circuit current": {}, "fill factor": {}, "highest occupied molecular orbital": {}, "lowest unoccupied molecular orbital": {"entity_name": "lowest unoccupied molecular orbital energy level", "entity_start": 41, "entity_end": 46, "property_value_start": 48, "property_value_end": 49, "property_numeric_value": -3.55, "property_unit": "eV", "property_value_descriptor": ""}, "bandgap": {}, "hole mobility": {}, "electron mobility": {}, "external quantum efficiency": {}}</t>
  </si>
  <si>
    <t xml:space="preserve">10.1016/j.dyepig.2016.11.015</t>
  </si>
  <si>
    <t xml:space="preserve">{"power conversion efficiency": {"entity_name": "PCE", "entity_start": 149, "entity_end": 149, "property_value_start": 151, "property_value_end": 152, "property_numeric_value": 5.82, "property_unit": "%", "property_value_descriptor": ""}, "open circuit voltage": {"entity_name": "V OC", "entity_start": 166, "entity_end": 167, "property_value_start": 169, "property_value_end": 170, "property_numeric_value": 0.92, "property_unit": "V", "property_value_descriptor": ""}, "short circuit current": {"entity_name": "J SC", "entity_start": 157, "entity_end": 158, "property_value_start": 160, "property_value_end": 163, "property_numeric_value": 11.06, "property_unit": "mA cm^{-2}", "property_value_descriptor": ""}, "fill factor": {"entity_name": "FF", "entity_start": 173, "entity_end": 173, "property_value_start": 175, "property_value_end": 176, "property_numeric_value": 57.2,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</si>
  <si>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10.1016/j.dyepig.2017.05.043</t>
  </si>
  <si>
    <t xml:space="preserve">CP</t>
  </si>
  <si>
    <t xml:space="preserve">['poly(3-hexyl-2,5-diphenylthiophene)-p-bisdodecyloxy-phenylene vinylene', 'CP']</t>
  </si>
  <si>
    <t xml:space="preserve">{"power conversion efficiency": {"entity_name": "PCE", "entity_start": 123, "entity_end": 123, "property_value_start": 126, "property_value_end": 127, "property_numeric_value": 2.66, "property_unit": "%", "property_value_descriptor": ""}, "open circuit voltage": {"entity_name": "V_{OC}", "entity_start": 135, "entity_end": 136, "property_value_start": 139, "property_value_end": 140, "property_numeric_value": 0.678, "property_unit": "V", "property_value_descriptor": ""}, "short circuit current": {"entity_name": "J_{SC}", "entity_start": 148, "entity_end": 149, "property_value_start": 152, "property_value_end": 156, "property_numeric_value": 7.711, "property_unit": "mA/cm^{2}", "property_value_descriptor": ""}, "fill factor": {"entity_name": "FF", "entity_start": 162, "entity_end": 162, "property_value_start": 165, "property_value_end": 166, "property_numeric_value": 50.0, "property_unit": "%", "property_value_descriptor": ""}, "highest occupied molecular orbital": {"entity_name": "HOMO) energy leve", "entity_start": 53, "entity_end": 56, "property_value_start": 58, "property_value_end": 59, "property_numeric_value": 5.24, "property_unit": "eV", "property_value_descriptor": ""}, "lowest unoccupied molecular orbital": {}, "bandgap": {"entity_name": "Band gap", "entity_start": 168, "entity_end": 169, "property_value_start": 184, "property_value_end": 185, "property_numeric_value": 2.04, "property_unit": "eV", "property_value_descriptor": ""}, "hole mobility": {}, "electron mobility": {}, "external quantum efficiency": {}}</t>
  </si>
  <si>
    <t xml:space="preserve">10.1016/j.dyepig.2017.06.023</t>
  </si>
  <si>
    <t xml:space="preserve">IDT)-base</t>
  </si>
  <si>
    <t xml:space="preserve">['indacenodithiophene', 'IDT)-base']</t>
  </si>
  <si>
    <t xml:space="preserve">{"power conversion efficiency": {"entity_name": "PCE", "entity_start": 177, "entity_end": 177, "property_value_start": 179, "property_value_end": 180, "property_numeric_value": 5.97,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</si>
  <si>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10.1016/j.dyepig.2017.07.010</t>
  </si>
  <si>
    <t xml:space="preserve">["Poly([2,6'-4,8-di(5-ethylhexylthienyl)benzo[1,2-b;3,3-b]dithiophene]{3-fluoro-2[(2-ethylhexyl)carbonyl]thieno[3,4-b]thiophenediyl})", 'PTB7-Th']</t>
  </si>
  <si>
    <t xml:space="preserve">SP-IC</t>
  </si>
  <si>
    <t xml:space="preserve">['SP-IC']</t>
  </si>
  <si>
    <t xml:space="preserve">{"power conversion efficiency": {"entity_name": "PCE", "entity_start": 174, "entity_end": 174, "property_value_start": 176, "property_value_end": 177, "property_numeric_value": 4.5, "property_unit": "%", "property_value_descriptor": ""}, "open circuit voltage": {}, "short circuit current": {}, "fill factor": {}, "highest occupied molecular orbital": {}, "lowest unoccupied molecular orbital": {"entity_name": "LUMO levels", "entity_start": 70, "entity_end": 71, "property_value_start": 73, "property_value_end": 74, "property_numeric_value": -3.91, "property_unit": "eV", "property_value_descriptor": ""}, "bandgap": {}, "hole mobility": {}, "electron mobility": {}, "external quantum efficiency": {}}</t>
  </si>
  <si>
    <t xml:space="preserve">SP-TCF</t>
  </si>
  <si>
    <t xml:space="preserve">['SP-TCF']</t>
  </si>
  <si>
    <t xml:space="preserve">{"power conversion efficiency": {}, "open circuit voltage": {}, "short circuit current": {}, "fill factor": {}, "highest occupied molecular orbital": {}, "lowest unoccupied molecular orbital": {"entity_name": "LUMO levels", "entity_start": 70, "entity_end": 71, "property_value_start": 80, "property_value_end": 81, "property_numeric_value": -3.97, "property_unit": "eV", "property_value_descriptor": ""}, "bandgap": {}, "hole mobility": {}, "electron mobility": {}, "external quantum efficiency": {}}</t>
  </si>
  <si>
    <t xml:space="preserve">10.1016/j.dyepig.2017.07.032</t>
  </si>
  <si>
    <t xml:space="preserve">{"power conversion efficiency": {"entity_name": "PCE", "entity_start": 130, "entity_end": 130, "property_value_start": 133, "property_value_end": 134, "property_numeric_value": 8.52,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</si>
  <si>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10.1016/j.dyepig.2019.01.018</t>
  </si>
  <si>
    <t xml:space="preserve">PTQ10; IDTPC-Me</t>
  </si>
  <si>
    <t xml:space="preserve">{"power conversion efficiency": {"entity_name": "PCE", "entity_start": 193, "entity_end": 193, "property_value_start": 196, "property_value_end": 197, "property_numeric_value": 9.3, "property_unit": "%", "property_value_descriptor": ""}, "open circuit voltage": {"entity_name": "V_{oc}", "entity_start": 201, "entity_end": 202, "property_value_start": 204, "property_value_end": 205, "property_numeric_value": 1.02,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</si>
  <si>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10.1016/j.dyepig.2014.09.002</t>
  </si>
  <si>
    <t xml:space="preserve">PBT-TTQ-F</t>
  </si>
  <si>
    <t xml:space="preserve">['PBT-TTQ-F', 'PBT-TTQ-H']</t>
  </si>
  <si>
    <t xml:space="preserve">{"power conversion efficiency": {"entity_name": "PCE", "entity_start": 93, "entity_end": 93, "property_value_start": 96, "property_value_end": 97, "property_numeric_value": 3.05, "property_unit": "%", "property_value_descriptor": ""}, "open circuit voltage": {}, "short circuit current": {"entity_name": "J_{sc}", "entity_start": 105, "entity_end": 106, "property_value_start": 109, "property_value_end": 113, "property_numeric_value": 9.48, "property_unit": "mA/cm^{2}", "property_value_descriptor": ""}, "fill factor": {"entity_name": "FF", "entity_start": 119, "entity_end": 119, "property_value_start": 122, "property_value_end": 123, "property_numeric_value": 48.6,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</si>
  <si>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10.1016/j.dyepig.2015.08.017</t>
  </si>
  <si>
    <t xml:space="preserve">benzo[1,2-b:4,5-b']-dithiophene</t>
  </si>
  <si>
    <t xml:space="preserve">["benzo[1,2-b:4,5-b']-dithiophene", 'BDT)-co-thieno[3,4-b]thiophen']</t>
  </si>
  <si>
    <t xml:space="preserve">{"power conversion efficiency": {"entity_name": "power conversion efficiency", "entity_start": 149, "entity_end": 151, "property_value_start": 153, "property_value_end": 154, "property_numeric_value": 8.25, "property_unit": "%", "property_value_descriptor": ""}, "open circuit voltage": {}, "short circuit current": {"entity_name": "short-circuit current density", "entity_start": 157, "entity_end": 161, "property_value_start": 164, "property_value_end": 168, "property_numeric_value": 16.24, "property_unit": "mA/cm^{2}", "property_value_descriptor": ""}, "fill factor": {"entity_name": "fill factor", "entity_start": 171, "entity_end": 172, "property_value_start": 174, "property_value_end": 174, "property_numeric_value": 67.4,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</si>
  <si>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10.1016/j.dyepig.2017.01.039</t>
  </si>
  <si>
    <t xml:space="preserve">poly({4,8-bis[(5-(2-ethylhexyl)-2-thienyl]benzo[1,2-b:4,5-b']dithiophene-2,6-diyl}{3-fluoro-2-[(2-ethylhexyl)carbonyl]thieno[3,4-b]thiophenediyl}))</t>
  </si>
  <si>
    <t xml:space="preserve">["poly({4,8-bis[(5-(2-ethylhexyl)-2-thienyl]benzo[1,2-b:4,5-b']dithiophene-2,6-diyl}{3-fluoro-2-[(2-ethylhexyl)carbonyl]thieno[3,4-b]thiophenediyl}))", 'PTB7-Th']</t>
  </si>
  <si>
    <t xml:space="preserve">poly({4,8-bis[(5-(2-ethylhexyl)-2-thienyl]benzo[1,2-b:4,5-b']dithiophene-2,6-diyl}{3-fluoro-2-[(2-ethylhexyl)carbonyl]thieno[3,4-b]thiophenediyl})); 2,2'-((2Z,2'Z)-(((6,6,12,12-tetraoctyl-6,12-dihydroindeno[1,2-b]fluorene-2,8-diyl)bis(thiophene-5,2-diyl))bis(methanylylidene))bis(3-oxo-2,3-dihydro-1H-indene-2,1-diylidene))dimalononitrile</t>
  </si>
  <si>
    <t xml:space="preserve">{"power conversion efficiency": {"entity_name": "PCE", "entity_start": 107, "entity_end": 107, "property_value_start": 111, "property_value_end": 112, "property_numeric_value": 6.56, "property_unit": "%", "property_value_descriptor": ""}, "open circuit voltage": {"entity_name": "Voc", "entity_start": 120, "entity_end": 120, "property_value_start": 124, "property_value_end": 125, "property_numeric_value": 0.92, "property_unit": "V", "property_value_descriptor": ""}, "short circuit current": {}, "fill factor": {}, "highest occupied molecular orbital": {"entity_name": "HOMO", "entity_start": 43, "entity_end": 43, "property_value_start": 45, "property_value_end": 46, "property_numeric_value": -5.42, "property_unit": "eV", "property_value_descriptor": ""}, "lowest unoccupied molecular orbital": {"entity_name": "LUMO", "entity_start": 48, "entity_end": 48, "property_value_start": 50, "property_value_end": 51, "property_numeric_value": -3.85, "property_unit": "eV", "property_value_descriptor": ""}, "bandgap": {}, "hole mobility": {}, "electron mobility": {}, "external quantum efficiency": {}}</t>
  </si>
  <si>
    <t xml:space="preserve">10.1016/j.dyepig.2015.12.008</t>
  </si>
  <si>
    <t xml:space="preserve">TESADT</t>
  </si>
  <si>
    <t xml:space="preserve">['TESADT']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</si>
  <si>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mobilities", "entity_start": 149, "entity_end": 150, "property_value_start": 154, "property_value_end": 155, "property_numeric_value": 0.034, "property_unit": "cm^{2}V^{-1}s^{-1}", "property_value_descriptor": "~"}, "electron mobility": {}, "external quantum efficiency": {}}</t>
  </si>
  <si>
    <t xml:space="preserve">{"power conversion efficiency": {"entity_name": "power conversion efficiency", "entity_start": 254, "entity_end": 256, "property_value_start": 259, "property_value_end": 260, "property_numeric_value": 2.1,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</si>
  <si>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10.1016/j.dyepig.2019.05.009</t>
  </si>
  <si>
    <t xml:space="preserve">2-(5,6-difuoro-3-oxo-2,3- dihydro-1H-inden-1-ylidene)malononitrile; indeno[1,2-b]fluorene; PBDB-T</t>
  </si>
  <si>
    <t xml:space="preserve">{"power conversion efficiency": {"entity_name": "PCE", "entity_start": 152, "entity_end": 152, "property_value_start": 154, "property_value_end": 155, "property_numeric_value": 3.63, "property_unit": "%", "property_value_descriptor": ""}, "open circuit voltage": {}, "short circuit current": {"entity_name": "J_{sc}", "entity_start": 158, "entity_end": 159, "property_value_start": 161, "property_value_end": 164, "property_numeric_value": 9.08, "property_unit": "mA cm^{-2}", "property_value_descriptor": ""}, "fill factor": {}, "highest occupied molecular orbital": {}, "lowest unoccupied molecular orbital": {}, "bandgap": {"entity_name": "optical bandgaps", "entity_start": 82, "entity_end": 83, "property_value_start": 85, "property_value_end": 88, "property_numeric_value": 1.6099999999999999, "property_unit": "eV", "property_value_descriptor": "and"}, "hole mobility": {}, "electron mobility": {}, "external quantum efficiency": {}}</t>
  </si>
  <si>
    <t xml:space="preserve">10.1016/j.dyepig.2020.108479</t>
  </si>
  <si>
    <t xml:space="preserve">['dithiophene', 'BDT']</t>
  </si>
  <si>
    <t xml:space="preserve">{"power conversion efficiency": {"entity_name": "power conversion efficiencies", "entity_start": 222, "entity_end": 224, "property_value_start": 238, "property_value_end": 239, "property_numeric_value": 2.45,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</si>
  <si>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10.1016/j.dyepig.2020.108495</t>
  </si>
  <si>
    <t xml:space="preserve">ITUIC</t>
  </si>
  <si>
    <t xml:space="preserve">['ITUIC']</t>
  </si>
  <si>
    <t xml:space="preserve">{"power conversion efficiency": {"entity_name": "PCE", "entity_start": 192, "entity_end": 192, "property_value_start": 211, "property_value_end": 212, "property_numeric_value": 6.45,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</si>
  <si>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10.1016/j.dyepig.2016.11.049</t>
  </si>
  <si>
    <t xml:space="preserve">SCPDT-4DPPDCV</t>
  </si>
  <si>
    <t xml:space="preserve">['SCPDT-4DPPDCV']</t>
  </si>
  <si>
    <t xml:space="preserve">{"power conversion efficiency": {"entity_name": "power conversion efficiency", "entity_start": 101, "entity_end": 103, "property_value_start": 105, "property_value_end": 106, "property_numeric_value": 4.2,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</si>
  <si>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TPE-4DPPDCV</t>
  </si>
  <si>
    <t xml:space="preserve">['TPE-4DPPDCV']</t>
  </si>
  <si>
    <t xml:space="preserve">{"power conversion efficiency": {"entity_name": "power conversion efficiency", "entity_start": 101, "entity_end": 103, "property_value_start": 121, "property_value_end": 122, "property_numeric_value": 4.01,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</si>
  <si>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10.1016/j.dyepig.2017.03.015</t>
  </si>
  <si>
    <t xml:space="preserve">DNIT-TT2 T; 1,8-naphthalimide</t>
  </si>
  <si>
    <t xml:space="preserve">{"power conversion efficiency": {}, "open circuit voltage": {}, "short circuit current": {}, "fill factor": {}, "highest occupied molecular orbital": {}, "lowest unoccupied molecular orbital": {"entity_name": "LUMO energy level", "entity_start": 118, "entity_end": 120, "property_value_start": 122, "property_value_end": 123, "property_numeric_value": -3.75, "property_unit": "eV", "property_value_descriptor": ""}, "bandgap": {}, "hole mobility": {}, "electron mobility": {}, "external quantum efficiency": {}}</t>
  </si>
  <si>
    <t xml:space="preserve">DNIT-TT2 T</t>
  </si>
  <si>
    <t xml:space="preserve">['DNIT-TT2 T']</t>
  </si>
  <si>
    <t xml:space="preserve">{"power conversion efficiency": {"entity_name": "PCE", "entity_start": 139, "entity_end": 139, "property_value_start": 167, "property_value_end": 168, "property_numeric_value": 1.25,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</si>
  <si>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10.1016/j.dyepig.2017.04.045</t>
  </si>
  <si>
    <t xml:space="preserve">SF(DPPFB)_{4}</t>
  </si>
  <si>
    <t xml:space="preserve">['SF(DPPFB)_{4}', 'SF(DPPFB)_{4}.', 'SF(DPPB)_{4}', 'SF(DPPB)_{4}.']</t>
  </si>
  <si>
    <t xml:space="preserve">SF(DPPFB)_{4}; SF(DPPB)_{4}</t>
  </si>
  <si>
    <t xml:space="preserve">{"power conversion efficiency": {"entity_name": "power conversion efficiency", "entity_start": 148, "entity_end": 150, "property_value_start": 152, "property_value_end": 153, "property_numeric_value": 4.42,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</si>
  <si>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{}, "short circuit current": {"entity_name": "J sc", "entity_start": 163, "entity_end": 164, "property_value_start": 167, "property_value_end": 169, "property_numeric_value": 8.48,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</si>
  <si>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10.1016/j.dyepig.2017.07.014</t>
  </si>
  <si>
    <t xml:space="preserve">PTFBDT</t>
  </si>
  <si>
    <t xml:space="preserve">['PTFBDT']</t>
  </si>
  <si>
    <t xml:space="preserve">CzC8</t>
  </si>
  <si>
    <t xml:space="preserve">['CzC8']</t>
  </si>
  <si>
    <t xml:space="preserve">{"power conversion efficiency": {"entity_name": "PCE", "entity_start": 156, "entity_end": 156, "property_value_start": 158, "property_value_end": 159, "property_numeric_value": 4.91, "property_unit": "%", "property_value_descriptor": ""}, "open circuit voltage": {"entity_name": "V_{oc}", "entity_start": 169, "entity_end": 170, "property_value_start": 172, "property_value_end": 173, "property_numeric_value": 1.16,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</si>
  <si>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10.1016/j.dyepig.2017.09.009</t>
  </si>
  <si>
    <t xml:space="preserve">PBT1-EH</t>
  </si>
  <si>
    <t xml:space="preserve">['PBT1-EH']</t>
  </si>
  <si>
    <t xml:space="preserve">IDTCN</t>
  </si>
  <si>
    <t xml:space="preserve">['IDTCN']</t>
  </si>
  <si>
    <t xml:space="preserve">{"power conversion efficiency": {"entity_name": "PCE", "entity_start": 104, "entity_end": 104, "property_value_start": 106, "property_value_end": 107, "property_numeric_value": 8.69, "property_unit": "%", "property_value_descriptor": ""}, "open circuit voltage": {"entity_name": "V_{oc}", "entity_start": 75, "entity_end": 77, "property_value_start": 79, "property_value_end": 80, "property_numeric_value": 0.93, "property_unit": "V", "property_value_descriptor": ""}, "short circuit current": {"entity_name": "J_{sc}", "entity_start": 87, "entity_end": 89, "property_value_start": 91, "property_value_end": 95, "property_numeric_value": 13.31, "property_unit": "mA/cm^{2}", "property_value_descriptor": ""}, "fill factor": {"entity_name": "FF", "entity_start": 98, "entity_end": 98, "property_value_start": 100, "property_value_end": 100, "property_numeric_value": 70.19999999999999,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</si>
  <si>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10.1016/j.dyepig.2018.03.032</t>
  </si>
  <si>
    <t xml:space="preserve">ATT-8</t>
  </si>
  <si>
    <t xml:space="preserve">['ATT-8']</t>
  </si>
  <si>
    <t xml:space="preserve">ATT-8; 2-(trifluoromethyl)thieno[3,4-b]thiophene</t>
  </si>
  <si>
    <t xml:space="preserve">{"power conversion efficiency": {"entity_name": "PCE", "entity_start": 125, "entity_end": 125, "property_value_start": 130, "property_value_end": 131, "property_numeric_value": 7.31, "property_unit": "%", "property_value_descriptor": ""}, "open circuit voltage": {"entity_name": "V_{oc}", "entity_start": 134, "entity_end": 135, "property_value_start": 137, "property_value_end": 138, "property_numeric_value": 0.804, "property_unit": "V", "property_value_descriptor": ""}, "short circuit current": {"entity_name": "J_{sc}", "entity_start": 141, "entity_end": 142, "property_value_start": 144, "property_value_end": 147, "property_numeric_value": 13.9, "property_unit": "mA cm^{-2}", "property_value_descriptor": ""}, "fill factor": {"entity_name": "FF", "entity_start": 151, "entity_end": 151, "property_value_start": 153, "property_value_end": 154, "property_numeric_value": 65.42,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</si>
  <si>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10.1016/j.dyepig.2020.108388</t>
  </si>
  <si>
    <t xml:space="preserve">T-TT</t>
  </si>
  <si>
    <t xml:space="preserve">CCCCCCc%14ccc(C6(c1ccc(CCCCCC)cc1)c2cc9c(cc2c5sc(C=c4c(=O)c3ccccc3c4=C(C#N)C#N)cc56)C(c7ccc(CCCCCC)cc7)(c8ccc(CCCCCC)cc8)c%12c9sc%13cc(C=c%11c(=O)c%10ccccc%10c%11=C(C#N)C#N)sc%12%13)cc%14</t>
  </si>
  <si>
    <t xml:space="preserve">['T-TT', 'T-TT-4Cl']</t>
  </si>
  <si>
    <t xml:space="preserve">T-TT-4Cl; T-TT</t>
  </si>
  <si>
    <t xml:space="preserve">{"power conversion efficiency": {"entity_name": "power conversion efficiencies", "entity_start": 228, "entity_end": 230, "property_value_start": 243, "property_value_end": 244, "property_numeric_value": 9.7, "property_unit": "%", "property_value_descriptor": ""}, "open circuit voltage": {"entity_name": "V OC", "entity_start": 129, "entity_end": 130, "property_value_start": 133, "property_value_end": 134, "property_numeric_value": 0.966,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</si>
  <si>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T-TT-4F</t>
  </si>
  <si>
    <t xml:space="preserve">['T-TT-4F', 'T-TT-4F-']</t>
  </si>
  <si>
    <t xml:space="preserve">{"power conversion efficiency": {}, "open circuit voltage": {"entity_name": "V OC", "entity_start": 184, "entity_end": 185, "property_value_start": 187, "property_value_end": 188, "property_numeric_value": 0.859, "property_unit": "V", "property_value_descriptor": ""}, "short circuit current": {"entity_name": "J SC", "entity_start": 194, "entity_end": 195, "property_value_start": 197, "property_value_end": 200, "property_numeric_value": 18.48, "property_unit": "mA cm^{-2}", "property_value_descriptor": ""}, "fill factor": {"entity_name": "FF", "entity_start": 176, "entity_end": 176, "property_value_start": 179, "property_value_end": 180, "property_numeric_value": 66.1,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</si>
  <si>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10.1016/j.dyepig.2017.01.076</t>
  </si>
  <si>
    <t xml:space="preserve">-</t>
  </si>
  <si>
    <t xml:space="preserve">{"power conversion efficiency": {"entity_name": "PCE", "entity_start": 161, "entity_end": 161, "property_value_start": 164, "property_value_end": 165, "property_numeric_value": 3.62, "property_unit": "%", "property_value_descriptor": ""}, "open circuit voltage": {"entity_name": "V_{OC}", "entity_start": 173, "entity_end": 174, "property_value_start": 177, "property_value_end": 178, "property_numeric_value": 0.79, "property_unit": "V", "property_value_descriptor": ""}, "short circuit current": {"entity_name": "J_{SC}", "entity_start": 186, "entity_end": 188, "property_value_start": 190, "property_value_end": 193, "property_numeric_value": 9.27, "property_unit": "mA cm^{-2}", "property_value_descriptor": ""}, "fill factor": {"entity_name": "FF", "entity_start": 199, "entity_end": 199, "property_value_start": 202, "property_value_end": 203, "property_numeric_value": 49.7,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</si>
  <si>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10.1016/j.dyepig.2018.10.071</t>
  </si>
  <si>
    <t xml:space="preserve">PBPTBz-2Cl</t>
  </si>
  <si>
    <t xml:space="preserve">['PBPTBz-2Cl', 'PBPTBz-0Cl']</t>
  </si>
  <si>
    <t xml:space="preserve">CCCCCCc%15ccc(C7(c1ccc(CCCCCC)cc1)c2cc%10c(cc2c6sc5cc(C=c4c(=O)c3ccc(C)cc3c4=C(C#N)C#N)sc5c67)C(c8ccc(CCCCCC)cc8)(c9ccc(CCCCCC)cc9)c%13c%10sc%14cc(C=c%12c(=O)c%11ccc(C)cc%11c%12=C(C#N)C#N)sc%13%14)cc%15</t>
  </si>
  <si>
    <t xml:space="preserve">{"power conversion efficiency": {}, "open circuit voltage": {"entity_name": "V_{oc}", "entity_start": 151, "entity_end": 152, "property_value_start": 154, "property_value_end": 155, "property_numeric_value": 0.99,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</si>
  <si>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PBPTBz-1Cl</t>
  </si>
  <si>
    <t xml:space="preserve">['PBPTBz-1Cl', 'PBPTBz-0Cl']</t>
  </si>
  <si>
    <t xml:space="preserve">{"power conversion efficiency": {"entity_name": "PCE", "entity_start": 168, "entity_end": 168, "property_value_start": 170, "property_value_end": 171, "property_numeric_value": 7.18, "property_unit": "%", "property_value_descriptor": ""}, "open circuit voltage": {}, "short circuit current": {"entity_name": "J_{sc}", "entity_start": 160, "entity_end": 161, "property_value_start": 163, "property_value_end": 166, "property_numeric_value": 14.92,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</si>
  <si>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10.1016/j.dyepig.2017.01.058</t>
  </si>
  <si>
    <t xml:space="preserve">TBFPO-BDD</t>
  </si>
  <si>
    <t xml:space="preserve">['TBFPO-BDD']</t>
  </si>
  <si>
    <t xml:space="preserve">{"power conversion efficiency": {"entity_name": "PCE", "entity_start": 143, "entity_end": 143, "property_value_start": 145, "property_value_end": 146, "property_numeric_value": 3.07,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</si>
  <si>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10.1016/j.dyepig.2020.108524</t>
  </si>
  <si>
    <t xml:space="preserve">HBCPs</t>
  </si>
  <si>
    <t xml:space="preserve">['HBCPs', 'HBCP-OR']</t>
  </si>
  <si>
    <t xml:space="preserve">HBCP-Br; HBCP-OR</t>
  </si>
  <si>
    <t xml:space="preserve">{"power conversion efficiency": {"entity_name": "PCE", "entity_start": 219, "entity_end": 219, "property_value_start": 221, "property_value_end": 222, "property_numeric_value": 2.33, "property_unit": "%", "property_value_descriptor": ""}, "open circuit voltage": {"entity_name": "V_{OC}", "entity_start": 169, "entity_end": 171, "property_value_start": 173, "property_value_end": 174, "property_numeric_value": 0.893, "property_unit": "V", "property_value_descriptor": ""}, "short circuit current": {}, "fill factor": {"entity_name": "FF", "entity_start": 195, "entity_end": 195, "property_value_start": 198, "property_value_end": 199, "property_numeric_value": 45.18,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</si>
  <si>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10.1016/j.dyepig.2018.09.042</t>
  </si>
  <si>
    <t xml:space="preserve">PPDIPY-V</t>
  </si>
  <si>
    <t xml:space="preserve">['PPDIPY-V']</t>
  </si>
  <si>
    <t xml:space="preserve">{"power conversion efficiency": {"entity_name": "PCE", "entity_start": 189, "entity_end": 189, "property_value_start": 191, "property_value_end": 192, "property_numeric_value": 5.2,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</si>
  <si>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10.1016/j.jpowsour.2018.09.055</t>
  </si>
  <si>
    <t xml:space="preserve">NCBA</t>
  </si>
  <si>
    <t xml:space="preserve">['NCBA', 'NCBAs']</t>
  </si>
  <si>
    <t xml:space="preserve">{"power conversion efficiency": {"entity_name": "PCE", "entity_start": 116, "entity_end": 116, "property_value_start": 118, "property_value_end": 119, "property_numeric_value": 9.79,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</si>
  <si>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10.1016/j.jpowsour.2015.08.066</t>
  </si>
  <si>
    <t xml:space="preserve">{"power conversion efficiency": {"entity_name": "power conversion efficiency", "entity_start": 147, "entity_end": 149, "property_value_start": 151, "property_value_end": 152, "property_numeric_value": 3.21,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</si>
  <si>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10.1016/j.electacta.2017.10.187</t>
  </si>
  <si>
    <t xml:space="preserve">{"power conversion efficiency": {"entity_name": "PCE", "entity_start": 249, "entity_end": 249, "property_value_start": 251, "property_value_end": 252, "property_numeric_value": 7.36,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</si>
  <si>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10.1016/j.electacta.2019.01.028</t>
  </si>
  <si>
    <t xml:space="preserve">zothiadiazole)]</t>
  </si>
  <si>
    <t xml:space="preserve">{"power conversion efficiency": {"entity_name": "PCE", "entity_start": 145, "entity_end": 145, "property_value_start": 150, "property_value_end": 151, "property_numeric_value": 7.11,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</si>
  <si>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161, "entity_end": 161, "property_value_start": 162, "property_value_end": 163, "property_numeric_value": 5.5,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</si>
  <si>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10.1016/j.electacta.2015.01.215</t>
  </si>
  <si>
    <t xml:space="preserve">PPV-PAZ-DMB</t>
  </si>
  <si>
    <t xml:space="preserve">['polyazomethine', 'PPV-PAZ-DMB']</t>
  </si>
  <si>
    <t xml:space="preserve">{"power conversion efficiency": {"entity_name": "PCE", "entity_start": 183, "entity_end": 183, "property_value_start": 189, "property_value_end": 190, "property_numeric_value": 0.32, "property_unit": "%", "property_value_descriptor": ""}, "open circuit voltage": {}, "short circuit current": {}, "fill factor": {"entity_name": "FF", "entity_start": 217, "entity_end": 217, "property_value_start": 219, "property_value_end": 219, "property_numeric_value": 25.0,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</si>
  <si>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10.1016/j.cclet.2020.02.021</t>
  </si>
  <si>
    <t xml:space="preserve">PBTSR-FBTA</t>
  </si>
  <si>
    <t xml:space="preserve">['PBTOR-FBTA', 'PBTSR-FBTA']</t>
  </si>
  <si>
    <t xml:space="preserve">{"power conversion efficiency": {"entity_name": "PCE", "entity_start": 227, "entity_end": 227, "property_value_start": 230, "property_value_end": 231, "property_numeric_value": 6.25,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</si>
  <si>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10.1016/j.cclet.2019.04.029</t>
  </si>
  <si>
    <t xml:space="preserve">benzo[1,2-c:4,5-c']dithiophene-4,8-dione</t>
  </si>
  <si>
    <t xml:space="preserve">BT</t>
  </si>
  <si>
    <t xml:space="preserve">{"power conversion efficiency": {"entity_name": "PCE", "entity_start": 81, "entity_end": 81, "property_value_start": 84, "property_value_end": 85, "property_numeric_value": 9.0, "property_unit": "%", "property_value_descriptor": ""}, "open circuit voltage": {"entity_name": "V_{oc}", "entity_start": 94, "entity_end": 96, "property_value_start": 98, "property_value_end": 99, "property_numeric_value": 0.86, "property_unit": "V", "property_value_descriptor": ""}, "short circuit current": {}, "fill factor": {"entity_name": "FF", "entity_start": 121, "entity_end": 121, "property_value_start": 124, "property_value_end": 125, "property_numeric_value": 62.5,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</si>
  <si>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PBDB-TBTn</t>
  </si>
  <si>
    <t xml:space="preserve">['PBDB-TBTn']</t>
  </si>
  <si>
    <t xml:space="preserve">{"power conversion efficiency": {}, "open circuit voltage": {}, "short circuit current": {"entity_name": "J_{sc}", "entity_start": 107, "entity_end": 109, "property_value_start": 111, "property_value_end": 115, "property_numeric_value": 16.84,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</si>
  <si>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10.1016/j.cclet.2019.01.010</t>
  </si>
  <si>
    <t xml:space="preserve">{"power conversion efficiency": {"entity_name": "PCE", "entity_start": 202, "entity_end": 202, "property_value_start": 204, "property_value_end": 205, "property_numeric_value": 5.34, "property_unit": "%", "property_value_descriptor": ""}, "open circuit voltage": {"entity_name": "V_{OC}", "entity_start": 214, "entity_end": 215, "property_value_start": 218, "property_value_end": 219, "property_numeric_value": 0.8,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</si>
  <si>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10.1016/j.cclet.2017.11.018</t>
  </si>
  <si>
    <t xml:space="preserve">PBDB</t>
  </si>
  <si>
    <t xml:space="preserve">['PBDB']</t>
  </si>
  <si>
    <t xml:space="preserve">{"power conversion efficiency": {"entity_name": "PCE", "entity_start": 242, "entity_end": 242, "property_value_start": 245, "property_value_end": 246, "property_numeric_value": 9.94, "property_unit": "%", "property_value_descriptor": ""}, "open circuit voltage": {}, "short circuit current": {"entity_name": "J_{sc}", "entity_start": 227, "entity_end": 228, "property_value_start": 231, "property_value_end": 235, "property_numeric_value": 16.92, "property_unit": "mA/cm^{2}", "property_value_descriptor": ""}, "fill factor": {"entity_name": "FF", "entity_start": 237, "entity_end": 237, "property_value_start": 240, "property_value_end": 240, "property_numeric_value": 65.5,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</si>
  <si>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10.1016/j.apsusc.2015.12.171</t>
  </si>
  <si>
    <t xml:space="preserve">poly(3,4-ethylene dioxylene thiophene)</t>
  </si>
  <si>
    <t xml:space="preserve">['poly(3,4-ethylene dioxylene thiophene)']</t>
  </si>
  <si>
    <t xml:space="preserve">poly(styrene sulfonic acid)</t>
  </si>
  <si>
    <t xml:space="preserve">['poly(styrene sulfonic acid)', 'PEDOT']</t>
  </si>
  <si>
    <t xml:space="preserve">{"power conversion efficiency": {"entity_name": "power conversion efficiency", "entity_start": 172, "entity_end": 174, "property_value_start": 175, "property_value_end": 176, "property_numeric_value": 3.6,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</si>
  <si>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10.1016/j.apsusc.2017.06.322</t>
  </si>
  <si>
    <t xml:space="preserve">['poly(2-methoxy-5-(2-ethylhexyloxy)-p-phenylenevinylene)', 'MEH-PPV', 'MEH-PPV']</t>
  </si>
  <si>
    <t xml:space="preserve">{"power conversion efficiency": {"entity_name": "PCE", "entity_start": 134, "entity_end": 134, "property_value_start": 138, "property_value_end": 139, "property_numeric_value": 1.35,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</si>
  <si>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10.1016/j.apsusc.2020.145874</t>
  </si>
  <si>
    <t xml:space="preserve">{"power conversion efficiency": {"entity_name": "PCE", "entity_start": 240, "entity_end": 240, "property_value_start": 259, "property_value_end": 260, "property_numeric_value": 8.03,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</si>
  <si>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10.1016/j.apsusc.2015.05.170</t>
  </si>
  <si>
    <t xml:space="preserve">{"power conversion efficiency": {"entity_name": "PCE", "entity_start": 132, "entity_end": 132, "property_value_start": 135, "property_value_end": 136, "property_numeric_value": 2.31, "property_unit": "%", "property_value_descriptor": ""}, "open circuit voltage": {"entity_name": "V_{oc}", "entity_start": 165, "entity_end": 166, "property_value_start": 169, "property_value_end": 170, "property_numeric_value": 0.6, "property_unit": "V", "property_value_descriptor": ""}, "short circuit current": {"entity_name": "J_{sc}", "entity_start": 113, "entity_end": 114, "property_value_start": 117, "property_value_end": 121, "property_numeric_value": 9.39, "property_unit": "mA/cm^{2}", "property_value_descriptor": ""}, "fill factor": {"entity_name": "FF", "entity_start": 176, "entity_end": 176, "property_value_start": 179, "property_value_end": 180, "property_numeric_value": 41.0,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</si>
  <si>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10.1016/j.apsusc.2015.06.160</t>
  </si>
  <si>
    <t xml:space="preserve">{"power conversion efficiency": {"entity_name": "PCE", "entity_start": 114, "entity_end": 114, "property_value_start": 123, "property_value_end": 124, "property_numeric_value": 9.06, "property_unit": "%", "property_value_descriptor": ""}, "open circuit voltage": {}, "short circuit current": {"entity_name": "Jsc", "entity_start": 74, "entity_end": 74, "property_value_start": 84, "property_value_end": 88, "property_numeric_value": 16.53, "property_unit": "mA/cm^{2}", "property_value_descriptor": ""}, "fill factor": {"entity_name": "FF", "entity_start": 95, "entity_end": 95, "property_value_start": 102, "property_value_end": 103, "property_numeric_value": 73.1,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</si>
  <si>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10.1016/j.jcis.2019.12.025</t>
  </si>
  <si>
    <t xml:space="preserve">{"power conversion efficiency": {"entity_name": "PCE", "entity_start": 151, "entity_end": 151, "property_value_start": 168, "property_value_end": 169, "property_numeric_value": 4.22,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</si>
  <si>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10.1016/j.jcis.2019.06.010</t>
  </si>
  <si>
    <t xml:space="preserve">{"power conversion efficiency": {"entity_name": "PCE", "entity_start": 160, "entity_end": 160, "property_value_start": 163, "property_value_end": 164, "property_numeric_value": 5.16,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</si>
  <si>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10.1016/j.jcis.2018.12.027</t>
  </si>
  <si>
    <t xml:space="preserve">PC_{71} BM</t>
  </si>
  <si>
    <t xml:space="preserve">['PC_{71} BM']</t>
  </si>
  <si>
    <t xml:space="preserve">{"power conversion efficiency": {"entity_name": "power conversion efficiency", "entity_start": 163, "entity_end": 165, "property_value_start": 167, "property_value_end": 168, "property_numeric_value": 7.24,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</si>
  <si>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10.1016/j.colsurfa.2007.04.162</t>
  </si>
  <si>
    <t xml:space="preserve">{"power conversion efficiency": {"entity_name": "power conversion efficiency", "entity_start": 134, "entity_end": 136, "property_value_start": 138, "property_value_end": 139, "property_numeric_value": 1.12, "property_unit": "%", "property_value_descriptor": ""}, "open circuit voltage": {"entity_name": "V_{oc}", "entity_start": 73, "entity_end": 74, "property_value_start": 79, "property_value_end": 80, "property_numeric_value": 0.5,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</si>
  <si>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10.1016/j.tsf.2011.07.022</t>
  </si>
  <si>
    <t xml:space="preserve">{"power conversion efficiency": {"entity_name": "power conversion efficiency", "entity_start": 199, "entity_end": 201, "property_value_start": 203, "property_value_end": 204, "property_numeric_value": 3.7,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</si>
  <si>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10.1016/s0040-6090(01)01584-x</t>
  </si>
  <si>
    <t xml:space="preserve">poly(3,4-ethylenedioxythiophene)</t>
  </si>
  <si>
    <t xml:space="preserve">['poly(3,4-ethylenedioxythiophene)']</t>
  </si>
  <si>
    <t xml:space="preserve">['(6,6)-phenyl-C61-butyric acid methyl ester', 'PCBM']</t>
  </si>
  <si>
    <t xml:space="preserve">{"power conversion efficiency": {"entity_name": "power conversion efficiency", "entity_start": 234, "entity_end": 236, "property_value_start": 239, "property_value_end": 240,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</si>
  <si>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10.1016/j.tsf.2011.12.022</t>
  </si>
  <si>
    <t xml:space="preserve">acid methyl ester</t>
  </si>
  <si>
    <t xml:space="preserve">['acid methyl ester']</t>
  </si>
  <si>
    <t xml:space="preserve">{"power conversion efficiency": {"entity_name": "power conversion efficiency", "entity_start": 136, "entity_end": 138, "property_value_start": 140, "property_value_end": 141, "property_numeric_value": 1.08,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</si>
  <si>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10.1016/j.tsf.2012.05.029</t>
  </si>
  <si>
    <t xml:space="preserve">polythiophene</t>
  </si>
  <si>
    <t xml:space="preserve">['polythiophene']</t>
  </si>
  <si>
    <t xml:space="preserve">phenyl-C60-butyric acid methyl ester</t>
  </si>
  <si>
    <t xml:space="preserve">{"power conversion efficiency": {"entity_name": "power conversion efficiency", "entity_start": 191, "entity_end": 193, "property_value_start": 203, "property_value_end": 204, "property_numeric_value": 3.09, "property_unit": "%", "property_value_descriptor": ""}, "open circuit voltage": {"entity_name": "open circuit voltage", "entity_start": 142, "entity_end": 144, "property_value_start": 165, "property_value_end": 166, "property_numeric_value": 0.63, "property_unit": "V", "property_value_descriptor": ""}, "short circuit current": {}, "fill factor": {"entity_name": "fill factor", "entity_start": 158, "entity_end": 159, "property_value_start": 174, "property_value_end": 174, "property_numeric_value": 57.99999999999999,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</si>
  <si>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10.1016/j.tsf.2013.03.133</t>
  </si>
  <si>
    <t xml:space="preserve">["poly(2-methoxy-5-(2'-ethyl)-hexyloxy-p-phenylene vinylene)", 'MEH-PPV']</t>
  </si>
  <si>
    <t xml:space="preserve">{"power conversion efficiency": {"entity_name": "power conversion efficiency", "entity_start": 163, "entity_end": 165, "property_value_start": 167, "property_value_end": 170, "property_numeric_value": 1.02, "property_unit": "%", "property_value_descriptor": ""}, "open circuit voltage": {"entity_name": "open circuit voltage", "entity_start": 146, "entity_end": 148, "property_value_start": 150, "property_value_end": 153, "property_numeric_value": 0.53, "property_unit": "V", "property_value_descriptor": ""}, "short circuit current": {}, "fill factor": {"entity_name": "fill factor", "entity_start": 155, "entity_end": 156, "property_value_start": 158, "property_value_end": 160, "property_numeric_value": 50.0,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</si>
  <si>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10.1016/s0040-6090(03)01348-8</t>
  </si>
  <si>
    <t xml:space="preserve">LBPF3</t>
  </si>
  <si>
    <t xml:space="preserve">["Poly((2,7-(9-(2'-ethylhexyl)-9-hexyl-fluorene)-alt-5,5-(4',7'-di-2-thienyl-2',1',3'-benzothiadiazole))-co-(2,7-(9-(2'-ethylhexyl)-9-hexyl-fluorene)-alt-2,5-thiophene))", 'LBPF3']</t>
  </si>
  <si>
    <t xml:space="preserve">['[6,6]-phenyl-C_{61}-butyric acid methylester', 'PCBM']</t>
  </si>
  <si>
    <t xml:space="preserve">{"power conversion efficiency": {"entity_name": "power conversion efficiency", "entity_start": 50, "entity_end": 52, "property_value_start": 84, "property_value_end": 85, "property_numeric_value": 9.2,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</si>
  <si>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10.1016/j.tsf.2005.12.031</t>
  </si>
  <si>
    <t xml:space="preserve">{"power conversion efficiency": {"entity_name": "power conversion efficiency", "entity_start": 82, "entity_end": 84, "property_value_start": 86, "property_value_end": 87, "property_numeric_value": 3.6,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</si>
  <si>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10.1016/j.tsf.2014.12.015</t>
  </si>
  <si>
    <t xml:space="preserve">[6,6]-pheny-C_{61}-butyric acid methyl ester</t>
  </si>
  <si>
    <t xml:space="preserve">['[6,6]-pheny-C_{61}-butyric acid methyl ester']</t>
  </si>
  <si>
    <t xml:space="preserve">{"power conversion efficiency": {"entity_name": "power conversion efficiency", "entity_start": 145, "entity_end": 147, "property_value_start": 149, "property_value_end": 150, "property_numeric_value": 4.4,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</si>
  <si>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10.1016/j.tsf.2015.11.080</t>
  </si>
  <si>
    <t xml:space="preserve">{"power conversion efficiency": {"entity_name": "power conversion efficiency", "entity_start": 115, "entity_end": 117, "property_value_start": 127, "property_value_end": 128, "property_numeric_value": 4.5,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</si>
  <si>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10.1016/j.tsf.2007.08.066</t>
  </si>
  <si>
    <t xml:space="preserve">{"power conversion efficiency": {"entity_name": "power conversion efficiency", "entity_start": 101, "entity_end": 103, "property_value_start": 105, "property_value_end": 106, "property_numeric_value": 3.0, "property_unit": "%", "property_value_descriptor": ""}, "open circuit voltage": {}, "short circuit current": {}, "fill factor": {"entity_name": "fill factor", "entity_start": 121, "entity_end": 122, "property_value_start": 124, "property_value_end": 124, "property_numeric_value": 59.0,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</si>
  <si>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10.1016/j.tsf.2007.12.054</t>
  </si>
  <si>
    <t xml:space="preserve">{"power conversion efficiency": {"entity_name": "power conversion efficiency", "entity_start": 213, "entity_end": 215, "property_value_start": 217, "property_value_end": 218, "property_numeric_value": 1.68, "property_unit": "%", "property_value_descriptor": ""}, "open circuit voltage": {"entity_name": "V_{oc}", "entity_start": 154, "entity_end": 155, "property_value_start": 157, "property_value_end": 158, "property_numeric_value": 0.71, "property_unit": "V", "property_value_descriptor": ""}, "short circuit current": {"entity_name": "J_{sc}", "entity_start": 190, "entity_end": 191, "property_value_start": 193, "property_value_end": 197, "property_numeric_value": 4.16, "property_unit": "mA/cm^{2}", "property_value_descriptor": ""}, "fill factor": {"entity_name": "fill factor", "entity_start": 206, "entity_end": 207, "property_value_start": 209, "property_value_end": 209, "property_numeric_value": 56.99999999999999,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</si>
  <si>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10.1016/j.tsf.2011.03.016</t>
  </si>
  <si>
    <t xml:space="preserve">{"power conversion efficiency": {"entity_name": "power conversion efficiency", "entity_start": 116, "entity_end": 118, "property_value_start": 120, "property_value_end": 121, "property_numeric_value": 2.83, "property_unit": "%", "property_value_descriptor": ""}, "open circuit voltage": {"entity_name": "open circuit voltage", "entity_start": 124, "entity_end": 126, "property_value_start": 128, "property_value_end": 129, "property_numeric_value": 0.62, "property_unit": "V", "property_value_descriptor": ""}, "short circuit current": {}, "fill factor": {"entity_name": "fill factor", "entity_start": 145, "entity_end": 146, "property_value_start": 148, "property_value_end": 148, "property_numeric_value": 53.0,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</si>
  <si>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P3TH</t>
  </si>
  <si>
    <t xml:space="preserve">['P3TH']</t>
  </si>
  <si>
    <t xml:space="preserve">{"power conversion efficiency": {}, "open circuit voltage": {}, "short circuit current": {"entity_name": "short circuit current density", "entity_start": 132, "entity_end": 135, "property_value_start": 137, "property_value_end": 141, "property_numeric_value": 8.6,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</si>
  <si>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10.1016/j.tsf.2011.02.013</t>
  </si>
  <si>
    <t xml:space="preserve">{"power conversion efficiency": {"entity_name": "power conversion efficiency", "entity_start": 83, "entity_end": 85, "property_value_start": 87, "property_value_end": 88, "property_numeric_value": 3.28,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</si>
  <si>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10.1016/j.tsf.2017.04.008</t>
  </si>
  <si>
    <t xml:space="preserve">poly(3-hexathiophine-2,5-diyl)</t>
  </si>
  <si>
    <t xml:space="preserve">['poly(3-hexathiophine-2,5-diyl)']</t>
  </si>
  <si>
    <t xml:space="preserve">{"power conversion efficiency": {"entity_name": "Power conversion efficiency", "entity_start": 165, "entity_end": 167, "property_value_start": 171, "property_value_end": 172, "property_numeric_value": 7.0, "property_unit": "%", "property_value_descriptor": ""}, "open circuit voltage": {}, "short circuit current": {}, "fill factor": {"entity_name": "fill factor", "entity_start": 179, "entity_end": 180, "property_value_start": 182, "property_value_end": 183, "property_numeric_value": 71.0,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</si>
  <si>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10.1016/j.tsf.2009.03.212</t>
  </si>
  <si>
    <t xml:space="preserve">{"power conversion efficiency": {"entity_name": "power conversion efficiency", "entity_start": 119, "entity_end": 121, "property_value_start": 123, "property_value_end": 124,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</si>
  <si>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10.1016/j.cplett.2019.04.024</t>
  </si>
  <si>
    <t xml:space="preserve">BDT(IDT-IC)_{2}</t>
  </si>
  <si>
    <t xml:space="preserve">['BDT(IDT-IC)_{2}']</t>
  </si>
  <si>
    <t xml:space="preserve">2-(5,6-difluoro-3-oxo-2,3-dihydro-1H-inden-1-ylidene) malononitrile</t>
  </si>
  <si>
    <t xml:space="preserve">{"power conversion efficiency": {"entity_name": "PCEs", "entity_start": 109, "entity_end": 109, "property_value_start": 115, "property_value_end": 116, "property_numeric_value": 6.21, "property_unit": "%", "property_value_descriptor": ""}, "open circuit voltage": {}, "short circuit current": {}, "fill factor": {}, "highest occupied molecular orbital": {}, "lowest unoccupied molecular orbital": {}, "bandgap": {"entity_name": "optical bandgaps", "entity_start": 76, "entity_end": 77, "property_value_start": 92, "property_value_end": 93, "property_numeric_value": 1.54, "property_unit": "eV", "property_value_descriptor": ""}, "hole mobility": {}, "electron mobility": {}, "external quantum efficiency": {}}</t>
  </si>
  <si>
    <t xml:space="preserve">10.1016/j.cplett.2013.04.022</t>
  </si>
  <si>
    <t xml:space="preserve">F8T2</t>
  </si>
  <si>
    <t xml:space="preserve">["poly[9,9'-dioctyl-fluorene-co-bithiophene]", 'F8T2']</t>
  </si>
  <si>
    <t xml:space="preserve">{"power conversion efficiency": {"entity_name": "power conversion efficiency", "entity_start": 125, "entity_end": 127, "property_value_start": 137, "property_value_end": 138, "property_numeric_value": 1.3,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</si>
  <si>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10.1016/j.cplett.2019.137078</t>
  </si>
  <si>
    <t xml:space="preserve">{"power conversion efficiency": {"entity_name": "PCE", "entity_start": 65, "entity_end": 65, "property_value_start": 67, "property_value_end": 68, "property_numeric_value": 2.87, "property_unit": "%", "property_value_descriptor": ""}, "open circuit voltage": {}, "short circuit current": {"entity_name": "short-circuit current", "entity_start": 72, "entity_end": 75, "property_value_start": 83, "property_value_end": 87, "property_numeric_value": 10.4,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</si>
  <si>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10.1016/j.cplett.2003.12.045</t>
  </si>
  <si>
    <t xml:space="preserve">TiO_{2}</t>
  </si>
  <si>
    <t xml:space="preserve">['TiO_{2}']</t>
  </si>
  <si>
    <t xml:space="preserve">{"power conversion efficiency": {"entity_name": "AM1 power conversion efficiency", "entity_start": 116, "entity_end": 119, "property_value_start": 121, "property_value_end": 122, "property_numeric_value": 0.42,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{"entity_name": "external quantum efficiency", "entity_start": 108, "entity_end": 110, "property_value_start": 113, "property_value_end": 114, "property_numeric_value": 15.0, "property_unit": "%", "property_value_descriptor": ""}}</t>
  </si>
  <si>
    <t xml:space="preserve">10.1021/cm801324m</t>
  </si>
  <si>
    <t xml:space="preserve">['phenyl-C_{61}-butyric acid methyl ester', 'PC_{61}BM']</t>
  </si>
  <si>
    <t xml:space="preserve">{"power conversion efficiency": {"entity_name": "power conversion efficiency", "entity_start": 126, "entity_end": 128, "property_value_start": 130, "property_value_end": 131, "property_numeric_value": 2.52, "property_unit": "%", "property_value_descriptor": ""}, "open circuit voltage": {"entity_name": "open circuit voltage", "entity_start": 111, "entity_end": 113, "property_value_start": 118, "property_value_end": 121, "property_numeric_value": 0.59, "property_unit": "V", "property_value_descriptor": "-"},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</si>
  <si>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10.1021/cm5031987</t>
  </si>
  <si>
    <t xml:space="preserve">p-DTS(PTTh_{2})_{2}</t>
  </si>
  <si>
    <t xml:space="preserve">['p-DTS(PTTh_{2})_{2}']</t>
  </si>
  <si>
    <t xml:space="preserve">{"power conversion efficiency": {"entity_name": "PCE", "entity_start": 121, "entity_end": 121, "property_value_start": 124, "property_value_end": 125, "property_numeric_value": 6.7,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</si>
  <si>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10.1021/cm5042953</t>
  </si>
  <si>
    <t xml:space="preserve">{"power conversion efficiency": {"entity_name": "power conversion efficiency", "entity_start": 163, "entity_end": 165, "property_value_start": 174, "property_value_end": 175, "property_numeric_value": 2.55,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</si>
  <si>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10.1021/cm802949g</t>
  </si>
  <si>
    <t xml:space="preserve">['[60]PCBM', '[70]PCBM']</t>
  </si>
  <si>
    <t xml:space="preserve">{"power conversion efficiency": {"entity_name": "PCEs", "entity_start": 89, "entity_end": 89, "property_value_start": 93, "property_value_end": 94, "property_numeric_value": 2.9,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</si>
  <si>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10.1021/cm047811c</t>
  </si>
  <si>
    <t xml:space="preserve">['poly(3-hexylthiophene)', 'P3HT', 'P3HT', 'P3HTs']</t>
  </si>
  <si>
    <t xml:space="preserve">{"power conversion efficiency": {"entity_name": "power conversion efficiencies", "entity_start": 54, "entity_end": 56, "property_value_start": 58, "property_value_end": 60, "property_numeric_value": 2.5, "property_unit": "%", "property_value_descriptor": "&gt;"},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</si>
  <si>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10.1021/cm052783z</t>
  </si>
  <si>
    <t xml:space="preserve">["poly(2-methoxy-5-(3',7'-dimethyloctyloxy)-p-phenylene vinylene)", 'MDMO-PPV']</t>
  </si>
  <si>
    <t xml:space="preserve">{"power conversion efficiency": {"entity_name": "power conversion efficiency", "entity_start": 200, "entity_end": 202, "property_value_start": 204, "property_value_end": 205, "property_numeric_value": 0.25,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</si>
  <si>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10.1021/cm401618h</t>
  </si>
  <si>
    <t xml:space="preserve">PBDTF-DFBO</t>
  </si>
  <si>
    <t xml:space="preserve">['PBDT-DFBO', 'PBDTF-DFBO']</t>
  </si>
  <si>
    <t xml:space="preserve">{"power conversion efficiency": {"entity_name": "PCE", "entity_start": 136, "entity_end": 136, "property_value_start": 164, "property_value_end": 165,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</si>
  <si>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10.1021/cm2019668</t>
  </si>
  <si>
    <t xml:space="preserve">poly(3-hexylthiophene); NDI-nT; NDI-nTH</t>
  </si>
  <si>
    <t xml:space="preserve">{"power conversion efficiency": {}, "open circuit voltage": {"entity_name": "open circuit voltage", "entity_start": 283, "entity_end": 285, "property_value_start": 287, "property_value_end": 288, "property_numeric_value": 0.82, "property_unit": "V", "property_value_descriptor": ""}, "short circuit current": {}, "fill factor": {}, "highest occupied molecular orbital": {}, "lowest unoccupied molecular orbital": {}, "bandgap": {"entity_name": "optical band gaps", "entity_start": 79, "entity_end": 81, "property_value_start": 85, "property_value_end": 86, "property_numeric_value": 2.1, "property_unit": "eV", "property_value_descriptor": ""}, "hole mobility": {}, "electron mobility": {}, "external quantum efficiency": {}}</t>
  </si>
  <si>
    <t xml:space="preserve">NDI-1TH</t>
  </si>
  <si>
    <t xml:space="preserve">['NDI-nTH', 'NDI-1TH', 'NDI-3TH', 'NDI-4TH']</t>
  </si>
  <si>
    <t xml:space="preserve">{"power conversion efficiency": {"entity_name": "power conversion efficiency", "entity_start": 275, "entity_end": 277, "property_value_start": 279, "property_value_end": 280, "property_numeric_value": 1.5, "property_unit": "%", "property_value_descriptor": ""}, "open circuit voltage": {}, "short circuit current": {}, "fill factor": {}, "highest occupied molecular orbital": {"entity_name": "HOMO levels", "entity_start": 129, "entity_end": 130, "property_value_start": 140, "property_value_end": 141, "property_numeric_value": -6.1, "property_unit": "eV", "property_value_descriptor": ""}, "lowest unoccupied molecular orbital": {}, "bandgap": {"entity_name": "optical band gaps", "entity_start": 79, "entity_end": 81, "property_value_start": 95, "property_value_end": 96, "property_numeric_value": 1.4, "property_unit": "eV", "property_value_descriptor": ""}, "hole mobility": {}, "electron mobility": {}, "external quantum efficiency": {}}</t>
  </si>
  <si>
    <t xml:space="preserve">10.1021/cm202612t</t>
  </si>
  <si>
    <t xml:space="preserve">PTPTPTBT</t>
  </si>
  <si>
    <t xml:space="preserve">['TPTPT', 'PTPTPTBT', 'PTPTPTQX', 'PTPTPTBTPC_{71}BM']</t>
  </si>
  <si>
    <t xml:space="preserve">{"power conversion efficiency": {"entity_name": "PCE", "entity_start": 133, "entity_end": 133, "property_value_start": 135, "property_value_end": 136, "property_numeric_value": 5.9,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</si>
  <si>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10.1021/cm203351t</t>
  </si>
  <si>
    <t xml:space="preserve">DTTzTz</t>
  </si>
  <si>
    <t xml:space="preserve">{"power conversion efficiency": {"entity_name": "power conversion efficiency", "entity_start": 109, "entity_end": 111, "property_value_start": 113, "property_value_end": 114, "property_numeric_value": 4.03,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</si>
  <si>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10.1021/cm300355e</t>
  </si>
  <si>
    <t xml:space="preserve">{"power conversion efficiency": {"entity_name": "power conversion efficiency", "entity_start": 131, "entity_end": 133, "property_value_start": 135, "property_value_end": 136, "property_numeric_value": 5.4, "property_unit": "%", "property_value_descriptor": ""}, "open circuit voltage": {"entity_name": "open circuit voltage", "entity_start": 47, "entity_end": 49, "property_value_start": 57, "property_value_end": 60, "property_numeric_value": 0.87, "property_unit": "V", "property_value_descriptor": "-"},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</si>
  <si>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10.1021/cm3010369</t>
  </si>
  <si>
    <t xml:space="preserve">{"power conversion efficiency": {"entity_name": "PCEs", "entity_start": 169, "entity_end": 169, "property_value_start": 173, "property_value_end": 176, "property_numeric_value": 3.5, "property_unit": "%", "property_value_descriptor": "to"},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</si>
  <si>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10.1021/acs.chemmater.7b03928</t>
  </si>
  <si>
    <t xml:space="preserve">ITVffIC</t>
  </si>
  <si>
    <t xml:space="preserve">['ITIC', 'ITVIC', 'ITVfIC', 'ITVffIC']</t>
  </si>
  <si>
    <t xml:space="preserve">{"power conversion efficiency": {"entity_name": "PCE", "entity_start": 278, "entity_end": 278, "property_value_start": 280, "property_value_end": 282, "property_numeric_value": 10.0, "property_unit": "%", "property_value_descriptor": "&gt;"}, "open circuit voltage": {"entity_name": "V_{oc}", "entity_start": 230, "entity_end": 231, "property_value_start": 233, "property_value_end": 234, "property_numeric_value": 0.81, "property_unit": "V", "property_value_descriptor": ""}, "short circuit current": {"entity_name": "J_{sc}", "entity_start": 195, "entity_end": 196, "property_value_start": 198, "property_value_end": 200, "property_numeric_value": 22.83, "property_unit": "mA cm^{-2}", "property_value_descriptor": ""}, "fill factor": {}, "highest occupied molecular orbital": {}, "lowest unoccupied molecular orbital": {}, "bandgap": {"entity_name": "bandgap", "entity_start": 238, "entity_end": 238, "property_value_start": 240, "property_value_end": 241, "property_numeric_value": 1.35, "property_unit": "eV", "property_value_descriptor": ""}, "hole mobility": {}, "electron mobility": {}, "external quantum efficiency": {}}</t>
  </si>
  <si>
    <t xml:space="preserve">10.1021/acs.chemmater.7b03688</t>
  </si>
  <si>
    <t xml:space="preserve">PFBT4Se</t>
  </si>
  <si>
    <t xml:space="preserve">['PFBT4Se']</t>
  </si>
  <si>
    <t xml:space="preserve">{"power conversion efficiency": {"entity_name": "PCE", "entity_start": 171, "entity_end": 171, "property_value_start": 173, "property_value_end": 174, "property_numeric_value": 8.92, "property_unit": "%", "property_value_descriptor": ""}, "open circuit voltage": {}, "short circuit current": {"entity_name": "J_{sc}", "entity_start": 178, "entity_end": 179, "property_value_start": 181, "property_value_end": 185, "property_numeric_value": 22.63,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</si>
  <si>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10.1021/acs.chemmater.7b03018</t>
  </si>
  <si>
    <t xml:space="preserve">DPP</t>
  </si>
  <si>
    <t xml:space="preserve">['DPP', 'Poly-DPP-Th-Pt', 'Poly-DPP-Ph-Pt']</t>
  </si>
  <si>
    <t xml:space="preserve">{"power conversion efficiency": {"entity_name": "PCE", "entity_start": 206, "entity_end": 206, "property_value_start": 209, "property_value_end": 210, "property_numeric_value": 1.66, "property_unit": "%", "property_value_descriptor": ""}, "open circuit voltage": {}, "short circuit current": {}, "fill factor": {"entity_name": "FF", "entity_start": 217, "entity_end": 217, "property_value_start": 220, "property_value_end": 221, "property_numeric_value": 66.0, "property_unit": "%", "property_value_descriptor": "~"}, "highest occupied molecular orbital": {}, "lowest unoccupied molecular orbital": {}, "bandgap": {"entity_name": "optical band gap", "entity_start": 139, "entity_end": 141, "property_value_start": 143, "property_value_end": 144, "property_numeric_value": 1.4, "property_unit": "eV", "property_value_descriptor": ""}, "hole mobility": {}, "electron mobility": {}, "external quantum efficiency": {}}</t>
  </si>
  <si>
    <t xml:space="preserve">10.1021/acs.chemmater.7b01335</t>
  </si>
  <si>
    <t xml:space="preserve">PMOT16</t>
  </si>
  <si>
    <t xml:space="preserve">['PMOT16']</t>
  </si>
  <si>
    <t xml:space="preserve">{"power conversion efficiency": {"entity_name": "PCEs", "entity_start": 166, "entity_end": 166, "property_value_start": 170, "property_value_end": 171,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</si>
  <si>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10.1021/cm2019586</t>
  </si>
  <si>
    <t xml:space="preserve">PIDT-DTBT</t>
  </si>
  <si>
    <t xml:space="preserve">['PIDT-DTBT']</t>
  </si>
  <si>
    <t xml:space="preserve">{"power conversion efficiency": {"entity_name": "PCE", "entity_start": 141, "entity_end": 141, "property_value_start": 158, "property_value_end": 159, "property_numeric_value": 5.79, "property_unit": "%", "property_value_descriptor": ""}, "open circuit voltage": {"entity_name": "V_{oc}", "entity_start": 229, "entity_end": 230, "property_value_start": 232, "property_value_end": 233, "property_numeric_value": 0.82,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</si>
  <si>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bis(thiophen-2-yl)-bithiazole</t>
  </si>
  <si>
    <t xml:space="preserve">{"power conversion efficiency": {"entity_name": "PCE", "entity_start": 213, "entity_end": 213, "property_value_start": 215, "property_value_end": 216, "property_numeric_value": 6.17, "property_unit": "%", "property_value_descriptor": ""}, "open circuit voltage": {}, "short circuit current": {"entity_name": "J_{sc}", "entity_start": 219, "entity_end": 220, "property_value_start": 222, "property_value_end": 226, "property_numeric_value": 13.27, "property_unit": "mA/cm^{2}", "property_value_descriptor": ""}, "fill factor": {"entity_name": "FF", "entity_start": 237, "entity_end": 237, "property_value_start": 239, "property_value_end": 240, "property_numeric_value": 56.9, "property_unit": "%", "property_value_descriptor": ""}, "highest occupied molecular orbital": {}, "lowest unoccupied molecular orbital": {}, "bandgap": {"entity_name": "bandgap", "entity_start": 179, "entity_end": 179, "property_value_start": 181, "property_value_end": 182, "property_numeric_value": 1.68, "property_unit": "eV", "property_value_descriptor": ""}, "hole mobility": {}, "electron mobility": {}, "external quantum efficiency": {}}</t>
  </si>
  <si>
    <t xml:space="preserve">10.1021/acs.chemmater.6b02225</t>
  </si>
  <si>
    <t xml:space="preserve">phenyl -</t>
  </si>
  <si>
    <t xml:space="preserve">['phenyl -', 'acid']</t>
  </si>
  <si>
    <t xml:space="preserve">{"power conversion efficiency": {"entity_name": "PCE", "entity_start": 172, "entity_end": 172, "property_value_start": 175, "property_value_end": 176, "property_numeric_value": 6.32, "property_unit": "%", "property_value_descriptor": ""}, "open circuit voltage": {}, "short circuit current": {}, "fill factor": {}, "highest occupied molecular orbital": {}, "lowest unoccupied molecular orbital": {}, "bandgap": {"entity_name": "E_{g}", "entity_start": 10, "entity_end": 11, "property_value_start": 13, "property_value_end": 14, "property_numeric_value": 2.2, "property_unit": "eV", "property_value_descriptor": ""}, "hole mobility": {}, "electron mobility": {}, "external quantum efficiency": {}}</t>
  </si>
  <si>
    <t xml:space="preserve">PDBND-2 T</t>
  </si>
  <si>
    <t xml:space="preserve">['PDBND-2 T']</t>
  </si>
  <si>
    <t xml:space="preserve">{"power conversion efficiency": {"entity_name": "PCE", "entity_start": 159, "entity_end": 159, "property_value_start": 161, "property_value_end": 162,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</si>
  <si>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10.1021/acs.chemmater.8b01250</t>
  </si>
  <si>
    <t xml:space="preserve">PBTzT-4-based</t>
  </si>
  <si>
    <t xml:space="preserve">['PBTzT-4-based']</t>
  </si>
  <si>
    <t xml:space="preserve">{"power conversion efficiency": {"entity_name": "PCE", "entity_start": 144, "entity_end": 144, "property_value_start": 147, "property_value_end": 148, "property_numeric_value": 9.36,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</si>
  <si>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PBTzT-6</t>
  </si>
  <si>
    <t xml:space="preserve">['PBTzT-6']</t>
  </si>
  <si>
    <t xml:space="preserve">{"power conversion efficiency": {"entity_name": "PCE", "entity_start": 165, "entity_end": 165, "property_value_start": 167, "property_value_end": 168, "property_numeric_value": 8.52,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</si>
  <si>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PBDTTT-E-T</t>
  </si>
  <si>
    <t xml:space="preserve">[*]c7cc6c(c1ccc(CC(CC)CCCC)s1)c4sc(c2sc([*])c3cc(C(=O)OCC(CC)CCCC)sc23)cc4c(c5ccc(CC(CC)CCCC)s5)c6s7</t>
  </si>
  <si>
    <t xml:space="preserve">['PBDTTT-E-T']</t>
  </si>
  <si>
    <t xml:space="preserve">{"power conversion efficiency": {"entity_name": "PCE", "entity_start": 190, "entity_end": 190, "property_value_start": 192, "property_value_end": 193, "property_numeric_value": 6.21,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</si>
  <si>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PBTzT-4R</t>
  </si>
  <si>
    <t xml:space="preserve">['PBTzT-4R']</t>
  </si>
  <si>
    <t xml:space="preserve">{"power conversion efficiency": {"entity_name": "PCE", "entity_start": 255, "entity_end": 255, "property_value_start": 257, "property_value_end": 258, "property_numeric_value": 9.63, "property_unit": "%", "property_value_descriptor": ""}, "open circuit voltage": {}, "short circuit current": {"entity_name": "J_{SC}", "entity_start": 262, "entity_end": 263, "property_value_start": 265, "property_value_end": 269, "property_numeric_value": 17.56,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</si>
  <si>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10.1021/acs.chemmater.8b02746</t>
  </si>
  <si>
    <t xml:space="preserve">IDPSQ</t>
  </si>
  <si>
    <t xml:space="preserve">['IDPSQ']</t>
  </si>
  <si>
    <t xml:space="preserve">{"power conversion efficiency": {"entity_name": "PCE", "entity_start": 87, "entity_end": 87, "property_value_start": 89, "property_value_end": 90, "property_numeric_value": 7.2,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</si>
  <si>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USQ3OH</t>
  </si>
  <si>
    <t xml:space="preserve">['USQ3OH']</t>
  </si>
  <si>
    <t xml:space="preserve">{"power conversion efficiency": {"entity_name": "PCE", "entity_start": 230, "entity_end": 230, "property_value_start": 232, "property_value_end": 233, "property_numeric_value": 4.5,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</si>
  <si>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10.1021/acs.chemmater.8b05176</t>
  </si>
  <si>
    <t xml:space="preserve">tetrathiophene</t>
  </si>
  <si>
    <t xml:space="preserve">['tetrathiophene', 'T4']</t>
  </si>
  <si>
    <t xml:space="preserve">{"power conversion efficiency": {}, "open circuit voltage": {"entity_name": "V_{oc}", "entity_start": 252, "entity_end": 253, "property_value_start": 255, "property_value_end": 256, "property_numeric_value": 0.8, "property_unit": "V", "property_value_descriptor": ""}, "short circuit current": {}, "fill factor": {}, "highest occupied molecular orbital": {}, "lowest unoccupied molecular orbital": {}, "bandgap": {}, "hole mobility": {"entity_name": "hole mobilities", "entity_start": 172, "entity_end": 173, "property_value_start": 194, "property_value_end": 199, "property_numeric_value": 1.32, "property_unit": "cm^{2} V^{-1} s^{-1}", "property_value_descriptor": ""}, "electron mobility": {}, "external quantum efficiency": {}}</t>
  </si>
  <si>
    <t xml:space="preserve">{"power conversion efficiency": {"entity_name": "PCE", "entity_start": 208, "entity_end": 208, "property_value_start": 210, "property_value_end": 211, "property_numeric_value": 10.28,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</si>
  <si>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10.1021/acs.chemmater.5b01928</t>
  </si>
  <si>
    <t xml:space="preserve">PQP</t>
  </si>
  <si>
    <t xml:space="preserve">['PFP', 'PQP']</t>
  </si>
  <si>
    <t xml:space="preserve">{"power conversion efficiency": {}, "open circuit voltage": {}, "short circuit current": {"entity_name": "J sc", "entity_start": 244, "entity_end": 245, "property_value_start": 247, "property_value_end": 251, "property_numeric_value": 8.57, "property_unit": "mA/cm^{2}", "property_value_descriptor": ""}, "fill factor": {"entity_name": "FF", "entity_start": 253, "entity_end": 253, "property_value_start": 255, "property_value_end": 255, "property_numeric_value": 57.99999999999999,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</si>
  <si>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10.1021/cm070555u</t>
  </si>
  <si>
    <t xml:space="preserve">["poly[2-methoxy-5-(3',7'-dimethyloctyloxy)-p-phenylene vinylene]", 'MDMO-PPV']</t>
  </si>
  <si>
    <t xml:space="preserve">{"power conversion efficiency": {"entity_name": "power conversion efficiency", "entity_start": 141, "entity_end": 143, "property_value_start": 145, "property_value_end": 146, "property_numeric_value": 1.4,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</si>
  <si>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10.1021/cm1019537</t>
  </si>
  <si>
    <t xml:space="preserve">T2</t>
  </si>
  <si>
    <t xml:space="preserve">['T2']</t>
  </si>
  <si>
    <t xml:space="preserve">{"power conversion efficiency": {"entity_name": "Power conversion efficiencies", "entity_start": 85, "entity_end": 87, "property_value_start": 91, "property_value_end": 92, "property_numeric_value": 1.92, "property_unit": "%", "property_value_descriptor": ""}, "open circuit voltage": {}, "short circuit current": {}, "fill factor": {}, "highest occupied molecular orbital": {}, "lowest unoccupied molecular orbital": {}, "bandgap": {"entity_name": "band gaps", "entity_start": 29, "entity_end": 30, "property_value_start": 35, "property_value_end": 38, "property_numeric_value": 1.8449999999999998, "property_unit": "eV", "property_value_descriptor": "-"}, "hole mobility": {}, "electron mobility": {}, "external quantum efficiency": {}}</t>
  </si>
  <si>
    <t xml:space="preserve">10.1021/cm900184z</t>
  </si>
  <si>
    <t xml:space="preserve">60]PCBM</t>
  </si>
  <si>
    <t xml:space="preserve">['60]PCBM']</t>
  </si>
  <si>
    <t xml:space="preserve">{"power conversion efficiency": {"entity_name": "power conversion efficiency", "entity_start": 84, "entity_end": 86, "property_value_start": 88, "property_value_end": 89, "property_numeric_value": 1.4, "property_unit": "%", "property_value_descriptor": ""}, "open circuit voltage": {}, "short circuit current": {}, "fill factor": {}, "highest occupied molecular orbital": {}, "lowest unoccupied molecular orbital": {}, "bandgap": {"entity_name": "band gaps", "entity_start": 54, "entity_end": 55, "property_value_start": 58, "property_value_end": 61, "property_numeric_value": 1.4, "property_unit": "eV", "property_value_descriptor": "to"}, "hole mobility": {}, "electron mobility": {}, "external quantum efficiency": {}}</t>
  </si>
  <si>
    <t xml:space="preserve">10.1021/acs.chemmater.8b01491</t>
  </si>
  <si>
    <t xml:space="preserve">PTB7-Th; PDIBDT-IT</t>
  </si>
  <si>
    <t xml:space="preserve">{"power conversion efficiency": {"entity_name": "PCE", "entity_start": 149, "entity_end": 149, "property_value_start": 152, "property_value_end": 153, "property_numeric_value": 6.06, "property_unit": "%", "property_value_descriptor": ""}, "open circuit voltage": {"entity_name": "V_{OC}", "entity_start": 190, "entity_end": 191, "property_value_start": 194, "property_value_end": 195, "property_numeric_value": 0.74, "property_unit": "V", "property_value_descriptor": ""}, "short circuit current": {"entity_name": "J_{SC}", "entity_start": 163, "entity_end": 164, "property_value_start": 167, "property_value_end": 171, "property_numeric_value": 13.6, "property_unit": "mA/cm^{2}", "property_value_descriptor": ""}, "fill factor": {"entity_name": "FF", "entity_start": 177, "entity_end": 177, "property_value_start": 180, "property_value_end": 181, "property_numeric_value": 60.45,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</si>
  <si>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10.1021/acs.chemmater.9b02355</t>
  </si>
  <si>
    <t xml:space="preserve">H2FCN-C16</t>
  </si>
  <si>
    <t xml:space="preserve">['H2FCN-C16']</t>
  </si>
  <si>
    <t xml:space="preserve">HCN-C8; H2FCN-C16</t>
  </si>
  <si>
    <t xml:space="preserve">{"power conversion efficiency": {"entity_name": "PCEs", "entity_start": 363, "entity_end": 363, "property_value_start": 365, "property_value_end": 368, "property_numeric_value": 3.945, "property_unit": "%", "property_value_descriptor": "and"}, "open circuit voltage": {"entity_name": "V_{OC}", "entity_start": 318, "entity_end": 319, "property_value_start": 322, "property_value_end": 323, "property_numeric_value": 0.9, "property_unit": "V", "property_value_descriptor": ""}, "short circuit current": {"entity_name": "J_{SC}", "entity_start": 292, "entity_end": 293, "property_value_start": 296, "property_value_end": 299, "property_numeric_value": 18.62, "property_unit": "mA cm^{-2}", "property_value_descriptor": ""}, "fill factor": {"entity_name": "FF", "entity_start": 305, "entity_end": 305, "property_value_start": 308, "property_value_end": 309, "property_numeric_value": 66.7,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</si>
  <si>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10.1021/acs.chemmater.9b01175</t>
  </si>
  <si>
    <t xml:space="preserve">IE4F-S</t>
  </si>
  <si>
    <t xml:space="preserve">['IE4F-S']</t>
  </si>
  <si>
    <t xml:space="preserve">IE4F; IE4F-S</t>
  </si>
  <si>
    <t xml:space="preserve">{"power conversion efficiency": {"entity_name": "PCE", "entity_start": 170, "entity_end": 170, "property_value_start": 172, "property_value_end": 173, "property_numeric_value": 13.72, "property_unit": "%", "property_value_descriptor": ""}, "open circuit voltage": {"entity_name": "V_{oc}", "entity_start": 107, "entity_end": 108, "property_value_start": 111, "property_value_end": 112, "property_numeric_value": 0.996,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</si>
  <si>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['PBDB', 'T']</t>
  </si>
  <si>
    <t xml:space="preserve">{"power conversion efficiency": {"entity_name": "PCE", "entity_start": 139, "entity_end": 139, "property_value_start": 142, "property_value_end": 143, "property_numeric_value": 12.0,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</si>
  <si>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10.1021/cm3017006</t>
  </si>
  <si>
    <t xml:space="preserve">benzodithiophene</t>
  </si>
  <si>
    <t xml:space="preserve">['benzodithiophene', 'BDT']</t>
  </si>
  <si>
    <t xml:space="preserve">{"power conversion efficiency": {"entity_name": "PCE", "entity_start": 261, "entity_end": 261, "property_value_start": 263, "property_value_end": 264, "property_numeric_value": 4.74,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</si>
  <si>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PBDT-FBTA</t>
  </si>
  <si>
    <t xml:space="preserve">['PBDT-FBTA']</t>
  </si>
  <si>
    <t xml:space="preserve">{"power conversion efficiency": {}, "open circuit voltage": {"entity_name": "V_{OC}", "entity_start": 221, "entity_end": 222, "property_value_start": 224, "property_value_end": 225, "property_numeric_value": 0.75, "property_unit": "V", "property_value_descriptor": ""}, "short circuit current": {"entity_name": "J_{sc}", "entity_start": 212, "entity_end": 213, "property_value_start": 215, "property_value_end": 218, "property_numeric_value": 11.9, "property_unit": "mA cm^{-2}", "property_value_descriptor": ""}, "fill factor": {"entity_name": "fill factor", "entity_start": 229, "entity_end": 230, "property_value_start": 232, "property_value_end": 233, "property_numeric_value": 67.2,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</si>
  <si>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10.1021/acs.chemmater.9b00926</t>
  </si>
  <si>
    <t xml:space="preserve">MTT</t>
  </si>
  <si>
    <t xml:space="preserve">{"power conversion efficiency": {"entity_name": "PCE", "entity_start": 166, "entity_end": 166, "property_value_start": 168, "property_value_end": 169, "property_numeric_value": 13.2,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</si>
  <si>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10.1021/cm503117j</t>
  </si>
  <si>
    <t xml:space="preserve">dithieno[3,2-b:2',3'-d]silole</t>
  </si>
  <si>
    <t xml:space="preserve">{"power conversion efficiency": {"entity_name": "PCE", "entity_start": 238, "entity_end": 238, "property_value_start": 240, "property_value_end": 241, "property_numeric_value": 7.85,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</si>
  <si>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10.1021/cm100086x</t>
  </si>
  <si>
    <t xml:space="preserve">thiophene</t>
  </si>
  <si>
    <t xml:space="preserve">['thiophene']</t>
  </si>
  <si>
    <t xml:space="preserve">poly(styrenesulfonate</t>
  </si>
  <si>
    <t xml:space="preserve">['poly(styrenesulfonate', 'PEDOT']</t>
  </si>
  <si>
    <t xml:space="preserve">{"power conversion efficiency": {"entity_name": "power conversion efficiency", "entity_start": 118, "entity_end": 120, "property_value_start": 126, "property_value_end": 127, "property_numeric_value": 5.09,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</si>
  <si>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10.1021/cm302861s</t>
  </si>
  <si>
    <t xml:space="preserve">{"power conversion efficiency": {"entity_name": "PCE", "entity_start": 142, "entity_end": 142, "property_value_start": 145, "property_value_end": 146, "property_numeric_value": 8.0, "property_unit": "%", "property_value_descriptor": ""}, "open circuit voltage": {"entity_name": "V_{oc}", "entity_start": 152, "entity_end": 153, "property_value_start": 155, "property_value_end": 156, "property_numeric_value": 0.76, "property_unit": "V", "property_value_descriptor": ""}, "short circuit current": {"entity_name": "J_{sc}", "entity_start": 165, "entity_end": 166, "property_value_start": 169, "property_value_end": 172, "property_numeric_value": 18.2, "property_unit": "mA cm^{-2}", "property_value_descriptor": ""}, "fill factor": {"entity_name": "FF", "entity_start": 179, "entity_end": 179, "property_value_start": 182, "property_value_end": 183, "property_numeric_value": 58.1,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</si>
  <si>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10.1021/cm101677x</t>
  </si>
  <si>
    <t xml:space="preserve">5,8-dithien-2-yl-2,3-diphenylquinoxaline</t>
  </si>
  <si>
    <t xml:space="preserve">{"power conversion efficiency": {}, "open circuit voltage": {}, "short circuit current": {}, "fill factor": {}, "highest occupied molecular orbital": {}, "lowest unoccupied molecular orbital": {}, "bandgap": {"entity_name": "band gap", "entity_start": 93, "entity_end": 94, "property_value_start": 96, "property_value_end": 97, "property_numeric_value": 1.56, "property_unit": "eV", "property_value_descriptor": ""}, "hole mobility": {}, "electron mobility": {}, "external quantum efficiency": {}}</t>
  </si>
  <si>
    <t xml:space="preserve">[6,6]-phenyl C_{61} butyric acid</t>
  </si>
  <si>
    <t xml:space="preserve">{"power conversion efficiency": {"entity_name": "PCE", "entity_start": 161, "entity_end": 161, "property_value_start": 171, "property_value_end": 174, "property_numeric_value": 2.2,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</si>
  <si>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10.1021/acs.chemmater.7b02811</t>
  </si>
  <si>
    <t xml:space="preserve">FDNCTF</t>
  </si>
  <si>
    <t xml:space="preserve">['FDNCTF', 'FDICTF']</t>
  </si>
  <si>
    <t xml:space="preserve">{"power conversion efficiency": {"entity_name": "PCE", "entity_start": 239, "entity_end": 239, "property_value_start": 242, "property_value_end": 243, "property_numeric_value": 11.2, "property_unit": "%", "property_value_descriptor": ""}, "open circuit voltage": {}, "short circuit current": {}, "fill factor": {"entity_name": "FF", "entity_start": 259, "entity_end": 259, "property_value_start": 261, "property_value_end": 262, "property_numeric_value": 72.7,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</si>
  <si>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10.1021/acs.chemmater.6b05194</t>
  </si>
  <si>
    <t xml:space="preserve">['phenyl-C70-butyric acid methyl ester', 'PC_{70}BM']</t>
  </si>
  <si>
    <t xml:space="preserve">{"power conversion efficiency": {"entity_name": "PCE", "entity_start": 132, "entity_end": 132, "property_value_start": 134, "property_value_end": 135, "property_numeric_value": 10.5, "property_unit": "%", "property_value_descriptor": "~"}, "open circuit voltage": {"entity_name": "V_{oc}", "entity_start": 144, "entity_end": 145, "property_value_start": 148, "property_value_end": 149, "property_numeric_value": 0.95, "property_unit": "V", "property_value_descriptor": ""}, "short circuit current": {"entity_name": "J_{sc}", "entity_start": 157, "entity_end": 158, "property_value_start": 161, "property_value_end": 165, "property_numeric_value": 15.6, "property_unit": "mA/cm^{2}", "property_value_descriptor": ""}, "fill factor": {"entity_name": "FF", "entity_start": 172, "entity_end": 172, "property_value_start": 175, "property_value_end": 176, "property_numeric_value": 71.1,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</si>
  <si>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10.1021/acs.chemmater.9b03327</t>
  </si>
  <si>
    <t xml:space="preserve">BTD</t>
  </si>
  <si>
    <t xml:space="preserve">['BTD']</t>
  </si>
  <si>
    <t xml:space="preserve">{"power conversion efficiency": {"entity_name": "PCE", "entity_start": 283, "entity_end": 283, "property_value_start": 285, "property_value_end": 286, "property_numeric_value": 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</si>
  <si>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bithiophene</t>
  </si>
  <si>
    <t xml:space="preserve">{"power conversion efficiency": {"entity_name": "PCE", "entity_start": 283, "entity_end": 283, "property_value_start": 294, "property_value_end": 295, "property_numeric_value": 3.6,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</si>
  <si>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10.1021/acs.chemmater.0c00055</t>
  </si>
  <si>
    <t xml:space="preserve">P(NDI2OD-Se-Th x)</t>
  </si>
  <si>
    <t xml:space="preserve">['P(NDI2OD-Se-Th x)']</t>
  </si>
  <si>
    <t xml:space="preserve">{"power conversion efficiency": {"entity_name": "power conversion efficiency", "entity_start": 223, "entity_end": 225, "property_value_start": 227, "property_value_end": 228, "property_numeric_value": 8.3,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</si>
  <si>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10.1021/acs.chemmater.0c00459</t>
  </si>
  <si>
    <t xml:space="preserve">PBQ10</t>
  </si>
  <si>
    <t xml:space="preserve">['PBQ10', 'PBQ10-based']</t>
  </si>
  <si>
    <t xml:space="preserve">PBQ10-based</t>
  </si>
  <si>
    <t xml:space="preserve">{"power conversion efficiency": {"entity_name": "PCE", "entity_start": 198, "entity_end": 198, "property_value_start": 200, "property_value_end": 201, "property_numeric_value": 13.45,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118, "entity_end": 119, "property_value_start": 138, "property_value_end": 148, "property_numeric_value": 0.000171, "property_unit": "cm^{2} V^{-1} s^{-1}", "property_value_descriptor": ""}, "electron mobility": {}, "external quantum efficiency": {}}</t>
  </si>
  <si>
    <t xml:space="preserve">10.1021/acs.chemmater.9b01741</t>
  </si>
  <si>
    <t xml:space="preserve">{"power conversion efficiency": {"entity_name": "PCEs", "entity_start": 85, "entity_end": 85, "property_value_start": 89, "property_value_end": 90,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</si>
  <si>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10.1021/acs.chemmater.0c00783</t>
  </si>
  <si>
    <t xml:space="preserve">['P_{D}', "P_{D}'s", 'P-Si P_{D}']</t>
  </si>
  <si>
    <t xml:space="preserve">P-Si P_{D}; P_{D}</t>
  </si>
  <si>
    <t xml:space="preserve">{"power conversion efficiency": {"entity_name": "PCE", "entity_start": 262, "entity_end": 262, "property_value_start": 265, "property_value_end": 266, "property_numeric_value": 12.0,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</si>
  <si>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10.1021/acsenergylett.0c00604</t>
  </si>
  <si>
    <t xml:space="preserve">{"power conversion efficiency": {"entity_name": "PCE", "entity_start": 84, "entity_end": 84, "property_value_start": 86, "property_value_end": 87, "property_numeric_value": 16.6, "property_unit": "%", "property_value_descriptor": ""}, "open circuit voltage": {}, "short circuit current": {}, "fill factor": {"entity_name": "fill factor", "entity_start": 90, "entity_end": 91, "property_value_start": 104, "property_value_end": 105, "property_numeric_value": 15.2,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</si>
  <si>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10.1021/acsenergylett.0c00857</t>
  </si>
  <si>
    <t xml:space="preserve">{"power conversion efficiency": {"entity_name": "PCE", "entity_start": 127, "entity_end": 127, "property_value_start": 129, "property_value_end": 130, "property_numeric_value": 13.09,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</si>
  <si>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10.1021/acsenergylett.8b01448</t>
  </si>
  <si>
    <t xml:space="preserve">PBD1</t>
  </si>
  <si>
    <t xml:space="preserve">[*]c%10ccc(c8sc(c6ccc(c5cc4c(c1cccc(OCCCCCC)c1)c2sc([*])cc2c(c3cccc(OCCCCCC)c3)c4s5)s6)c9c(=O)c7c(CCCCCC)sc(CCCCCC)c7c(=O)c89)s%10</t>
  </si>
  <si>
    <t xml:space="preserve">['PBD1']</t>
  </si>
  <si>
    <t xml:space="preserve">{"power conversion efficiency": {"entity_name": "PCE", "entity_start": 165, "entity_end": 165, "property_value_start": 167, "property_value_end": 168, "property_numeric_value": 14.2, "property_unit": "%", "property_value_descriptor": ""}, "open circuit voltage": {}, "short circuit current": {"entity_name": "J_{sc}", "entity_start": 172, "entity_end": 173, "property_value_start": 175, "property_value_end": 178, "property_numeric_value": 12.3, "property_unit": "mA cm^{-2}", "property_value_descriptor": ""}, "fill factor": {}, "highest occupied molecular orbital": {}, "lowest unoccupied molecular orbital": {}, "bandgap": {"entity_name": "optical bandgap", "entity_start": 111, "entity_end": 112, "property_value_start": 114, "property_value_end": 115, "property_numeric_value": 1.88, "property_unit": "eV", "property_value_descriptor": ""}, "hole mobility": {}, "electron mobility": {}, "external quantum efficiency": {}}</t>
  </si>
  <si>
    <t xml:space="preserve">10.1021/acsenergylett.9b00681</t>
  </si>
  <si>
    <t xml:space="preserve">{"power conversion efficiency": {"entity_name": "PCE", "entity_start": 168, "entity_end": 168, "property_value_start": 170, "property_value_end": 171, "property_numeric_value": 13.8,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</si>
  <si>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10.1021/acsenergylett.8b00627</t>
  </si>
  <si>
    <t xml:space="preserve">i-IEICO-4F</t>
  </si>
  <si>
    <t xml:space="preserve">{"power conversion efficiency": {"entity_name": "power conversion efficiency", "entity_start": 146, "entity_end": 148, "property_value_start": 150, "property_value_end": 151, "property_numeric_value": 13.18, "property_unit": "%", "property_value_descriptor": ""}, "open circuit voltage": {}, "short circuit current": {"entity_name": "short-circuit current density", "entity_start": 164, "entity_end": 168, "property_value_start": 170, "property_value_end": 173, "property_numeric_value": 22.86, "property_unit": "mA cm^{-2}", "property_value_descriptor": ""}, "fill factor": {"entity_name": "fill factor", "entity_start": 177, "entity_end": 178, "property_value_start": 180, "property_value_end": 181, "property_numeric_value": 67.9,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</si>
  <si>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10.1021/acsenergylett.9b02146</t>
  </si>
  <si>
    <t xml:space="preserve">['PBDTT-FTTE', 'PBDTTF-FTTE']</t>
  </si>
  <si>
    <t xml:space="preserve">Ph(PDI) 3</t>
  </si>
  <si>
    <t xml:space="preserve">['Ph(PDI) 3']</t>
  </si>
  <si>
    <t xml:space="preserve">{"power conversion efficiency": {"entity_name": "PCE", "entity_start": 72, "entity_end": 72, "property_value_start": 76, "property_value_end": 77, "property_numeric_value": 9.1,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</si>
  <si>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10.1021/acsenergylett.7b00551</t>
  </si>
  <si>
    <t xml:space="preserve">['ITIC', 'PBTClITIC']</t>
  </si>
  <si>
    <t xml:space="preserve">PBTCl; ITIC</t>
  </si>
  <si>
    <t xml:space="preserve">{"power conversion efficiency": {"entity_name": "PCE", "entity_start": 158, "entity_end": 158, "property_value_start": 160, "property_value_end": 161, "property_numeric_value": 7.57, "property_unit": "%", "property_value_descriptor": ""}, "open circuit voltage": {"entity_name": "V_{oc}", "entity_start": 164, "entity_end": 165, "property_value_start": 167, "property_value_end": 168, "property_numeric_value": 0.91,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</si>
  <si>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10.1021/acs.langmuir.7b00678</t>
  </si>
  <si>
    <t xml:space="preserve">{"power conversion efficiency": {"entity_name": "PCE", "entity_start": 117, "entity_end": 117, "property_value_start": 119, "property_value_end": 120, "property_numeric_value": 3.58,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</si>
  <si>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10.1021/am300623f</t>
  </si>
  <si>
    <t xml:space="preserve">PF12TBT</t>
  </si>
  <si>
    <t xml:space="preserve">[*]c7ccc6c5ccc(c4ccc(c2ccc(c1ccc([*])s1)c3nsnc23)s4)cc5C(CCCCCCCCCCCC)(CCCCCCCCCCCC)c6c7</t>
  </si>
  <si>
    <t xml:space="preserve">["poly[2,7-(9,9-didodecylfluorene)-alt-5,5-(4',7'-bis(2-thienyl)-2',1',3'-benzothiadiazole)]", 'PF12TBT']</t>
  </si>
  <si>
    <t xml:space="preserve">{"power conversion efficiency": {"entity_name": "PCE", "entity_start": 45, "entity_end": 45, "property_value_start": 58, "property_value_end": 59, "property_numeric_value": 2.7,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</si>
  <si>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10.1021/acsami.7b17495</t>
  </si>
  <si>
    <t xml:space="preserve">{"power conversion efficiency": {"entity_name": "power conversion efficiency", "entity_start": 261, "entity_end": 263, "property_value_start": 269, "property_value_end": 270, "property_numeric_value": 4.61,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</si>
  <si>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10.1021/am508006q</t>
  </si>
  <si>
    <t xml:space="preserve">poly(styrene- sulfonate)</t>
  </si>
  <si>
    <t xml:space="preserve">['poly(styrene- sulfonate)', 'PEDOT']</t>
  </si>
  <si>
    <t xml:space="preserve">{"power conversion efficiency": {"entity_name": "power conversion efficiency", "entity_start": 169, "entity_end": 171, "property_value_start": 173, "property_value_end": 174, "property_numeric_value": 13.3,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</si>
  <si>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10.1021/acsami.5b05969</t>
  </si>
  <si>
    <t xml:space="preserve">{"power conversion efficiency": {"entity_name": "PCE", "entity_start": 127, "entity_end": 127, "property_value_start": 132, "property_value_end": 133, "property_numeric_value": 9.6,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</si>
  <si>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10.1021/acsami.5b03213</t>
  </si>
  <si>
    <t xml:space="preserve">poly(3-hexylthiophene)s</t>
  </si>
  <si>
    <t xml:space="preserve">['poly(3-hexylthiophene)s', 'P3HTs', 'P3HT', 'P3HT-end -', 'P3HT-end-OXD', 'P3HT-end-TAZ']</t>
  </si>
  <si>
    <t xml:space="preserve">{"power conversion efficiency": {"entity_name": "PCE", "entity_start": 154, "entity_end": 154, "property_value_start": 180, "property_value_end": 181, "property_numeric_value": 0.5,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</si>
  <si>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10.1021/am5080562</t>
  </si>
  <si>
    <t xml:space="preserve">p(DPP-TTF)</t>
  </si>
  <si>
    <t xml:space="preserve">['p(DPP-TTF)']</t>
  </si>
  <si>
    <t xml:space="preserve">{"power conversion efficiency": {"entity_name": "PCE", "entity_start": 172, "entity_end": 172, "property_value_start": 174, "property_value_end": 175, "property_numeric_value": 1.8,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</si>
  <si>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10.1021/acsami.5b04351</t>
  </si>
  <si>
    <t xml:space="preserve">{"power conversion efficiency": {"entity_name": "power conversion efficiency", "entity_start": 261, "entity_end": 263, "property_value_start": 284, "property_value_end": 285, "property_numeric_value": 2.2,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</si>
  <si>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10.1021/acsami.5b04555</t>
  </si>
  <si>
    <t xml:space="preserve">{"power conversion efficiency": {"entity_name": "PCE", "entity_start": 190, "entity_end": 190, "property_value_start": 196, "property_value_end": 197, "property_numeric_value": 8.4,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</si>
  <si>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10.1021/am5061189</t>
  </si>
  <si>
    <t xml:space="preserve">PFehTTBT</t>
  </si>
  <si>
    <t xml:space="preserve">{"power conversion efficiency": {"entity_name": "PCE", "entity_start": 89, "entity_end": 89, "property_value_start": 92, "property_value_end": 95, "property_numeric_value": 2.5, "property_unit": "%", "property_value_descriptor": "-"}, "open circuit voltage": {"entity_name": "open-circuit voltage", "entity_start": 237, "entity_end": 240, "property_value_start": 242, "property_value_end": 243, "property_numeric_value": 0.92, "property_unit": "V", "property_value_descriptor": ""}, "short circuit current": {"entity_name": "short-circuit current", "entity_start": 246, "entity_end": 249, "property_value_start": 251, "property_value_end": 255, "property_numeric_value": 15.1, "property_unit": "mA/cm^{2}", "property_value_descriptor": ""}, "fill factor": {"entity_name": "fill factor", "entity_start": 259, "entity_end": 260, "property_value_start": 262, "property_value_end": 262, "property_numeric_value": 48.0, "property_unit": "%", "property_value_descriptor": ""}, "highest occupied molecular orbital": {}, "lowest unoccupied molecular orbital": {}, "bandgap": {}, "hole mobility": {"entity_name": "hole mobility", "entity_start": 68, "entity_end": 69, "property_value_start": 71, "property_value_end": 74, "property_numeric_value": 0.26, "property_unit": "cm^{2}(V s)", "property_value_descriptor": ""}, "electron mobility": {}, "external quantum efficiency": {}}</t>
  </si>
  <si>
    <t xml:space="preserve">10.1021/acsami.7b07704</t>
  </si>
  <si>
    <t xml:space="preserve">['PTB7', 'benzodithiophene(PTB7)']</t>
  </si>
  <si>
    <t xml:space="preserve">{"power conversion efficiency": {"entity_name": "PCE", "entity_start": 99, "entity_end": 99, "property_value_start": 102, "property_value_end": 103, "property_numeric_value": 10.28, "property_unit": "%", "property_value_descriptor": ""}, "open circuit voltage": {"entity_name": "V_{oc}", "entity_start": 171, "entity_end": 172, "property_value_start": 175, "property_value_end": 176, "property_numeric_value": 0.73, "property_unit": "V", "property_value_descriptor": ""}, "short circuit current": {"entity_name": "J_{sc}", "entity_start": 156, "entity_end": 157, "property_value_start": 160, "property_value_end": 163, "property_numeric_value": 18.72, "property_unit": "mA cm^{-2}", "property_value_descriptor": ""}, "fill factor": {"entity_name": "FF", "entity_start": 144, "entity_end": 144, "property_value_start": 147, "property_value_end": 148, "property_numeric_value": 75.03,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</si>
  <si>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10.1021/am401926h</t>
  </si>
  <si>
    <t xml:space="preserve">DTBTz</t>
  </si>
  <si>
    <t xml:space="preserve">{"power conversion efficiency": {"entity_name": "power conversion efficiencies", "entity_start": 106, "entity_end": 108, "property_value_start": 113, "property_value_end": 114, "property_numeric_value": 2.9, "property_unit": "%", "property_value_descriptor": ""}, "open circuit voltage": {}, "short circuit current": {}, "fill factor": {}, "highest occupied molecular orbital": {}, "lowest unoccupied molecular orbital": {}, "bandgap": {"entity_name": "optical-band-gap energies", "entity_start": 74, "entity_end": 79, "property_value_start": 86, "property_value_end": 87, "property_numeric_value": 1.95, "property_unit": "eV", "property_value_descriptor": ""}, "hole mobility": {}, "electron mobility": {}, "external quantum efficiency": {}}</t>
  </si>
  <si>
    <t xml:space="preserve">10.1021/acsami.6b00192</t>
  </si>
  <si>
    <t xml:space="preserve">['[6,6]-penyl-C61-butyric-acid-methyl-ester', 'PCBM']</t>
  </si>
  <si>
    <t xml:space="preserve">{"power conversion efficiency": {"entity_name": "power conversion efficiency", "entity_start": 137, "entity_end": 139, "property_value_start": 141, "property_value_end": 142, "property_numeric_value": 4.4,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</si>
  <si>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10.1021/acsami.6b02671</t>
  </si>
  <si>
    <t xml:space="preserve">['PffBT4T-2OD', 'PffBT4T-2OD']</t>
  </si>
  <si>
    <t xml:space="preserve">{"power conversion efficiency": {"entity_name": "PCE", "entity_start": 75, "entity_end": 75, "property_value_start": 77, "property_value_end": 78, "property_numeric_value": 10.23,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</si>
  <si>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10.1021/am5077974</t>
  </si>
  <si>
    <t xml:space="preserve">{"power conversion efficiency": {"entity_name": "power conversion efficiency", "entity_start": 177, "entity_end": 179, "property_value_start": 181, "property_value_end": 184, "property_numeric_value": 4.4, "property_unit": "%", "property_value_descriptor": ""}, "open circuit voltage": {}, "short circuit current": {}, "fill factor": {"entity_name": "fill factor", "entity_start": 168, "entity_end": 169, "property_value_start": 171, "property_value_end": 174, "property_numeric_value": 66.0,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</si>
  <si>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10.1021/acsami.6b08802</t>
  </si>
  <si>
    <t xml:space="preserve">{"power conversion efficiency": {"entity_name": "PCE", "entity_start": 220, "entity_end": 220, "property_value_start": 225, "property_value_end": 226, "property_numeric_value": 6.34,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</si>
  <si>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10.1021/am4013038</t>
  </si>
  <si>
    <t xml:space="preserve">{"power conversion efficiency": {"entity_name": "PCE", "entity_start": 160, "entity_end": 160, "property_value_start": 163, "property_value_end": 164, "property_numeric_value": 3.3,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</si>
  <si>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10.1021/am404437y</t>
  </si>
  <si>
    <t xml:space="preserve">LMW-P1</t>
  </si>
  <si>
    <t xml:space="preserve">['LMW-P1']</t>
  </si>
  <si>
    <t xml:space="preserve">{"power conversion efficiency": {"entity_name": "PCE", "entity_start": 122, "entity_end": 122, "property_value_start": 136, "property_value_end": 137, "property_numeric_value": 6.52,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</si>
  <si>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152, "entity_end": 152, "property_value_start": 155, "property_value_end": 156, "property_numeric_value": 2.51,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</si>
  <si>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10.1021/acsami.7b17870</t>
  </si>
  <si>
    <t xml:space="preserve">{"power conversion efficiency": {"entity_name": "PCEs", "entity_start": 133, "entity_end": 133, "property_value_start": 140, "property_value_end": 141, "property_numeric_value": 3.01,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</si>
  <si>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"PCEs", "entity_start": 103, "entity_end": 103, "property_value_start": 111, "property_value_end": 112, "property_numeric_value": 4.81,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</si>
  <si>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10.1021/acsami.7b17076</t>
  </si>
  <si>
    <t xml:space="preserve">PTNT812</t>
  </si>
  <si>
    <t xml:space="preserve">["poly(2,5-thiophene-alt-5,5'-(5,10-bis(4-(2-octyldodecyl)thiophen-2-yl)naphtho[1,2-c:5,6-c']bis([1,2,5]thiadiazole)))", 'PTNT812']</t>
  </si>
  <si>
    <t xml:space="preserve">{"power conversion efficiency": {"entity_name": "PCE", "entity_start": 188, "entity_end": 188, "property_value_start": 190, "property_value_end": 191, "property_numeric_value": 10.78,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</si>
  <si>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10.1021/acsami.7b18381</t>
  </si>
  <si>
    <t xml:space="preserve">TQxT</t>
  </si>
  <si>
    <t xml:space="preserve">['TQxT']</t>
  </si>
  <si>
    <t xml:space="preserve">{"power conversion efficiency": {"entity_name": "power-conversion efficiency", "entity_start": 185, "entity_end": 188, "property_value_start": 190, "property_value_end": 191, "property_numeric_value": 7.26,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</si>
  <si>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10.1021/acsami.7b09915</t>
  </si>
  <si>
    <t xml:space="preserve">PBDB-ST</t>
  </si>
  <si>
    <t xml:space="preserve">['PBDB-ST']</t>
  </si>
  <si>
    <t xml:space="preserve">ITIC-SC2C6</t>
  </si>
  <si>
    <t xml:space="preserve">['ITIC-SC2C6']</t>
  </si>
  <si>
    <t xml:space="preserve">{"power conversion efficiency": {"entity_name": "power conversion efficiency", "entity_start": 126, "entity_end": 128, "property_value_start": 131, "property_value_end": 132, "property_numeric_value": 9.16, "property_unit": "%", "property_value_descriptor": ""}, "open circuit voltage": {"entity_name": "V_{oc}", "entity_start": 150, "entity_end": 151, "property_value_start": 153, "property_value_end": 154, "property_numeric_value": 0.92, "property_unit": "V", "property_value_descriptor": ""}, "short circuit current": {"entity_name": "J_{sc}", "entity_start": 140, "entity_end": 141, "property_value_start": 143, "property_value_end": 146, "property_numeric_value": 15.81, "property_unit": "mA cm^{-2}", "property_value_descriptor": ""}, "fill factor": {"entity_name": "FF", "entity_start": 135, "entity_end": 135, "property_value_start": 137, "property_value_end": 137, "property_numeric_value": 63.0,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</si>
  <si>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10.1021/acsami.7b12142</t>
  </si>
  <si>
    <t xml:space="preserve">PDTTF-DTBT</t>
  </si>
  <si>
    <t xml:space="preserve">['PDTTF-DTBT']</t>
  </si>
  <si>
    <t xml:space="preserve">{"power conversion efficiency": {}, "open circuit voltage": {}, "short circuit current": {}, "fill factor": {}, "highest occupied molecular orbital": {"entity_name": "HOMO", "entity_start": 147, "entity_end": 147, "property_value_start": 150, "property_value_end": 151, "property_numeric_value": -5.36, "property_unit": "eV", "property_value_descriptor": ""}, "lowest unoccupied molecular orbital": {}, "bandgap": {"entity_name": "optical band gap", "entity_start": 137, "entity_end": 139, "property_value_start": 141, "property_value_end": 142, "property_numeric_value": 1.72, "property_unit": "eV", "property_value_descriptor": ""}, "hole mobility": {}, "electron mobility": {}, "external quantum efficiency": {}}</t>
  </si>
  <si>
    <t xml:space="preserve">{"power conversion efficiency": {"entity_name": "power conversion efficiency", "entity_start": 212, "entity_end": 214, "property_value_start": 216, "property_value_end": 217, "property_numeric_value": 8.2,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</si>
  <si>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10.1021/acsami.7b03187</t>
  </si>
  <si>
    <t xml:space="preserve">alt-ethylhexyl-3-fluorothithieno[3,4-b]thiophene-2-carboxylate-4,6-diyl]</t>
  </si>
  <si>
    <t xml:space="preserve">{"power conversion efficiency": {"entity_name": "power conversion efficiency", "entity_start": 186, "entity_end": 188, "property_value_start": 194, "property_value_end": 195, "property_numeric_value": 8.04,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</si>
  <si>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10.1021/acsami.7b05787</t>
  </si>
  <si>
    <t xml:space="preserve">['P0', 'P7']</t>
  </si>
  <si>
    <t xml:space="preserve">{"power conversion efficiency": {"entity_name": "PCE", "entity_start": 158, "entity_end": 158, "property_value_start": 160, "property_value_end": 161, "property_numeric_value": 7.8,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</si>
  <si>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10.1021/acsami.7b00979</t>
  </si>
  <si>
    <t xml:space="preserve">{"power conversion efficiency": {"entity_name": "power conversion efficiency", "entity_start": 160, "entity_end": 162, "property_value_start": 164, "property_value_end": 165,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</si>
  <si>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10.1021/acsami.6b16395</t>
  </si>
  <si>
    <t xml:space="preserve">FN</t>
  </si>
  <si>
    <t xml:space="preserve">NAI; P3HT; FN; 1,8-naphthalimide; NAI-FN-NAI(BO)</t>
  </si>
  <si>
    <t xml:space="preserve">{"power conversion efficiency": {}, "open circuit voltage": {"entity_name": "V_{OC}", "entity_start": 293, "entity_end": 294, "property_value_start": 297, "property_value_end": 298, "property_numeric_value": 0.88,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</si>
  <si>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332, "entity_end": 332, "property_value_start": 335, "property_value_end": 336, "property_numeric_value": 3.6, "property_unit": "%", "property_value_descriptor": ""}, "open circuit voltage": {}, "short circuit current": {}, "fill factor": {"entity_name": "FF", "entity_start": 319, "entity_end": 319, "property_value_start": 322, "property_value_end": 323, "property_numeric_value": 45.0,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</si>
  <si>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10.1021/acsami.7b01427</t>
  </si>
  <si>
    <t xml:space="preserve">{"power conversion efficiency": {"entity_name": "PCE", "entity_start": 140, "entity_end": 140, "property_value_start": 142, "property_value_end": 143, "property_numeric_value": 9.47,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</si>
  <si>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10.1021/acsami.7b04496</t>
  </si>
  <si>
    <t xml:space="preserve">{"power conversion efficiency": {"entity_name": "PCEs", "entity_start": 233, "entity_end": 233, "property_value_start": 243, "property_value_end": 244, "property_numeric_value": 3.49, "property_unit": "%", "property_value_descriptor": ""}, "open circuit voltage": {}, "short circuit current": {}, "fill factor": {}, "highest occupied molecular orbital": {"entity_name": "highest-occupied molecular orbital levels", "entity_start": 95, "entity_end": 100, "property_value_start": 104, "property_value_end": 105, "property_numeric_value": -5.25, "property_unit": "eV", "property_value_descriptor": ""}, "lowest unoccupied molecular orbital": {}, "bandgap": {"entity_name": "bandgaps", "entity_start": 76, "entity_end": 76, "property_value_start": 79, "property_value_end": 82, "property_numeric_value": 1.835, "property_unit": "eV", "property_value_descriptor": "to"}, "hole mobility": {}, "electron mobility": {}, "external quantum efficiency": {}}</t>
  </si>
  <si>
    <t xml:space="preserve">PBDTA-NPz</t>
  </si>
  <si>
    <t xml:space="preserve">['PBDTA-NPz', 'PBDTF-NPz', 'PBDTP-NPz']</t>
  </si>
  <si>
    <t xml:space="preserve">{"power conversion efficiency": {"entity_name": "PCE", "entity_start": 273, "entity_end": 273, "property_value_start": 275, "property_value_end": 276, "property_numeric_value": 8.63,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</si>
  <si>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10.1021/acsami.6b10843</t>
  </si>
  <si>
    <t xml:space="preserve">{"power conversion efficiency": {"entity_name": "PCE", "entity_start": 254, "entity_end": 254, "property_value_start": 261, "property_value_end": 262, "property_numeric_value": 6.5,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</si>
  <si>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254, "entity_end": 254, "property_value_start": 256, "property_value_end": 257, "property_numeric_value": 8.15,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</si>
  <si>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10.1021/acsami.6b11063</t>
  </si>
  <si>
    <t xml:space="preserve">{"power conversion efficiency": {"entity_name": "PCE", "entity_start": 75, "entity_end": 75, "property_value_start": 79, "property_value_end": 80, "property_numeric_value": 8.7,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</si>
  <si>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10.1021/acsami.6b08710</t>
  </si>
  <si>
    <t xml:space="preserve">{"power conversion efficiency": {"entity_name": "power conversion efficiency", "entity_start": 102, "entity_end": 104, "property_value_start": 106, "property_value_end": 107, "property_numeric_value": 10.35,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</si>
  <si>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10.1021/acsami.6b07985</t>
  </si>
  <si>
    <t xml:space="preserve">{"power conversion efficiency": {"entity_name": "power conversion efficiency", "entity_start": 122, "entity_end": 124, "property_value_start": 127, "property_value_end": 128, "property_numeric_value": 9.8,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</si>
  <si>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10.1021/acsami.6b10715</t>
  </si>
  <si>
    <t xml:space="preserve">PDMS</t>
  </si>
  <si>
    <t xml:space="preserve">C[Si](C)(O[*])[*]</t>
  </si>
  <si>
    <t xml:space="preserve">['poly(dimethylsiloxane)', 'PDMS']</t>
  </si>
  <si>
    <t xml:space="preserve">{"power conversion efficiency": {"entity_name": "PCE", "entity_start": 97, "entity_end": 97, "property_value_start": 104, "property_value_end": 105, "property_numeric_value": 7.6, "property_unit": "%", "property_value_descriptor": ""}, "open circuit voltage": {}, "short circuit current": {}, "fill factor": {"entity_name": "FF", "entity_start": 112, "entity_end": 112, "property_value_start": 115, "property_value_end": 116, "property_numeric_value": 6.8,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</si>
  <si>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10.1021/acsami.6b06070</t>
  </si>
  <si>
    <t xml:space="preserve">["benzo[1,2-b:4,5-b']dithiophene", 'BDT']</t>
  </si>
  <si>
    <t xml:space="preserve">{"power conversion efficiency": {"entity_name": "power conversion efficiency", "entity_start": 150, "entity_end": 152, "property_value_start": 154, "property_value_end": 155, "property_numeric_value": 9.29, "property_unit": "%", "property_value_descriptor": ""}, "open circuit voltage": {}, "short circuit current": {"entity_name": "short-current density", "entity_start": 158, "entity_end": 161, "property_value_start": 163, "property_value_end": 166, "property_numeric_value": 14.56, "property_unit": "mA cm^{-2}", "property_value_descriptor": ""}, "fill factor": {"entity_name": "fill factor", "entity_start": 170, "entity_end": 171, "property_value_start": 173, "property_value_end": 173, "property_numeric_value": 75.1, "property_unit": "%", "property_value_descriptor": ""}, "highest occupied molecular orbital": {}, "lowest unoccupied molecular orbital": {}, "bandgap": {}, "hole mobility": {"entity_name": "hole mobility", "entity_start": 95, "entity_end": 96, "property_value_start": 98, "property_value_end": 103, "property_numeric_value": 1.0, "property_unit": "cm^{2} V^{-1} s^{-1}", "property_value_descriptor": ""}, "electron mobility": {}, "external quantum efficiency": {}}</t>
  </si>
  <si>
    <t xml:space="preserve">10.1021/acsami.6b02824</t>
  </si>
  <si>
    <t xml:space="preserve">PBDSe-DT2PyT</t>
  </si>
  <si>
    <t xml:space="preserve">['PBDSe-DT2PyT']</t>
  </si>
  <si>
    <t xml:space="preserve">{"power conversion efficiency": {"entity_name": "PCE", "entity_start": 117, "entity_end": 117, "property_value_start": 122, "property_value_end": 123, "property_numeric_value": 5.87,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</si>
  <si>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10.1021/acsami.9b10641</t>
  </si>
  <si>
    <t xml:space="preserve">ATT-4</t>
  </si>
  <si>
    <t xml:space="preserve">['ATT-4', 'ATT-1']</t>
  </si>
  <si>
    <t xml:space="preserve">ATT-4; TbT</t>
  </si>
  <si>
    <t xml:space="preserve">{"power conversion efficiency": {"entity_name": "PCE", "entity_start": 198, "entity_end": 198, "property_value_start": 200, "property_value_end": 201, "property_numeric_value": 12.36, "property_unit": "%", "property_value_descriptor": ""}, "open circuit voltage": {"entity_name": "V_{oc}", "entity_start": 204, "entity_end": 205, "property_value_start": 207, "property_value_end": 208, "property_numeric_value": 0.93, "property_unit": "V", "property_value_descriptor": ""}, "short circuit current": {"entity_name": "J_{sc}", "entity_start": 210, "entity_end": 211, "property_value_start": 213, "property_value_end": 216, "property_numeric_value": 18.86, "property_unit": "mA cm^{-2}", "property_value_descriptor": ""}, "fill factor": {"entity_name": "FF", "entity_start": 222, "entity_end": 222, "property_value_start": 225, "property_value_end": 225, "property_numeric_value": 71.0,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</si>
  <si>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10.1021/acsami.9b10309</t>
  </si>
  <si>
    <t xml:space="preserve">{"power conversion efficiency": {"entity_name": "power conversion efficiencies", "entity_start": 30, "entity_end": 32, "property_value_start": 35, "property_value_end": 36,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</si>
  <si>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10.1021/acsami.9b08007</t>
  </si>
  <si>
    <t xml:space="preserve">JC1</t>
  </si>
  <si>
    <t xml:space="preserve">['JC2', 'JC2-based', 'JC1']</t>
  </si>
  <si>
    <t xml:space="preserve">{"power conversion efficiency": {"entity_name": "PCE", "entity_start": 206, "entity_end": 206, "property_value_start": 208, "property_value_end": 209, "property_numeric_value": 6.24, "property_unit": "%", "property_value_descriptor": ""}, "open circuit voltage": {}, "short circuit current": {"entity_name": "J_{SC}", "entity_start": 245, "entity_end": 246, "property_value_start": 248, "property_value_end": 251, "property_numeric_value": 10.66,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</si>
  <si>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JC2-based</t>
  </si>
  <si>
    <t xml:space="preserve">{"power conversion efficiency": {"entity_name": "PCE", "entity_start": 239, "entity_end": 239, "property_value_start": 241, "property_value_end": 242, "property_numeric_value": 2.8, "property_unit": "%", "property_value_descriptor": ""}, "open circuit voltage": {"entity_name": "V_{OC}", "entity_start": 255, "entity_end": 256, "property_value_start": 258, "property_value_end": 259, "property_numeric_value": 0.48,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</si>
  <si>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10.1021/acsami.8b04432</t>
  </si>
  <si>
    <t xml:space="preserve">{"power conversion efficiency": {"entity_name": "PCE", "entity_start": 288, "entity_end": 288, "property_value_start": 290, "property_value_end": 291, "property_numeric_value": 2.93, "property_unit": "%", "property_value_descriptor": ""}, "open circuit voltage": {"entity_name": "V_{oc}", "entity_start": 174, "entity_end": 175, "property_value_start": 177, "property_value_end": 178, "property_numeric_value": 1.0, "property_unit": "V", "property_value_descriptor": ""}, "short circuit current": {"entity_name": "J_{sc}", "entity_start": 182, "entity_end": 183, "property_value_start": 185, "property_value_end": 189, "property_numeric_value": 15.99, "property_unit": "mA/cm^{2}", "property_value_descriptor": ""}, "fill factor": {}, "highest occupied molecular orbital": {}, "lowest unoccupied molecular orbital": {}, "bandgap": {"entity_name": "E_{g}", "entity_start": 12, "entity_end": 13, "property_value_start": 15, "property_value_end": 17, "property_numeric_value": 1.8, "property_unit": "eV", "property_value_descriptor": "&gt;"}, "hole mobility": {}, "electron mobility": {}, "external quantum efficiency": {}}</t>
  </si>
  <si>
    <t xml:space="preserve">10.1021/acsami.8b05673</t>
  </si>
  <si>
    <t xml:space="preserve">{"power conversion efficiency": {"entity_name": "PCE", "entity_start": 93, "entity_end": 93, "property_value_start": 111, "property_value_end": 112, "property_numeric_value": 5.41,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</si>
  <si>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10.1021/acsami.5b12717</t>
  </si>
  <si>
    <t xml:space="preserve">(TDPP)_{2}Ph</t>
  </si>
  <si>
    <t xml:space="preserve">['TDPP)_{2}P', '(TDPP)_{2}Ph']</t>
  </si>
  <si>
    <t xml:space="preserve">{"power conversion efficiency": {"entity_name": "PCE", "entity_start": 115, "entity_end": 115, "property_value_start": 133, "property_value_end": 134, "property_numeric_value": 6.58,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</si>
  <si>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['PTDPP2 T', 'PTDPP2T']</t>
  </si>
  <si>
    <t xml:space="preserve">{"power conversion efficiency": {"entity_name": "PCE", "entity_start": 115, "entity_end": 115, "property_value_start": 142, "property_value_end": 143, "property_numeric_value": 3.21,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</si>
  <si>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10.1021/acsami.9b02964</t>
  </si>
  <si>
    <t xml:space="preserve">['IDT', 'T', 'T']</t>
  </si>
  <si>
    <t xml:space="preserve">IDT; T</t>
  </si>
  <si>
    <t xml:space="preserve">{"power conversion efficiency": {"entity_name": "Power conversion efficiencies", "entity_start": 83, "entity_end": 85, "property_value_start": 89, "property_value_end": 90, "property_numeric_value": 9.46,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</si>
  <si>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10.1021/acsami.8b10312</t>
  </si>
  <si>
    <t xml:space="preserve">BT3</t>
  </si>
  <si>
    <t xml:space="preserve">['BT3']</t>
  </si>
  <si>
    <t xml:space="preserve">{"power conversion efficiency": {"entity_name": "PCE", "entity_start": 173, "entity_end": 173, "property_value_start": 175, "property_value_end": 176, "property_numeric_value": 2.55, "property_unit": "%", "property_value_descriptor": ""}, "open circuit voltage": {"entity_name": "V_{OC}", "entity_start": 146, "entity_end": 147, "property_value_start": 149, "property_value_end": 150, "property_numeric_value": 0.9, "property_unit": "V", "property_value_descriptor": ""}, "short circuit current": {}, "fill factor": {"entity_name": "FF", "entity_start": 156, "entity_end": 156, "property_value_start": 159, "property_value_end": 159, "property_numeric_value": 65.0,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</si>
  <si>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{"entity_name": "V_{OC}", "entity_start": 178, "entity_end": 179, "property_value_start": 181, "property_value_end": 182, "property_numeric_value": 0.72, "property_unit": "V", "property_value_descriptor": ""}, "short circuit current": {}, "fill factor": {"entity_name": "FF", "entity_start": 184, "entity_end": 184, "property_value_start": 186, "property_value_end": 186, "property_numeric_value": 61.0,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</si>
  <si>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10.1021/acsami.8b13274</t>
  </si>
  <si>
    <t xml:space="preserve">PfBB-n</t>
  </si>
  <si>
    <t xml:space="preserve">['PfBB-n', 'PfBB-n PC71BM']</t>
  </si>
  <si>
    <t xml:space="preserve">{"power conversion efficiency": {"entity_name": "PCE", "entity_start": 235, "entity_end": 235, "property_value_start": 237, "property_value_end": 238, "property_numeric_value": 9.7, "property_unit": "%", "property_value_descriptor": ""}, "open circuit voltage": {"entity_name": "V_{oc}", "entity_start": 263, "entity_end": 264, "property_value_start": 267, "property_value_end": 268, "property_numeric_value": 0.92, "property_unit": "V", "property_value_descriptor": ""}, "short circuit current": {"entity_name": "J_{sc}", "entity_start": 249, "entity_end": 250, "property_value_start": 253, "property_value_end": 256, "property_numeric_value": 16.6,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</si>
  <si>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10.1021/acsami.8b11506</t>
  </si>
  <si>
    <t xml:space="preserve">['poly[(2,5-bis(2-hexyldecyloxy)phenylene)-alt-(5,6-difluoro-4,7-di(thiophen-2-yl)benzo[c]-[1,2,5]thiadiazole)]', 'PPDT2FBT', 'PPDT2FBT-V x']</t>
  </si>
  <si>
    <t xml:space="preserve">{"power conversion efficiency": {"entity_name": "PCE", "entity_start": 250, "entity_end": 250, "property_value_start": 252, "property_value_end": 253, "property_numeric_value": 5.28,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</si>
  <si>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10.1021/acsami.8b16554</t>
  </si>
  <si>
    <t xml:space="preserve">PBDTTz-SBP</t>
  </si>
  <si>
    <t xml:space="preserve">['PBDTTz-SBP', 'PBDTTz-BP']</t>
  </si>
  <si>
    <t xml:space="preserve">{"power conversion efficiency": {"entity_name": "PCE", "entity_start": 204, "entity_end": 204, "property_value_start": 206, "property_value_end": 207, "property_numeric_value": 12.09, "property_unit": "%", "property_value_descriptor": ""}, "open circuit voltage": {"entity_name": "V_{OC}", "entity_start": 82, "entity_end": 83, "property_value_start": 85, "property_value_end": 86, "property_numeric_value": 0.914, "property_unit": "V", "property_value_descriptor": ""}, "short circuit current": {"entity_name": "J_{SC}", "entity_start": 88, "entity_end": 89, "property_value_start": 91, "property_value_end": 94, "property_numeric_value": 18.52, "property_unit": "mA cm^{-2}", "property_value_descriptor": ""}, "fill factor": {"entity_name": "fill factor", "entity_start": 97, "entity_end": 98, "property_value_start": 100, "property_value_end": 101, "property_numeric_value": 71.43,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</si>
  <si>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{}, "short circuit current": {}, "fill factor": {"entity_name": "fill factor", "entity_start": 180, "entity_end": 181, "property_value_start": 185, "property_value_end": 186, "property_numeric_value": 76.69,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</si>
  <si>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10.1021/am5017705</t>
  </si>
  <si>
    <t xml:space="preserve">{"power conversion efficiency": {"entity_name": "power conversion efficiency", "entity_start": 246, "entity_end": 248, "property_value_start": 250, "property_value_end": 251, "property_numeric_value": 6.64, "property_unit": "%", "property_value_descriptor": ""}, "open circuit voltage": {"entity_name": "V_{oc}", "entity_start": 222, "entity_end": 223, "property_value_start": 240, "property_value_end": 241, "property_numeric_value": 0.88,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</si>
  <si>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10.1021/acsami.8b19060</t>
  </si>
  <si>
    <t xml:space="preserve">{"power conversion efficiency": {"entity_name": "power conversion efficiency", "entity_start": 89, "entity_end": 91, "property_value_start": 93, "property_value_end": 94, "property_numeric_value": 9.0, "property_unit": "%", "property_value_descriptor": ""}, "open circuit voltage": {}, "short circuit current": {"entity_name": "J_{sc}", "entity_start": 110, "entity_end": 111, "property_value_start": 115, "property_value_end": 118, "property_numeric_value": 19.1,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</si>
  <si>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10.1021/am505616x</t>
  </si>
  <si>
    <t xml:space="preserve">MPC_{60}BA</t>
  </si>
  <si>
    <t xml:space="preserve">['MPC_{60}BA', 'MTC_{60}BA', 'MPC_{70}BA', 'MTC_{70}BA']</t>
  </si>
  <si>
    <t xml:space="preserve">{"power conversion efficiency": {"entity_name": "PCE", "entity_start": 330, "entity_end": 330, "property_value_start": 332, "property_value_end": 333, "property_numeric_value": 4.92, "property_unit": "%", "property_value_descriptor": ""}, "open circuit voltage": {"entity_name": "V_{oc}", "entity_start": 302, "entity_end": 303, "property_value_start": 305, "property_value_end": 306, "property_numeric_value": 0.78, "property_unit": "V", "property_value_descriptor": ""}, "short circuit current": {"entity_name": "J_{sc}", "entity_start": 309, "entity_end": 310, "property_value_start": 312, "property_value_end": 316, "property_numeric_value": 9.04, "property_unit": "mA/cm^{2}", "property_value_descriptor": ""}, "fill factor": {"entity_name": "FF", "entity_start": 320, "entity_end": 320, "property_value_start": 322, "property_value_end": 323, "property_numeric_value": 69.8,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</si>
  <si>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10.1021/am505916q</t>
  </si>
  <si>
    <t xml:space="preserve">poly[4,8-bis(2-ethylhexylthiophene-5-yl)-benzo[1,2-b:4,5-b]dithiophene-2,6-diyl]-alt-[2-(2-ethylhexanoyl)thieno[3,4-b]thiophen-4,6-diyl]</t>
  </si>
  <si>
    <t xml:space="preserve">['poly[4,8-bis(2-ethylhexylthiophene-5-yl)-benzo[1,2-b:4,5-b]dithiophene-2,6-diyl]-alt-[2-(2-ethylhexanoyl)thieno[3,4-b]thiophen-4,6-diyl]']</t>
  </si>
  <si>
    <t xml:space="preserve">polystyrene sulfonic</t>
  </si>
  <si>
    <t xml:space="preserve">['polystyrene sulfonic']</t>
  </si>
  <si>
    <t xml:space="preserve">{"power conversion efficiency": {"entity_name": "PCE", "entity_start": 170, "entity_end": 170, "property_value_start": 192, "property_value_end": 193, "property_numeric_value": 6.58,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</si>
  <si>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10.1021/am5082606</t>
  </si>
  <si>
    <t xml:space="preserve">{"power conversion efficiency": {"entity_name": "PCE", "entity_start": 291, "entity_end": 291, "property_value_start": 293, "property_value_end": 294, "property_numeric_value": 4.02, "property_unit": "%", "property_value_descriptor": ""}, "open circuit voltage": {"entity_name": "open circuit voltage", "entity_start": 297, "entity_end": 299, "property_value_start": 301, "property_value_end": 302, "property_numeric_value": 0.64, "property_unit": "V", "property_value_descriptor": ""}, "short circuit current": {"entity_name": "J_{sc}", "entity_start": 305, "entity_end": 306, "property_value_start": 308, "property_value_end": 312, "property_numeric_value": 11.6, "property_unit": "mA/cm^{2}", "property_value_descriptor": ""}, "fill factor": {"entity_name": "fill factor", "entity_start": 316, "entity_end": 317, "property_value_start": 319, "property_value_end": 320, "property_numeric_value": 53.0,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</si>
  <si>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10.1021/acsami.9b10514</t>
  </si>
  <si>
    <t xml:space="preserve">perylene</t>
  </si>
  <si>
    <t xml:space="preserve">['perylene']</t>
  </si>
  <si>
    <t xml:space="preserve">PBI-COOH</t>
  </si>
  <si>
    <t xml:space="preserve">['PBI-COOH']</t>
  </si>
  <si>
    <t xml:space="preserve">{"power conversion efficiency": {"entity_name": "power conversion efficiencies", "entity_start": 151, "entity_end": 153, "property_value_start": 157, "property_value_end": 158, "property_numeric_value": 13.48,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</si>
  <si>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10.1021/acsami.5b02104</t>
  </si>
  <si>
    <t xml:space="preserve">["poly[N-9''-hepta-decanyl-2,7-carbazole-alt-5,5-(4',7'-di-2-thienyl-2',1',3'-benzothiadiazole)", 'PCDTBT', 'PCDTBT']</t>
  </si>
  <si>
    <t xml:space="preserve">{"power conversion efficiency": {"entity_name": "PCE", "entity_start": 207, "entity_end": 207, "property_value_start": 213, "property_value_end": 214, "property_numeric_value": 6.46, "property_unit": "%", "property_value_descriptor": ""}, "open circuit voltage": {"entity_name": "V_{oc}", "entity_start": 172, "entity_end": 174, "property_value_start": 180, "property_value_end": 181, "property_numeric_value": 0.91, "property_unit": "V", "property_value_descriptor": ""}, "short circuit current": {}, "fill factor": {"entity_name": "FF", "entity_start": 187, "entity_end": 187, "property_value_start": 195, "property_value_end": 196, "property_numeric_value": 67.3,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</si>
  <si>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10.1021/acsami.5b04224</t>
  </si>
  <si>
    <t xml:space="preserve">pXL</t>
  </si>
  <si>
    <t xml:space="preserve">['pXL']</t>
  </si>
  <si>
    <t xml:space="preserve">CB</t>
  </si>
  <si>
    <t xml:space="preserve">['CB']</t>
  </si>
  <si>
    <t xml:space="preserve">{"power conversion efficiency": {"entity_name": "power conversion efficiency", "entity_start": 167, "entity_end": 169, "property_value_start": 171, "property_value_end": 172, "property_numeric_value": 5.4,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</si>
  <si>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10.1021/acsami.5b04624</t>
  </si>
  <si>
    <t xml:space="preserve">{"power conversion efficiency": {"entity_name": "power conversion efficiency", "entity_start": 124, "entity_end": 126, "property_value_start": 140, "property_value_end": 141, "property_numeric_value": 7.55,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</si>
  <si>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10.1021/acsami.5b07841</t>
  </si>
  <si>
    <t xml:space="preserve">{"power conversion efficiency": {"entity_name": "PCE", "entity_start": 123, "entity_end": 123, "property_value_start": 126, "property_value_end": 127, "property_numeric_value": 6.7,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</si>
  <si>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10.1021/acsami.5b08510</t>
  </si>
  <si>
    <t xml:space="preserve">Reg-PBDPPT</t>
  </si>
  <si>
    <t xml:space="preserve">['Reg-PBDPPT']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</si>
  <si>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147, "entity_end": 148, "property_value_start": 150, "property_value_end": 158, "property_numeric_value": 0.69, "property_unit": "cm^{2} V^{-1} s^{-1}", "property_value_descriptor": "-"}, "electron mobility": {}, "external quantum efficiency": {}}</t>
  </si>
  <si>
    <t xml:space="preserve">{"power conversion efficiency": {"entity_name": "PCE", "entity_start": 193, "entity_end": 193, "property_value_start": 196, "property_value_end": 199, "property_numeric_value": 5.345000000000001,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</si>
  <si>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10.1021/am900116p</t>
  </si>
  <si>
    <t xml:space="preserve">[6,6]phenyl-C61 butyric acid methyl ester</t>
  </si>
  <si>
    <t xml:space="preserve">{"power conversion efficiency": {"entity_name": "power conversion efficiency", "entity_start": 112, "entity_end": 114, "property_value_start": 116, "property_value_end": 117, "property_numeric_value": 1.9, "property_unit": "%", "property_value_descriptor": ""}, "open circuit voltage": {"entity_name": "open-circuit voltage", "entity_start": 102, "entity_end": 105, "property_value_start": 107, "property_value_end": 108, "property_numeric_value": 0.77, "property_unit": "V", "property_value_descriptor": ""}, "short circuit current": {"entity_name": "short-circuit current", "entity_start": 90, "entity_end": 93, "property_value_start": 95, "property_value_end": 99, "property_numeric_value": 5.56,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</si>
  <si>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10.1021/am900244y</t>
  </si>
  <si>
    <t xml:space="preserve">['vinylene', 'P']</t>
  </si>
  <si>
    <t xml:space="preserve">{"power conversion efficiency": {"entity_name": "power conversion efficiency", "entity_start": 244, "entity_end": 246, "property_value_start": 274, "property_value_end": 275, "property_numeric_value": 2.6,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</si>
  <si>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10.1021/acsami.8b05700</t>
  </si>
  <si>
    <t xml:space="preserve">PTzBI-Ph</t>
  </si>
  <si>
    <t xml:space="preserve">['PTzBI-Ph']</t>
  </si>
  <si>
    <t xml:space="preserve">{"power conversion efficiency": {"entity_name": "power conversion efficiency", "entity_start": 167, "entity_end": 169, "property_value_start": 188, "property_value_end": 189, "property_numeric_value": 8.84,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</si>
  <si>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10.1021/acsami.7b10275</t>
  </si>
  <si>
    <t xml:space="preserve">IDTC</t>
  </si>
  <si>
    <t xml:space="preserve">['IDTC']</t>
  </si>
  <si>
    <t xml:space="preserve">{"power conversion efficiency": {"entity_name": "PCE", "entity_start": 141, "entity_end": 141, "property_value_start": 143, "property_value_end": 144, "property_numeric_value": 10.02, "property_unit": "%", "property_value_descriptor": ""}, "open circuit voltage": {"entity_name": "V_{OC}", "entity_start": 147, "entity_end": 148, "property_value_start": 150, "property_value_end": 151, "property_numeric_value": 0.943, "property_unit": "V", "property_value_descriptor": ""}, "short circuit current": {"entity_name": "J_{SC}", "entity_start": 154, "entity_end": 155, "property_value_start": 157, "property_value_end": 160, "property_numeric_value": 16.25, "property_unit": "mA cm^{-2}", "property_value_descriptor": ""}, "fill factor": {"entity_name": "FF", "entity_start": 164, "entity_end": 164, "property_value_start": 166, "property_value_end": 167, "property_numeric_value": 65.41,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</si>
  <si>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10.1021/acsami.8b03580</t>
  </si>
  <si>
    <t xml:space="preserve">['P3', 'P3-based', 'P1', 'P1P2', 'P1P2-based', 'P2', 'P1P2', 'P2-based', 'P1P2-based', 'P1-']</t>
  </si>
  <si>
    <t xml:space="preserve">{"power conversion efficiency": {"entity_name": "PCE", "entity_start": 192, "entity_end": 192, "property_value_start": 194, "property_value_end": 195, "property_numeric_value": 1.14, "property_unit": "%", "property_value_descriptor": ""}, "open circuit voltage": {"entity_name": "open-circuit voltage", "entity_start": 157, "entity_end": 160, "property_value_start": 162, "property_value_end": 163, "property_numeric_value": 0.93, "property_unit": "V", "property_value_descriptor": ""}, "short circuit current": {"entity_name": "short-circuit current", "entity_start": 166, "entity_end": 169, "property_value_start": 171, "property_value_end": 175, "property_numeric_value": 8.26,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</si>
  <si>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10.1021/am9006897</t>
  </si>
  <si>
    <t xml:space="preserve">['p-phenylenevinylene', 'P', 'P.']</t>
  </si>
  <si>
    <t xml:space="preserve">{"power conversion efficiency": {"entity_name": "PCEs", "entity_start": 177, "entity_end": 177, "property_value_start": 182, "property_value_end": 183, "property_numeric_value": 1.43,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</si>
  <si>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10.1021/am400962e</t>
  </si>
  <si>
    <t xml:space="preserve">PCDCTBT-C8</t>
  </si>
  <si>
    <t xml:space="preserve">['PCDCTBT-C8']</t>
  </si>
  <si>
    <t xml:space="preserve">{"power conversion efficiency": {"entity_name": "PCE", "entity_start": 176, "entity_end": 176, "property_value_start": 178, "property_value_end": 179, "property_numeric_value": 3.61,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</si>
  <si>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270, "entity_end": 270, "property_value_start": 272, "property_value_end": 273, "property_numeric_value": 3.63,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</si>
  <si>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10.1021/am900823b</t>
  </si>
  <si>
    <t xml:space="preserve">F6T2</t>
  </si>
  <si>
    <t xml:space="preserve">{"power conversion efficiency": {"entity_name": "power conversion efficiency", "entity_start": 180, "entity_end": 182, "property_value_start": 184, "property_value_end": 185, "property_numeric_value": 2.46, "property_unit": "%", "property_value_descriptor": ""}, "open circuit voltage": {"entity_name": "V_{oc}", "entity_start": 254, "entity_end": 255, "property_value_start": 270, "property_value_end": 271, "property_numeric_value": 0.43, "property_unit": "V", "property_value_descriptor": ""}, "short circuit current": {}, "fill factor": {"entity_name": "fill factor", "entity_start": 129, "entity_end": 130, "property_value_start": 138, "property_value_end": 139, "property_numeric_value": 56.9,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</si>
  <si>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10.1021/am100076a</t>
  </si>
  <si>
    <t xml:space="preserve">{"power conversion efficiency": {"entity_name": "power conversion efficiency", "entity_start": 124, "entity_end": 126, "property_value_start": 137, "property_value_end": 138, "property_numeric_value": 4.18,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</si>
  <si>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10.1021/am2000328</t>
  </si>
  <si>
    <t xml:space="preserve">[6,6]-phenyl-C61 butyric acid methyl ester</t>
  </si>
  <si>
    <t xml:space="preserve">{"power conversion efficiency": {"entity_name": "power conversion efficiency", "entity_start": 54, "entity_end": 56, "property_value_start": 66, "property_value_end": 69, "property_numeric_value": 2.16, "property_unit": "%", "property_value_descriptor": ""}, "open circuit voltage": {}, "short circuit current": {"entity_name": "short circuit current density", "entity_start": 155, "entity_end": 158, "property_value_start": 162, "property_value_end": 166, "property_numeric_value": 6.8,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</si>
  <si>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10.1021/acsami.9b08722</t>
  </si>
  <si>
    <t xml:space="preserve">PBZ-2Si</t>
  </si>
  <si>
    <t xml:space="preserve">[*]c9ccc(c7c(F)c(F)c(c6ccc(c5cc4c(c1ccc(CCCCCC[Si](C)(O[Si](C)(C)C)O[Si](C)(C)C)s1)c2sc([*])cc2c(c3ccc(CCCCCC[Si](C)(O[Si](C)(C)C)O[Si](C)(C)C)s3)c4s5)s6)c8nn(CC(CCCCCC)CCCCCCCC)nc78)s9</t>
  </si>
  <si>
    <t xml:space="preserve">['-', 'BDTT)-base', 'PBZ-1Si', 'PBZ-2Si', 'PBZ-1Si-', 'PBZ-3Si']</t>
  </si>
  <si>
    <t xml:space="preserve">IT -</t>
  </si>
  <si>
    <t xml:space="preserve">['IT -']</t>
  </si>
  <si>
    <t xml:space="preserve">{"power conversion efficiency": {"entity_name": "PCEs", "entity_start": 289, "entity_end": 289, "property_value_start": 293, "property_value_end": 294, "property_numeric_value": 9.92,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</si>
  <si>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10.1021/acsami.8b05231</t>
  </si>
  <si>
    <t xml:space="preserve">PffBX-TT</t>
  </si>
  <si>
    <t xml:space="preserve">[*]c8cc7sc(c5sc(c3c(F)c(F)c(c2cc(c1ccc(CC(CCCCCCCCCC)CCCCCCCCCCCC)s1)c([*])s2)c4nonc34)cc5c6ccc(CC(CCCCCCCCCC)CCCCCCCCCCCC)s6)cc7s8</t>
  </si>
  <si>
    <t xml:space="preserve">['PffBX-TT']</t>
  </si>
  <si>
    <t xml:space="preserve">{"power conversion efficiency": {"entity_name": "PCE", "entity_start": 248, "entity_end": 248, "property_value_start": 253, "property_value_end": 254, "property_numeric_value": 1.33,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213, "entity_end": 214, "property_value_start": 216, "property_value_end": 222, "property_numeric_value": 1.09, "property_unit": "cm^{2} V^{-1} s^{-1}", "property_value_descriptor": ""}, "electron mobility": {}, "external quantum efficiency": {}}</t>
  </si>
  <si>
    <t xml:space="preserve">10.1021/acsami.5b11140</t>
  </si>
  <si>
    <t xml:space="preserve">{"power conversion efficiency": {"entity_name": "PCE", "entity_start": 151, "entity_end": 151, "property_value_start": 153, "property_value_end": 154, "property_numeric_value": 9.3,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</si>
  <si>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10.1021/acsami.8b22337</t>
  </si>
  <si>
    <t xml:space="preserve">['poly(2,7-carbazole-alt-dithienylbenzothiadiazole)', 'PCDTBT', 'PCDTBT']</t>
  </si>
  <si>
    <t xml:space="preserve">{"power conversion efficiency": {"entity_name": "PCE", "entity_start": 291, "entity_end": 291, "property_value_start": 293, "property_value_end": 294, "property_numeric_value": 4.23,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</si>
  <si>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10.1021/acsami.5b00026</t>
  </si>
  <si>
    <t xml:space="preserve">['P1', 'P2', 'P3']</t>
  </si>
  <si>
    <t xml:space="preserve">{"power conversion efficiency": {"entity_name": "PCE", "entity_start": 86, "entity_end": 86, "property_value_start": 89, "property_value_end": 90, "property_numeric_value": 6.88, "property_unit": "%", "property_value_descriptor": ""}, "open circuit voltage": {}, "short circuit current": {}, "fill factor": {"entity_name": "FF", "entity_start": 125, "entity_end": 125, "property_value_start": 128, "property_value_end": 128, "property_numeric_value": 62.0,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</si>
  <si>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{"entity_name": "V_{oc}", "entity_start": 98, "entity_end": 100, "property_value_start": 102, "property_value_end": 103, "property_numeric_value": 0.76,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</si>
  <si>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{}, "short circuit current": {"entity_name": "J_{sc}", "entity_start": 110, "entity_end": 112, "property_value_start": 114, "property_value_end": 118, "property_numeric_value": 14.67,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</si>
  <si>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10.1021/am401175v</t>
  </si>
  <si>
    <t xml:space="preserve">P-C10</t>
  </si>
  <si>
    <t xml:space="preserve">['P-C10']</t>
  </si>
  <si>
    <t xml:space="preserve">['phenyl-C_{71}-butyric acid methyl ester', 'PC_{71}BM']</t>
  </si>
  <si>
    <t xml:space="preserve">{"power conversion efficiency": {"entity_name": "PCE", "entity_start": 277, "entity_end": 277, "property_value_start": 280, "property_value_end": 281, "property_numeric_value": 5.9, "property_unit": "%", "property_value_descriptor": ""}, "open circuit voltage": {"entity_name": "V_{oc}", "entity_start": 237, "entity_end": 238, "property_value_start": 241, "property_value_end": 242, "property_numeric_value": 0.72, "property_unit": "V", "property_value_descriptor": ""}, "short circuit current": {"entity_name": "J_{sc}", "entity_start": 251, "entity_end": 252, "property_value_start": 255, "property_value_end": 259, "property_numeric_value": 13.4, "property_unit": "mA/cm^{2}", "property_value_descriptor": ""}, "fill factor": {"entity_name": "FF", "entity_start": 265, "entity_end": 265, "property_value_start": 268, "property_value_end": 269, "property_numeric_value": 62.0, "property_unit": "%", "property_value_descriptor": ""}, "highest occupied molecular orbital": {"entity_name": "highest occupied molecular orbital energy levels", "entity_start": 96, "entity_end": 101, "property_value_start": 103, "property_value_end": 104, "property_numeric_value": -5.1, "property_unit": "eV", "property_value_descriptor": "~"}, "lowest unoccupied molecular orbital": {}, "bandgap": {"entity_name": "E_{g}^{opt}", "entity_start": 89, "entity_end": 91, "property_value_start": 93, "property_value_end": 94, "property_numeric_value": 1.3, "property_unit": "eV", "property_value_descriptor": "~"}, "hole mobility": {}, "electron mobility": {}, "external quantum efficiency": {}}</t>
  </si>
  <si>
    <t xml:space="preserve">10.1021/am506868g</t>
  </si>
  <si>
    <t xml:space="preserve">['DPP']</t>
  </si>
  <si>
    <t xml:space="preserve">{"power conversion efficiency": {"entity_name": "PCE", "entity_start": 134, "entity_end": 134, "property_value_start": 136, "property_value_end": 137, "property_numeric_value": 7.59, "property_unit": "%", "property_value_descriptor": ""}, "open circuit voltage": {"entity_name": "V_{oc}", "entity_start": 140, "entity_end": 141, "property_value_start": 143, "property_value_end": 144, "property_numeric_value": 0.61, "property_unit": "V", "property_value_descriptor": ""}, "short circuit current": {"entity_name": "J_{sc}", "entity_start": 146, "entity_end": 147, "property_value_start": 149, "property_value_end": 153, "property_numeric_value": 17.95, "property_unit": "mA/cm^{2}", "property_value_descriptor": ""}, "fill factor": {"entity_name": "FF", "entity_start": 156, "entity_end": 156, "property_value_start": 158, "property_value_end": 159, "property_numeric_value": 69.6,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</si>
  <si>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10.1021/am509049t</t>
  </si>
  <si>
    <t xml:space="preserve">{"power conversion efficiency": {"entity_name": "power conversion efficiencies", "entity_start": 224, "entity_end": 226, "property_value_start": 231, "property_value_end": 232, "property_numeric_value": 5.92,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</si>
  <si>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efficiencies", "entity_start": 224, "entity_end": 226, "property_value_start": 255, "property_value_end": 256, "property_numeric_value": 6.01,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</si>
  <si>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10.1021/acsami.8b00603</t>
  </si>
  <si>
    <t xml:space="preserve">mixed</t>
  </si>
  <si>
    <t xml:space="preserve">['mixed']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</si>
  <si>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{}, "electron mobility": {}, "external quantum efficiency": {"entity_name": "external quantum efficiency", "entity_start": 214, "entity_end": 216, "property_value_start": 218, "property_value_end": 219, "property_numeric_value": 1.45, "property_unit": "%", "property_value_descriptor": ""}}</t>
  </si>
  <si>
    <t xml:space="preserve">10.1021/am405571a</t>
  </si>
  <si>
    <t xml:space="preserve">fullerene</t>
  </si>
  <si>
    <t xml:space="preserve">['fullerene']</t>
  </si>
  <si>
    <t xml:space="preserve">{"power conversion efficiency": {"entity_name": "photovoltaic power conversion efficiency", "entity_start": 206, "entity_end": 209, "property_value_start": 212, "property_value_end": 213, "property_numeric_value": 3.69,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</si>
  <si>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10.1021/acsami.5b03309</t>
  </si>
  <si>
    <t xml:space="preserve">{"power conversion efficiency": {"entity_name": "power conversion efficiency", "entity_start": 165, "entity_end": 167, "property_value_start": 169, "property_value_end": 170, "property_numeric_value": 3.3, "property_unit": "%", "property_value_descriptor": ""}, "open circuit voltage": {"entity_name": "open-circuit voltage", "entity_start": 149, "entity_end": 152, "property_value_start": 154, "property_value_end": 155, "property_numeric_value": 0.84, "property_unit": "V", "property_value_descriptor": ""}, "short circuit current": {}, "fill factor": {"entity_name": "fill factor", "entity_start": 158, "entity_end": 159, "property_value_start": 161, "property_value_end": 161, "property_numeric_value": 60.0,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</si>
  <si>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10.1021/acsami.6b00327</t>
  </si>
  <si>
    <t xml:space="preserve">['PTB7', 'PTB7-Th']</t>
  </si>
  <si>
    <t xml:space="preserve">{"power conversion efficiency": {"entity_name": "PCE", "entity_start": 211, "entity_end": 211, "property_value_start": 240, "property_value_end": 241, "property_numeric_value": 8.14,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</si>
  <si>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10.1021/acsami.9b05537</t>
  </si>
  <si>
    <t xml:space="preserve">PNT-HD</t>
  </si>
  <si>
    <t xml:space="preserve">['PNT-HD', 'PNT-OD']</t>
  </si>
  <si>
    <t xml:space="preserve">PNT-HD; PNT-R</t>
  </si>
  <si>
    <t xml:space="preserve">{"power conversion efficiency": {}, "open circuit voltage": {}, "short circuit current": {"entity_name": "J_{sc}", "entity_start": 318, "entity_end": 320, "property_value_start": 350, "property_value_end": 355, "property_numeric_value": 8.93, "property_unit": "mA cm^{-2}", "property_value_descriptor": "and"}, "fill factor": {}, "highest occupied molecular orbital": {}, "lowest unoccupied molecular orbital": {"entity_name": "LUMO", "entity_start": 98, "entity_end": 98, "property_value_start": 103, "property_value_end": 104, "property_numeric_value": -4.01, "property_unit": "eV", "property_value_descriptor": ""}, "bandgap": {}, "hole mobility": {}, "electron mobility": {"entity_name": "electron mobility", "entity_start": 239, "entity_end": 240, "property_value_start": 242, "property_value_end": 248, "property_numeric_value": 1.05, "property_unit": "cm^{2} V^{-1} s^{-1}", "property_value_descriptor": ""}, "external quantum efficiency": {}}</t>
  </si>
  <si>
    <t xml:space="preserve">10.1021/acsami.6b00561</t>
  </si>
  <si>
    <t xml:space="preserve">{"power conversion efficiency": {"entity_name": "power conversion efficiency", "entity_start": 171, "entity_end": 173, "property_value_start": 175, "property_value_end": 176,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</si>
  <si>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10.1021/acsami.7b16297</t>
  </si>
  <si>
    <t xml:space="preserve">{"power conversion efficiency": {"entity_name": "power conversion efficiency", "entity_start": 79, "entity_end": 81, "property_value_start": 83, "property_value_end": 84, "property_numeric_value": 7.8,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</si>
  <si>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10.1021/am3017653</t>
  </si>
  <si>
    <t xml:space="preserve">{"power conversion efficiency": {"entity_name": "power conversion efficiency", "entity_start": 224, "entity_end": 226, "property_value_start": 252, "property_value_end": 253, "property_numeric_value": 0.83,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</si>
  <si>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10.1021/acsami.5b09561</t>
  </si>
  <si>
    <t xml:space="preserve">{"power conversion efficiency": {"entity_name": "power conversion efficiency", "entity_start": 80, "entity_end": 82, "property_value_start": 88, "property_value_end": 89, "property_numeric_value": 9.82, "property_unit": "%", "property_value_descriptor": ""}, "open circuit voltage": {}, "short circuit current": {"entity_name": "short-circuit current density", "entity_start": 51, "entity_end": 55, "property_value_start": 72, "property_value_end": 76, "property_numeric_value": 22.1,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</si>
  <si>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10.1021/acsami.0c03484</t>
  </si>
  <si>
    <t xml:space="preserve">{"power conversion efficiency": {"entity_name": "PCE", "entity_start": 151, "entity_end": 151, "property_value_start": 153, "property_value_end": 154, "property_numeric_value": 15.0,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</si>
  <si>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10.1021/acsami.5b02830</t>
  </si>
  <si>
    <t xml:space="preserve">{"power conversion efficiency": {"entity_name": "PCE", "entity_start": 150, "entity_end": 150, "property_value_start": 161, "property_value_end": 162, "property_numeric_value": 4.3,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</si>
  <si>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10.1021/acsami.7b16406</t>
  </si>
  <si>
    <t xml:space="preserve">["poly[(2,6-(4,8-bis(5-(2-ethylhexyl)thiophen-2-yl)-benzo[1,2-b:4,5-b']dithiophene))-alt-(5,5-(1',3'-di-2-thienyl-5',7'-bis(2-ethylhexyl)benzo[1',2'-c:4',5'-c']dithiophene-4,8-dione))]"]</t>
  </si>
  <si>
    <t xml:space="preserve">BP-PDI_{4}</t>
  </si>
  <si>
    <t xml:space="preserve">['BP-PDI_{4}']</t>
  </si>
  <si>
    <t xml:space="preserve">{"power conversion efficiency": {"entity_name": "power conversion efficiency", "entity_start": 109, "entity_end": 111, "property_value_start": 131, "property_value_end": 132, "property_numeric_value": 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</si>
  <si>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10.1021/acsami.9b08017</t>
  </si>
  <si>
    <t xml:space="preserve">BTCDT-IC</t>
  </si>
  <si>
    <t xml:space="preserve">['BTCDT-IC', 'the BTCDT-ICF']</t>
  </si>
  <si>
    <t xml:space="preserve">{"power conversion efficiency": {}, "open circuit voltage": {}, "short circuit current": {"entity_name": "J_{SC}", "entity_start": 312, "entity_end": 313, "property_value_start": 315, "property_value_end": 318, "property_numeric_value": 16.93, "property_unit": "mA cm^{-2}", "property_value_descriptor": ""}, "fill factor": {}, "highest occupied molecular orbital": {}, "lowest unoccupied molecular orbital": {}, "bandgap": {}, "hole mobility": {}, "electron mobility": {}, "external quantum efficiency": {"entity_name": "EQE", "entity_start": 217, "entity_end": 217, "property_value_start": 219, "property_value_end": 220, "property_numeric_value": 70.0, "property_unit": "%", "property_value_descriptor": ""}}</t>
  </si>
  <si>
    <t xml:space="preserve">BTCDT-ICF</t>
  </si>
  <si>
    <t xml:space="preserve">['BTCDT-ICF', 'the BTCDT-ICF']</t>
  </si>
  <si>
    <t xml:space="preserve">{"power conversion efficiency": {"entity_name": "PCE", "entity_start": 305, "entity_end": 305, "property_value_start": 307, "property_value_end": 308, "property_numeric_value": 8.11, "property_unit": "%", "property_value_descriptor": ""}, "open circuit voltage": {}, "short circuit current": {}, "fill factor": {"entity_name": "FF", "entity_start": 322, "entity_end": 322, "property_value_start": 324, "property_value_end": 325, "property_numeric_value": 65.6,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</si>
  <si>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10.1021/acsami.8b19596</t>
  </si>
  <si>
    <t xml:space="preserve">IDTT-OB</t>
  </si>
  <si>
    <t xml:space="preserve">['IDTT-OB', 'IDT-OB']</t>
  </si>
  <si>
    <t xml:space="preserve">{"power conversion efficiency": {"entity_name": "PCE", "entity_start": 206, "entity_end": 206, "property_value_start": 208, "property_value_end": 209, "property_numeric_value": 10.2, "property_unit": "%", "property_value_descriptor": ""}, "open circuit voltage": {}, "short circuit current": {}, "fill factor": {"entity_name": "fill factor", "entity_start": 164, "entity_end": 165, "property_value_start": 167, "property_value_end": 167, "property_numeric_value": 74.0,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</si>
  <si>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10.1021/acsami.7b00510</t>
  </si>
  <si>
    <t xml:space="preserve">{"power conversion efficiency": {"entity_name": "PCEs", "entity_start": 81, "entity_end": 81, "property_value_start": 85, "property_value_end": 86, "property_numeric_value": 8.58,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</si>
  <si>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"PCEs", "entity_start": 81, "entity_end": 81, "property_value_start": 88, "property_value_end": 89, "property_numeric_value": 9.64,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</si>
  <si>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"PCEs", "entity_start": 81, "entity_end": 81, "property_value_start": 101, "property_value_end": 102, "property_numeric_value": 10.3,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</si>
  <si>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10.1021/am404423k</t>
  </si>
  <si>
    <t xml:space="preserve">{"power conversion efficiency": {"entity_name": "PCE", "entity_start": 52, "entity_end": 52, "property_value_start": 57, "property_value_end": 58, "property_numeric_value": 8.02,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</si>
  <si>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10.1021/am5085034</t>
  </si>
  <si>
    <t xml:space="preserve">["poly[[4,8-bis[(2-ethylhexyl)oxy]benzo[1,2-b:4,5-b']dithiophene-2,6-diyl][3-fluoro-2-[(2-ethylhexy)carbonyl]thieno[3,4-b]thiophenediyl]]", 'PTB7']</t>
  </si>
  <si>
    <t xml:space="preserve">{"power conversion efficiency": {"entity_name": "power conversion efficiency", "entity_start": 101, "entity_end": 103, "property_value_start": 112, "property_value_end": 113, "property_numeric_value": 7.8,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</si>
  <si>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10.1021/acsami.8b00216</t>
  </si>
  <si>
    <t xml:space="preserve">Qx1</t>
  </si>
  <si>
    <t xml:space="preserve">['Qx1']</t>
  </si>
  <si>
    <t xml:space="preserve">{"power conversion efficiency": {"entity_name": "PCE", "entity_start": 187, "entity_end": 187, "property_value_start": 190, "property_value_end": 191, "property_numeric_value": 4.03, "property_unit": "%", "property_value_descriptor": ""}, "open circuit voltage": {}, "short circuit current": {}, "fill factor": {}, "highest occupied molecular orbital": {}, "lowest unoccupied molecular orbital": {}, "bandgap": {"entity_name": "optical band gaps", "entity_start": 113, "entity_end": 115, "property_value_start": 117, "property_value_end": 120, "property_numeric_value": 1.71, "property_unit": "eV", "property_value_descriptor": "and"}, "hole mobility": {}, "electron mobility": {}, "external quantum efficiency": {}}</t>
  </si>
  <si>
    <t xml:space="preserve">Qx1b</t>
  </si>
  <si>
    <t xml:space="preserve">['Qx1b']</t>
  </si>
  <si>
    <t xml:space="preserve">{"power conversion efficiency": {"entity_name": "PCE", "entity_start": 206, "entity_end": 206, "property_value_start": 208, "property_value_end": 209, "property_numeric_value": 4.81, "property_unit": "%", "property_value_descriptor": ""}, "open circuit voltage": {"entity_name": "V_{oc}", "entity_start": 199, "entity_end": 200, "property_value_start": 202, "property_value_end": 203, "property_numeric_value": 0.95,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</si>
  <si>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10.1021/acsami.8b20316</t>
  </si>
  <si>
    <t xml:space="preserve">poly[4,8-bis(5-(2-ethylhexyl)thiophen-2-yl)benzo[1,2-b;4,5-b']dithiophene-2,6-diyl-alt-(4-(2-ethylhexyl)-3-fluorothieno[3,4-b]thiophene-)-2-carboxylate-2-6-diyl]</t>
  </si>
  <si>
    <t xml:space="preserve">["poly[4,8-bis(5-(2-ethylhexyl)thiophen-2-yl)benzo[1,2-b;4,5-b']dithiophene-2,6-diyl-alt-(4-(2-ethylhexyl)-3-fluorothieno[3,4-b]thiophene-)-2-carboxylate-2-6-diyl]", 'PTB7-Th']</t>
  </si>
  <si>
    <t xml:space="preserve">{"power conversion efficiency": {"entity_name": "PCE", "entity_start": 75, "entity_end": 75, "property_value_start": 78, "property_value_end": 79, "property_numeric_value": 10.5,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</si>
  <si>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10.1021/acsami.0c03842</t>
  </si>
  <si>
    <t xml:space="preserve">cc23</t>
  </si>
  <si>
    <t xml:space="preserve">['cc23', 'cc23-based']</t>
  </si>
  <si>
    <t xml:space="preserve">cc34</t>
  </si>
  <si>
    <t xml:space="preserve">CCCCCCc%15ccc(C7(c1ccc(CCCCCC)cc1)c2cc%13c(cc2c6sc(c5scc(C=c4c(=O)c3cscc3c4=C(C#N)C#N)c5OCC(CC)CCCC)cc67)C(c8ccc(CCCCCC)cc8)(c9ccc(CCCCCC)cc9)c%14cc(c%12scc(C=c%11c(=O)c%10cscc%10c%11=C(C#N)C#N)c%12OCC(CC)CCCC)sc%13%14)cc%15</t>
  </si>
  <si>
    <t xml:space="preserve">['cc34', 'i-cc34', 'cc34-related']</t>
  </si>
  <si>
    <t xml:space="preserve">{"power conversion efficiency": {"entity_name": "power conversion efficiency", "entity_start": 218, "entity_end": 220, "property_value_start": 222, "property_value_end": 223, "property_numeric_value": 7.34, "property_unit": "%", "property_value_descriptor": ""}, "open circuit voltage": {"entity_name": "V_{OC}", "entity_start": 209, "entity_end": 210, "property_value_start": 213, "property_value_end": 214, "property_numeric_value": 1.1,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</si>
  <si>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{"entity_name": "V_{OC}", "entity_start": 227, "entity_end": 228, "property_value_start": 238, "property_value_end": 239, "property_numeric_value": 0.96,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</si>
  <si>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10.1021/acsami.0c04397</t>
  </si>
  <si>
    <t xml:space="preserve">PBDB-P-m</t>
  </si>
  <si>
    <t xml:space="preserve">['PBDB-P-m']</t>
  </si>
  <si>
    <t xml:space="preserve">BO-4Cl</t>
  </si>
  <si>
    <t xml:space="preserve">{"power conversion efficiency": {}, "open circuit voltage": {"entity_name": "V_{OC}", "entity_start": 253, "entity_end": 254, "property_value_start": 261, "property_value_end": 262, "property_numeric_value": 0.8,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</si>
  <si>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10.1021/am301320m</t>
  </si>
  <si>
    <t xml:space="preserve">{"power conversion efficiency": {"entity_name": "power conversion efficiency", "entity_start": 189, "entity_end": 191, "property_value_start": 193, "property_value_end": 194, "property_numeric_value": 3.47,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</si>
  <si>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10.1021/acsami.5b08147</t>
  </si>
  <si>
    <t xml:space="preserve">{"power conversion efficiency": {"entity_name": "PCE", "entity_start": 185, "entity_end": 185, "property_value_start": 187, "property_value_end": 190, "property_numeric_value": 8.22,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</si>
  <si>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10.1021/acsami.8b20466</t>
  </si>
  <si>
    <t xml:space="preserve">{"power conversion efficiency": {"entity_name": "power conversion efficiency", "entity_start": 116, "entity_end": 118, "property_value_start": 120, "property_value_end": 121, "property_numeric_value": 9.7, "property_unit": "%", "property_value_descriptor": ""}, "open circuit voltage": {}, "short circuit current": {}, "fill factor": {"entity_name": "fill factor", "entity_start": 125, "entity_end": 126, "property_value_start": 129, "property_value_end": 130, "property_numeric_value": 70.0,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</si>
  <si>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10.1021/acsami.7b12908</t>
  </si>
  <si>
    <t xml:space="preserve">{"power conversion efficiency": {"entity_name": "power-conversion efficiency", "entity_start": 287, "entity_end": 290, "property_value_start": 313, "property_value_end": 314, "property_numeric_value": 2.99,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</si>
  <si>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10.1021/am402745t</t>
  </si>
  <si>
    <t xml:space="preserve">{"power conversion efficiency": {"entity_name": "PCE", "entity_start": 188, "entity_end": 188, "property_value_start": 190, "property_value_end": 191, "property_numeric_value": 7.14,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</si>
  <si>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10.1021/acsami.5b02012</t>
  </si>
  <si>
    <t xml:space="preserve">PPDI; perylene</t>
  </si>
  <si>
    <t xml:space="preserve">{"power conversion efficiency": {"entity_name": "PCE", "entity_start": 71, "entity_end": 71, "property_value_start": 73, "property_value_end": 74, "property_numeric_value": 5.4,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</si>
  <si>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10.1021/am401863r</t>
  </si>
  <si>
    <t xml:space="preserve">{"power conversion efficiency": {"entity_name": "power conversion efficiency", "entity_start": 243, "entity_end": 245, "property_value_start": 252, "property_value_end": 253, "property_numeric_value": 5.14,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</si>
  <si>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10.1021/am900634a</t>
  </si>
  <si>
    <t xml:space="preserve">{"power conversion efficiency": {"entity_name": "power conversion efficiency", "entity_start": 199, "entity_end": 201, "property_value_start": 203, "property_value_end": 204, "property_numeric_value": 3.14, "property_unit": "%", "property_value_descriptor": ""}, "open circuit voltage": {"entity_name": "open-circuit voltage", "entity_start": 214, "entity_end": 217, "property_value_start": 219, "property_value_end": 220, "property_numeric_value": 0.54, "property_unit": "V", "property_value_descriptor": ""}, "short circuit current": {"entity_name": "short-circuit current", "entity_start": 224, "entity_end": 227, "property_value_start": 229, "property_value_end": 233, "property_numeric_value": 9.31, "property_unit": "mA/cm^{2}", "property_value_descriptor": ""}, "fill factor": {"entity_name": "fill factor", "entity_start": 207, "entity_end": 208, "property_value_start": 210, "property_value_end": 211, "property_numeric_value": 62.7, "property_unit": "%", "property_value_descriptor": ""}, "highest occupied molecular orbital": {"entity_name": "HOMO energy", "entity_start": 121, "entity_end": 122, "property_value_start": 124, "property_value_end": 125, "property_numeric_value": 4.9, "property_unit": "eV", "property_value_descriptor": ""}, "lowest unoccupied molecular orbital": {}, "bandgap": {}, "hole mobility": {}, "electron mobility": {}, "external quantum efficiency": {}}</t>
  </si>
  <si>
    <t xml:space="preserve">10.1021/acsami.8b06413</t>
  </si>
  <si>
    <t xml:space="preserve">poly[bis(5-(2-ethylhexyl)thien-2-yl)benzodithiophene-alt-(4-(2-ethylhexyl)-3-fluorothienothiophene)-2-carboxylate-2,6-diyl]</t>
  </si>
  <si>
    <t xml:space="preserve">['poly[bis(5-(2-ethylhexyl)thien-2-yl)benzodithiophene-alt-(4-(2-ethylhexyl)-3-fluorothienothiophene)-2-carboxylate-2,6-diyl]', 'PTB7-TH', 'PTB7-TH']</t>
  </si>
  <si>
    <t xml:space="preserve">{"power conversion efficiency": {"entity_name": "PCE", "entity_start": 126, "entity_end": 126, "property_value_start": 163, "property_value_end": 164, "property_numeric_value": 8.8,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</si>
  <si>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10.1021/acsami.8b19065</t>
  </si>
  <si>
    <t xml:space="preserve">BF-PDI</t>
  </si>
  <si>
    <t xml:space="preserve">['BF-PDI']</t>
  </si>
  <si>
    <t xml:space="preserve">BF-PDI; PDI)-base</t>
  </si>
  <si>
    <t xml:space="preserve">{"power conversion efficiency": {"entity_name": "power-conversion efficiency", "entity_start": 186, "entity_end": 189, "property_value_start": 191, "property_value_end": 192, "property_numeric_value": 8.05,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</si>
  <si>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10.1021/acsami.0c03632</t>
  </si>
  <si>
    <t xml:space="preserve">{"power conversion efficiency": {"entity_name": "power conversion efficiency", "entity_start": 231, "entity_end": 233, "property_value_start": 235, "property_value_end": 236, "property_numeric_value": 9.45,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</si>
  <si>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10.1021/acsami.9b14133</t>
  </si>
  <si>
    <t xml:space="preserve">PBN-Cl</t>
  </si>
  <si>
    <t xml:space="preserve">['PBN-Cl', 'PBN-Cl-B80', 'PBN-Cl-B80-based']</t>
  </si>
  <si>
    <t xml:space="preserve">{"power conversion efficiency": {"entity_name": "PCE", "entity_start": 107, "entity_end": 107, "property_value_start": 109, "property_value_end": 110, "property_numeric_value": 14.05, "property_unit": "%", "property_value_descriptor": ""}, "open circuit voltage": {}, "short circuit current": {}, "fill factor": {"entity_name": "FF", "entity_start": 73, "entity_end": 73, "property_value_start": 76, "property_value_end": 76, "property_numeric_value": 61.5,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</si>
  <si>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10.1021/acsami.9b15476</t>
  </si>
  <si>
    <t xml:space="preserve">FPDI-BT1</t>
  </si>
  <si>
    <t xml:space="preserve">['FPDI-BT1']</t>
  </si>
  <si>
    <t xml:space="preserve">{"power conversion efficiency": {"entity_name": "power conversion efficiency", "entity_start": 149, "entity_end": 151, "property_value_start": 174, "property_value_end": 175, "property_numeric_value": 3.57,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</si>
  <si>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10.1021/acsami.9b15672</t>
  </si>
  <si>
    <t xml:space="preserve">{"power conversion efficiency": {"entity_name": "PCE", "entity_start": 96, "entity_end": 96, "property_value_start": 99, "property_value_end": 100, "property_numeric_value": 6.58, "property_unit": "%", "property_value_descriptor": ""}, "open circuit voltage": {}, "short circuit current": {}, "fill factor": {"entity_name": "FF", "entity_start": 139, "entity_end": 139, "property_value_start": 141, "property_value_end": 142, "property_numeric_value": 78.0,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</si>
  <si>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118, "entity_end": 118, "property_value_start": 120, "property_value_end": 121, "property_numeric_value": 9.31, "property_unit": "%", "property_value_descriptor": ""}, "open circuit voltage": {}, "short circuit current": {}, "fill factor": {"entity_name": "FF", "entity_start": 125, "entity_end": 125, "property_value_start": 127, "property_value_end": 128, "property_numeric_value": 78.0,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</si>
  <si>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10.1021/acsami.9b14981</t>
  </si>
  <si>
    <t xml:space="preserve">DTBDT</t>
  </si>
  <si>
    <t xml:space="preserve">PDTBDT-BZ; DTBDT</t>
  </si>
  <si>
    <t xml:space="preserve">{"power conversion efficiency": {"entity_name": "PCE", "entity_start": 196, "entity_end": 196, "property_value_start": 199, "property_value_end": 202, "property_numeric_value": 11.25,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</si>
  <si>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10.1021/acsami.9b12409</t>
  </si>
  <si>
    <t xml:space="preserve">{"power conversion efficiency": {"entity_name": "power conversion efficiency", "entity_start": 231, "entity_end": 233, "property_value_start": 235, "property_value_end": 236, "property_numeric_value": 9.74,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</si>
  <si>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10.1021/acsami.9b13812</t>
  </si>
  <si>
    <t xml:space="preserve">P(NDIDEG-T)</t>
  </si>
  <si>
    <t xml:space="preserve">['P(NDIDEG-T)']</t>
  </si>
  <si>
    <t xml:space="preserve">P(NDITEG-T2)].; P(NDIDEG-T)</t>
  </si>
  <si>
    <t xml:space="preserve">{"power conversion efficiency": {"entity_name": "PCE", "entity_start": 141, "entity_end": 141, "property_value_start": 144, "property_value_end": 145, "property_numeric_value": 2.15,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</si>
  <si>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10.1021/acsami.9b15247</t>
  </si>
  <si>
    <t xml:space="preserve">["poly[(2,6-(4,8-bis(5-(2-ethylhexyl)thiophen-2-yl)-benzo[1,2-b:4,5-b']dithiophene))-alt-(5,5-(1',3'-di-2-thienyl-5',7'-bis(2-ethylhexyl)benzo[1',2'-c:4',5'-c']dithiophene-4,8-dione)])", 'PBDB-T']</t>
  </si>
  <si>
    <t xml:space="preserve">ITIC)-base; indacenodithienothiophene; 3,9-bis(2-methylene-(3-(1,1-dicyanomethylene)-indanone))-5,5,11,11-tetrakis(4-hexylphenyl)-dithieno [2,3-d:2',3'-d']-s-indaceno[1,2-b:5,6-b']dithiophene; DTBT; CNDTBT-IDTT-FINCN</t>
  </si>
  <si>
    <t xml:space="preserve">{"power conversion efficiency": {"entity_name": "PCE", "entity_start": 219, "entity_end": 219, "property_value_start": 222, "property_value_end": 223, "property_numeric_value": 9.13,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</si>
  <si>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10.1021/acsami.9b17185</t>
  </si>
  <si>
    <t xml:space="preserve">IPY-T-IC</t>
  </si>
  <si>
    <t xml:space="preserve">['IPY-T-IC', 'IPY-T-ICF']</t>
  </si>
  <si>
    <t xml:space="preserve">{"power conversion efficiency": {"entity_name": "PCE", "entity_start": 355, "entity_end": 355, "property_value_start": 359, "property_value_end": 360, "property_numeric_value": 7.68, "property_unit": "%", "property_value_descriptor": ""}, "open circuit voltage": {}, "short circuit current": {}, "fill factor": {}, "highest occupied molecular orbital": {}, "lowest unoccupied molecular orbital": {}, "bandgap": {"entity_name": "optical band gaps", "entity_start": 170, "entity_end": 172, "property_value_start": 177, "property_value_end": 180, "property_numeric_value": 1.825, "property_unit": "eV", "property_value_descriptor": "-"}, "hole mobility": {}, "electron mobility": {}, "external quantum efficiency": {}}</t>
  </si>
  <si>
    <t xml:space="preserve">10.1021/acsami.9b16662</t>
  </si>
  <si>
    <t xml:space="preserve">BTA43</t>
  </si>
  <si>
    <t xml:space="preserve">['BTA43']</t>
  </si>
  <si>
    <t xml:space="preserve">{"power conversion efficiency": {"entity_name": "power conversion efficiency", "entity_start": 166, "entity_end": 168, "property_value_start": 186, "property_value_end": 187, "property_numeric_value": 5.64,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</si>
  <si>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BTA53</t>
  </si>
  <si>
    <t xml:space="preserve">['BTA53']</t>
  </si>
  <si>
    <t xml:space="preserve">{"power conversion efficiency": {"entity_name": "power conversion efficiency", "entity_start": 166, "entity_end": 168, "property_value_start": 172, "property_value_end": 173, "property_numeric_value": 6.31,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</si>
  <si>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10.1021/acsami.9b18963</t>
  </si>
  <si>
    <t xml:space="preserve">PTBSi100</t>
  </si>
  <si>
    <t xml:space="preserve">['PTBSi100']</t>
  </si>
  <si>
    <t xml:space="preserve">CCCCCCc%15ccc(C7(c1ccc(CCCCCC)cc1)c2cc%13c(cc2c6sc(c5sc(C=c4c(=O)c3cc(F)c(F)cc3c4=C(C#N)C#N)cc5OCC(CC)CCCC)cc67)C(c8ccc(CCCCCC)cc8)(c9ccc(CCCCCC)cc9)c%14cc(c%12sc(C=c%11c(=O)c%10cc(F)c(F)cc%10c%11=C(C#N)C#N)cc%12OCC(CC)CCCC)sc%13%14)cc%15</t>
  </si>
  <si>
    <t xml:space="preserve">['IEICO-4F']</t>
  </si>
  <si>
    <t xml:space="preserve">{"power conversion efficiency": {"entity_name": "PCEs", "entity_start": 266, "entity_end": 266, "property_value_start": 273, "property_value_end": 274, "property_numeric_value": 11.8,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</si>
  <si>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10.1021/acsami.0c06048</t>
  </si>
  <si>
    <t xml:space="preserve">{"power conversion efficiency": {"entity_name": "PCE", "entity_start": 272, "entity_end": 272, "property_value_start": 279, "property_value_end": 280, "property_numeric_value": 9.2,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</si>
  <si>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10.1021/acsami.9b18095</t>
  </si>
  <si>
    <t xml:space="preserve">{"power conversion efficiency": {"entity_name": "PCE", "entity_start": 180, "entity_end": 180, "property_value_start": 197, "property_value_end": 197, "property_numeric_value": 11.88,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</si>
  <si>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180, "entity_end": 180, "property_value_start": 199, "property_value_end": 200, "property_numeric_value": 9.6,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</si>
  <si>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223, "entity_end": 223, "property_value_start": 232, "property_value_end": 233, "property_numeric_value": 2.98,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</si>
  <si>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10.1021/acsami.9b22927</t>
  </si>
  <si>
    <t xml:space="preserve">['reg-PThE.', 'reg-PThE']</t>
  </si>
  <si>
    <t xml:space="preserve">CDT-TFP</t>
  </si>
  <si>
    <t xml:space="preserve">['CDT-TFP']</t>
  </si>
  <si>
    <t xml:space="preserve">{"power conversion efficiency": {"entity_name": "PCE", "entity_start": 143, "entity_end": 143, "property_value_start": 146, "property_value_end": 147, "property_numeric_value": 8.36, "property_unit": "%", "property_value_descriptor": ""}, "open circuit voltage": {"entity_name": "V_{oc}", "entity_start": 150, "entity_end": 151, "property_value_start": 153, "property_value_end": 154, "property_numeric_value": 1.1, "property_unit": "V", "property_value_descriptor": ""}, "short circuit current": {"entity_name": "J_{sc}", "entity_start": 156, "entity_end": 157, "property_value_start": 159, "property_value_end": 162, "property_numeric_value": 12.43, "property_unit": "mA cm^{-2}", "property_value_descriptor": ""}, "fill factor": {"entity_name": "FF", "entity_start": 166, "entity_end": 166, "property_value_start": 198, "property_value_end": 199, "property_numeric_value": 2.59,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</si>
  <si>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10.1021/acsami.8b19563</t>
  </si>
  <si>
    <t xml:space="preserve">- FDI_{2}.</t>
  </si>
  <si>
    <t xml:space="preserve">['- FDI_{2}.']</t>
  </si>
  <si>
    <t xml:space="preserve">- FDI_{2}.; PDI</t>
  </si>
  <si>
    <t xml:space="preserve">{"power conversion efficiency": {"entity_name": "PCEs", "entity_start": 136, "entity_end": 136, "property_value_start": 140, "property_value_end": 141, "property_numeric_value": 6.33, "property_unit": "%", "property_value_descriptor": ""}, "open circuit voltage": {"entity_name": "V_{OC}", "entity_start": 102, "entity_end": 103, "property_value_start": 105, "property_value_end": 106, "property_numeric_value": 1.0,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</si>
  <si>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10.1021/acsami.9b22933</t>
  </si>
  <si>
    <t xml:space="preserve">{"power conversion efficiency": {"entity_name": "power conversion efficiency", "entity_start": 167, "entity_end": 169, "property_value_start": 173, "property_value_end": 174, "property_numeric_value": 14.37,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</si>
  <si>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10.1021/acsami.9b23011</t>
  </si>
  <si>
    <t xml:space="preserve">FBR</t>
  </si>
  <si>
    <t xml:space="preserve">['FBR']</t>
  </si>
  <si>
    <t xml:space="preserve">{"power conversion efficiency": {"entity_name": "PCEs", "entity_start": 192, "entity_end": 192, "property_value_start": 200, "property_value_end": 201, "property_numeric_value": 16.0,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</si>
  <si>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10.1021/acsami.9b22093</t>
  </si>
  <si>
    <t xml:space="preserve">BDTN-BF</t>
  </si>
  <si>
    <t xml:space="preserve">CCCCCCCCOc%10c5sc4c3sc(C=c2c(=O)c1cc(F)c(F)cc1c2=C(C#N)C#N)cc3n(CC(CCCC)CCCCCC)c4c5c(OCCCCCCCC)c%11sc9c8sc(C=c7c(=O)c6cc(F)c(F)cc6c7=C(C#N)C#N)cc8n(CC(CCCC)CCCCCC)c9c%10%11</t>
  </si>
  <si>
    <t xml:space="preserve">['BDTN-BF']</t>
  </si>
  <si>
    <t xml:space="preserve">{"power conversion efficiency": {"entity_name": "PCE", "entity_start": 200, "entity_end": 200, "property_value_start": 204, "property_value_end": 205, "property_numeric_value": 3.53, "property_unit": "%", "property_value_descriptor": ""}, "open circuit voltage": {"entity_name": "V_{oc}", "entity_start": 165, "entity_end": 166, "property_value_start": 168, "property_value_end": 169, "property_numeric_value": 0.93, "property_unit": "V", "property_value_descriptor": ""}, "short circuit current": {}, "fill factor": {"entity_name": "FF", "entity_start": 156, "entity_end": 156, "property_value_start": 159, "property_value_end": 160, "property_numeric_value": 61.46,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</si>
  <si>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BDTN-Th</t>
  </si>
  <si>
    <t xml:space="preserve">CCCCCCCCOc%10c5sc4c3sc(C=c2c(=O)c1cscc1c2=C(C#N)C#N)cc3n(CC(CCCC)CCCCCC)c4c5c(OCCCCCCCC)c%11sc9c8sc(C=c7c(=O)c6cscc6c7=C(C#N)C#N)cc8n(CC(CCCC)CCCCCC)c9c%10%11</t>
  </si>
  <si>
    <t xml:space="preserve">['BDTN-Th-based', 'BDTN-Th']</t>
  </si>
  <si>
    <t xml:space="preserve">{"power conversion efficiency": {}, "open circuit voltage": {}, "short circuit current": {"entity_name": "J_{sc}", "entity_start": 144, "entity_end": 145, "property_value_start": 147, "property_value_end": 150, "property_numeric_value": 20.2,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</si>
  <si>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10.1021/acsami.0c01382</t>
  </si>
  <si>
    <t xml:space="preserve">PNDIS</t>
  </si>
  <si>
    <t xml:space="preserve">[*]c5ccc(c1cc3c(=O)n(CC(CCCCCC)CCCCCCCC)c(=O)c4c([*])cc2c(=O)n(CC(CCCCCC)CCCCCCCC)c(=O)c1c2c34)[Se]5</t>
  </si>
  <si>
    <t xml:space="preserve">['PNDIS']</t>
  </si>
  <si>
    <t xml:space="preserve">{"power conversion efficiency": {}, "open circuit voltage": {"entity_name": "V_{oc}", "entity_start": 64, "entity_end": 65, "property_value_start": 67, "property_value_end": 68, "property_numeric_value": 0.925,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</si>
  <si>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['PNDIBS']</t>
  </si>
  <si>
    <t xml:space="preserve">{"power conversion efficiency": {"entity_name": "PCE", "entity_start": 92, "entity_end": 92, "property_value_start": 95, "property_value_end": 96, "property_numeric_value": 3.1, "property_unit": "%", "property_value_descriptor": ""}, "open circuit voltage": {"entity_name": "V_{oc}", "entity_start": 108, "entity_end": 109, "property_value_start": 111, "property_value_end": 112, "property_numeric_value": 0.967, "property_unit": "V", "property_value_descriptor": ""}, "short circuit current": {}, "fill factor": {"entity_name": "FF", "entity_start": 120, "entity_end": 120, "property_value_start": 131, "property_value_end": 132, "property_numeric_value": 9.1,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</si>
  <si>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10.1021/acsami.9b12018</t>
  </si>
  <si>
    <t xml:space="preserve">{"power conversion efficiency": {"entity_name": "PCE", "entity_start": 229, "entity_end": 229, "property_value_start": 231, "property_value_end": 232, "property_numeric_value": 9.44, "property_unit": "%", "property_value_descriptor": ""}, "open circuit voltage": {"entity_name": "V_{OC}", "entity_start": 211, "entity_end": 212, "property_value_start": 215, "property_value_end": 216, "property_numeric_value": 0.69,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</si>
  <si>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10.1021/acsami.0c05172</t>
  </si>
  <si>
    <t xml:space="preserve">{"power conversion efficiency": {"entity_name": "power conversion efficiency", "entity_start": 190, "entity_end": 192, "property_value_start": 206, "property_value_end": 207, "property_numeric_value": 4.72,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</si>
  <si>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10.1021/jz300723h</t>
  </si>
  <si>
    <t xml:space="preserve">{"power conversion efficiency": {"entity_name": "power conversion efficiency", "entity_start": 133, "entity_end": 135, "property_value_start": 140, "property_value_end": 141, "property_numeric_value": 3.34, "property_unit": "%", "property_value_descriptor": ""}, "open circuit voltage": {}, "short circuit current": {}, "fill factor": {"entity_name": "fill factor", "entity_start": 125, "entity_end": 126, "property_value_start": 130, "property_value_end": 130, "property_numeric_value": 57.99999999999999,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</si>
  <si>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10.1021/jp057256h</t>
  </si>
  <si>
    <t xml:space="preserve">polythienylenevinylene</t>
  </si>
  <si>
    <t xml:space="preserve">['polythienylenevinylene', 'PTV', 'PT']</t>
  </si>
  <si>
    <t xml:space="preserve">{"power conversion efficiency": {"entity_name": "power conversion efficiency", "entity_start": 198, "entity_end": 200, "property_value_start": 202, "property_value_end": 203, "property_numeric_value": 0.13, "property_unit": "%", "property_value_descriptor": ""}, "open circuit voltage": {}, "short circuit current": {}, "fill factor": {}, "highest occupied molecular orbital": {}, "lowest unoccupied molecular orbital": {}, "bandgap": {"entity_name": "band gap", "entity_start": 147, "entity_end": 148, "property_value_start": 150, "property_value_end": 151, "property_numeric_value": 1.44, "property_unit": "eV", "property_value_descriptor": ""}, "hole mobility": {}, "electron mobility": {}, "external quantum efficiency": {}}</t>
  </si>
  <si>
    <t xml:space="preserve">10.1021/jp305427g</t>
  </si>
  <si>
    <t xml:space="preserve">- C_{61}-butyric acid methyl</t>
  </si>
  <si>
    <t xml:space="preserve">['- C_{61}-butyric acid methyl']</t>
  </si>
  <si>
    <t xml:space="preserve">{"power conversion efficiency": {"entity_name": "PCE", "entity_start": 118, "entity_end": 118, "property_value_start": 129, "property_value_end": 130, "property_numeric_value": 2.4,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</si>
  <si>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10.1021/jp9083844</t>
  </si>
  <si>
    <t xml:space="preserve">polyaniline</t>
  </si>
  <si>
    <t xml:space="preserve">['polyaniline', 'PSSA-g-PANI']</t>
  </si>
  <si>
    <t xml:space="preserve">['[6,6]-phenyl-C61-butyric acid methyl ester']</t>
  </si>
  <si>
    <t xml:space="preserve">{"power conversion efficiency": {"entity_name": "power conversion efficiency", "entity_start": 169, "entity_end": 171, "property_value_start": 173, "property_value_end": 174, "property_numeric_value": 4.0,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</si>
  <si>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10.1021/acs.jpcc.6b00890</t>
  </si>
  <si>
    <t xml:space="preserve">PDVFs</t>
  </si>
  <si>
    <t xml:space="preserve">['PDVF', 'PDVFs']</t>
  </si>
  <si>
    <t xml:space="preserve">{"power conversion efficiency": {"entity_name": "power conversion efficiency", "entity_start": 95, "entity_end": 97, "property_value_start": 105, "property_value_end": 106, "property_numeric_value": 4.56,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</si>
  <si>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10.1021/jp411432a</t>
  </si>
  <si>
    <t xml:space="preserve">{"power conversion efficiency": {"entity_name": "power conversion efficiency", "entity_start": 136, "entity_end": 138, "property_value_start": 140, "property_value_end": 141, "property_numeric_value": 0.48, "property_unit": "%", "property_value_descriptor": ""}, "open circuit voltage": {"entity_name": "open circuit voltage", "entity_start": 145, "entity_end": 147, "property_value_start": 149, "property_value_end": 150, "property_numeric_value": 0.97,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</si>
  <si>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10.1021/jp209253m</t>
  </si>
  <si>
    <t xml:space="preserve">PF-DTTPD</t>
  </si>
  <si>
    <t xml:space="preserve">['PF-DTTPD']</t>
  </si>
  <si>
    <t xml:space="preserve">{"power conversion efficiency": {"entity_name": "power conversion efficiencies", "entity_start": 184, "entity_end": 186, "property_value_start": 203, "property_value_end": 204, "property_numeric_value": 2.11, "property_unit": "%", "property_value_descriptor": ""}, "open circuit voltage": {}, "short circuit current": {}, "fill factor": {}, "highest occupied molecular orbital": {"entity_name": "highest occupied molecular orbital energy level", "entity_start": 96, "entity_end": 101, "property_value_start": 118, "property_value_end": 119, "property_numeric_value": -5.15, "property_unit": "eV", "property_value_descriptor": ""}, "lowest unoccupied molecular orbital": {"entity_name": "lowest unoccupied molecular orbital energy levels", "entity_start": 79, "entity_end": 84, "property_value_start": 86, "property_value_end": 87, "property_numeric_value": -3.5, "property_unit": "eV", "property_value_descriptor": ""}, "bandgap": {}, "hole mobility": {}, "electron mobility": {}, "external quantum efficiency": {}}</t>
  </si>
  <si>
    <t xml:space="preserve">10.1021/jp304878u</t>
  </si>
  <si>
    <t xml:space="preserve">{"power conversion efficiency": {"entity_name": "power conversion efficiency", "entity_start": 241, "entity_end": 243, "property_value_start": 262, "property_value_end": 263, "property_numeric_value": 6.36,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</si>
  <si>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10.1021/jp311930m</t>
  </si>
  <si>
    <t xml:space="preserve">P3HTT-DPP-10 %</t>
  </si>
  <si>
    <t xml:space="preserve">['P3HTT-DPP-10 %']</t>
  </si>
  <si>
    <t xml:space="preserve">{"power conversion efficiency": {"entity_name": "PCE", "entity_start": 129, "entity_end": 129, "property_value_start": 141, "property_value_end": 142, "property_numeric_value": 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</si>
  <si>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P3HTT-TP</t>
  </si>
  <si>
    <t xml:space="preserve">['P3HTT-TP']</t>
  </si>
  <si>
    <t xml:space="preserve">{"power conversion efficiency": {"entity_name": "PCE", "entity_start": 129, "entity_end": 129, "property_value_start": 145, "property_value_end": 146, "property_numeric_value": 2.7,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</si>
  <si>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P3HTT-BTD</t>
  </si>
  <si>
    <t xml:space="preserve">['P3HTT-BTD']</t>
  </si>
  <si>
    <t xml:space="preserve">{"power conversion efficiency": {"entity_name": "PCE", "entity_start": 129, "entity_end": 129, "property_value_start": 152, "property_value_end": 153, "property_numeric_value": 3.1,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</si>
  <si>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10.1021/jp400827m</t>
  </si>
  <si>
    <t xml:space="preserve">{"power conversion efficiency": {"entity_name": "PCE", "entity_start": 205, "entity_end": 205, "property_value_start": 226, "property_value_end": 227, "property_numeric_value": 4.73,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</si>
  <si>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10.1021/jp407707u</t>
  </si>
  <si>
    <t xml:space="preserve">PCDTBT-F</t>
  </si>
  <si>
    <t xml:space="preserve">['PCDTBT-F', 'PCDTBT-F.']</t>
  </si>
  <si>
    <t xml:space="preserve">{"power conversion efficiency": {"entity_name": "power conversion efficiencies", "entity_start": 263, "entity_end": 265, "property_value_start": 279, "property_value_end": 280, "property_numeric_value": 6.16, "property_unit": "%", "property_value_descriptor": ""}, "open circuit voltage": {}, "short circuit current": {}, "fill factor": {}, "highest occupied molecular orbital": {}, "lowest unoccupied molecular orbital": {}, "bandgap": {"entity_name": "bandgap", "entity_start": 156, "entity_end": 156, "property_value_start": 158, "property_value_end": 159, "property_numeric_value": 1.96, "property_unit": "eV", "property_value_descriptor": ""}, "hole mobility": {}, "electron mobility": {}, "external quantum efficiency": {}}</t>
  </si>
  <si>
    <t xml:space="preserve">10.1021/jp405176u</t>
  </si>
  <si>
    <t xml:space="preserve">{"power conversion efficiency": {"entity_name": "PCE", "entity_start": 350, "entity_end": 350, "property_value_start": 367, "property_value_end": 368, "property_numeric_value": 4.45,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</si>
  <si>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10.1021/acs.jpcc.8b01281</t>
  </si>
  <si>
    <t xml:space="preserve">{"power conversion efficiency": {"entity_name": "power conversion efficiency", "entity_start": 127, "entity_end": 129, "property_value_start": 131, "property_value_end": 132, "property_numeric_value": 5.873,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</si>
  <si>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10.1021/jp411286w</t>
  </si>
  <si>
    <t xml:space="preserve">{"power conversion efficiency": {"entity_name": "PCE", "entity_start": 208, "entity_end": 208, "property_value_start": 246, "property_value_end": 247, "property_numeric_value": 2.4,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</si>
  <si>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10.1021/jp9060413</t>
  </si>
  <si>
    <t xml:space="preserve">Z3</t>
  </si>
  <si>
    <t xml:space="preserve">['Z3', 'Z3-based']</t>
  </si>
  <si>
    <t xml:space="preserve">{"power conversion efficiency": {"entity_name": "PCE", "entity_start": 252, "entity_end": 252, "property_value_start": 255, "property_value_end": 256, "property_numeric_value": 2.0, "property_unit": "%", "property_value_descriptor": "~"}, "open circuit voltage": {}, "short circuit current": {"entity_name": "J_{sc}", "entity_start": 277, "entity_end": 279, "property_value_start": 281, "property_value_end": 285, "property_numeric_value": 6.3, "property_unit": "mA/cm^{2}", "property_value_descriptor": ""}, "fill factor": {}, "highest occupied molecular orbital": {}, "lowest unoccupied molecular orbital": {}, "bandgap": {}, "hole mobility": {"entity_name": "hole mobility", "entity_start": 120, "entity_end": 121, "property_value_start": 130, "property_value_end": 136, "property_numeric_value": 1.84e-07, "property_unit": "cm^{2}(V s)", "property_value_descriptor": ""}, "electron mobility": {}, "external quantum efficiency": {}}</t>
  </si>
  <si>
    <t xml:space="preserve">Z4</t>
  </si>
  <si>
    <t xml:space="preserve">['Z4', 'Z4-based']</t>
  </si>
  <si>
    <t xml:space="preserve">{"power conversion efficiency": {}, "open circuit voltage": {"entity_name": "V_{oc}", "entity_start": 265, "entity_end": 266, "property_value_start": 269, "property_value_end": 270, "property_numeric_value": 0.84, "property_unit": "V", "property_value_descriptor": ""}, "short circuit current": {}, "fill factor": {"entity_name": "FF", "entity_start": 161, "entity_end": 161, "property_value_start": 183, "property_value_end": 183, "property_numeric_value": 61.0,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</si>
  <si>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10.1021/acs.jpcc.7b08167</t>
  </si>
  <si>
    <t xml:space="preserve">{"power conversion efficiency": {"entity_name": "PCEs", "entity_start": 103, "entity_end": 103, "property_value_start": 106, "property_value_end": 109, "property_numeric_value": 7.699999999999999, "property_unit": "%", "property_value_descriptor": "and"},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</si>
  <si>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"PCEs", "entity_start": 142, "entity_end": 142, "property_value_start": 146, "property_value_end": 147, "property_numeric_value": 7.9,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</si>
  <si>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10.1021/acs.jpcc.7b07561</t>
  </si>
  <si>
    <t xml:space="preserve">{"power conversion efficiency": {"entity_name": "PCE", "entity_start": 71, "entity_end": 71, "property_value_start": 75, "property_value_end": 76, "property_numeric_value": 8.2,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</si>
  <si>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10.1021/acs.jpcc.6b05887</t>
  </si>
  <si>
    <t xml:space="preserve">['poly(3-hexyl)thiophene', 'P3HT']</t>
  </si>
  <si>
    <t xml:space="preserve">{"power conversion efficiency": {"entity_name": "PCE", "entity_start": 240, "entity_end": 240, "property_value_start": 245, "property_value_end": 246, "property_numeric_value": 3.91,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</si>
  <si>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10.1021/acs.jpcc.5b12307</t>
  </si>
  <si>
    <t xml:space="preserve">['P', 'DPP5']</t>
  </si>
  <si>
    <t xml:space="preserve">DPP6</t>
  </si>
  <si>
    <t xml:space="preserve">['DPP6']</t>
  </si>
  <si>
    <t xml:space="preserve">{"power conversion efficiency": {"entity_name": "power conversion efficiency", "entity_start": 89, "entity_end": 91, "property_value_start": 96, "property_value_end": 97, "property_numeric_value": 4.95,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</si>
  <si>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10.1021/jp411675t</t>
  </si>
  <si>
    <t xml:space="preserve">{"power conversion efficiency": {"entity_name": "PCE", "entity_start": 209, "entity_end": 209, "property_value_start": 246, "property_value_end": 247, "property_numeric_value": 6.55,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</si>
  <si>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10.1021/jp900241r</t>
  </si>
  <si>
    <t xml:space="preserve">PBTTT</t>
  </si>
  <si>
    <t xml:space="preserve">['poly(2,5-bis(3-alkylthiophen-2-yl)thieno[3,2-b]thiophene)', 'PBTTT']</t>
  </si>
  <si>
    <t xml:space="preserve">{"power conversion efficiency": {}, "open circuit voltage": {"entity_name": "V_{oc}", "entity_start": 75, "entity_end": 76, "property_value_start": 78, "property_value_end": 79, "property_numeric_value": 0.59, "property_unit": "V", "property_value_descriptor": ""}, "short circuit current": {"entity_name": "J_{sc}", "entity_start": 81, "entity_end": 82, "property_value_start": 85, "property_value_end": 91, "property_numeric_value": 10.399999999999999, "property_unit": "mA/cm^{2}", "property_value_descriptor": "-"}, "fill factor": {}, "highest occupied molecular orbital": {}, "lowest unoccupied molecular orbital": {}, "bandgap": {}, "hole mobility": {}, "electron mobility": {}, "external quantum efficiency": {}}</t>
  </si>
  <si>
    <t xml:space="preserve">['- PPV']</t>
  </si>
  <si>
    <t xml:space="preserve">{"power conversion efficiency": {"entity_name": "PCE", "entity_start": 99, "entity_end": 99, "property_value_start": 102, "property_value_end": 105, "property_numeric_value": 3.1, "property_unit": "%", "property_value_descriptor": "-"}, "open circuit voltage": {}, "short circuit current": {}, "fill factor": {"entity_name": "FF", "entity_start": 94, "entity_end": 94, "property_value_start": 96, "property_value_end": 96, "property_numeric_value": 50.0,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</si>
  <si>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10.1021/jp506463m</t>
  </si>
  <si>
    <t xml:space="preserve">{"power conversion efficiency": {"entity_name": "power conversion efficiency", "entity_start": 142, "entity_end": 144, "property_value_start": 146, "property_value_end": 147, "property_numeric_value": 5.53, "property_unit": "%", "property_value_descriptor": ""}, "open circuit voltage": {}, "short circuit current": {"entity_name": "short circuit current density", "entity_start": 116, "entity_end": 119, "property_value_start": 121, "property_value_end": 123, "property_numeric_value": 11.4,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</si>
  <si>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10.1021/acs.jpcc.5b01540</t>
  </si>
  <si>
    <t xml:space="preserve">{"power conversion efficiency": {"entity_name": "power conversion efficiency", "entity_start": 172, "entity_end": 174, "property_value_start": 178, "property_value_end": 179, "property_numeric_value": 4.1,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</si>
  <si>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10.1021/acs.jpcc.5b06346</t>
  </si>
  <si>
    <t xml:space="preserve">PDTS-DTffBT</t>
  </si>
  <si>
    <t xml:space="preserve">[*]c1cc7c(s1)c6sc(c5sc(c3c(F)c(F)c(c2cc(CCCCCC)c([*])s2)c4nsnc34)cc5CCCCCC)cc6[Si]7(CC(CC)CCCC)CC(CC)CCCCC</t>
  </si>
  <si>
    <t xml:space="preserve">['PDTS-DTffBT']</t>
  </si>
  <si>
    <t xml:space="preserve">{"power conversion efficiency": {"entity_name": "power conversion efficiency", "entity_start": 17, "entity_end": 19, "property_value_start": 36, "property_value_end": 37, "property_numeric_value": 5.5,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</si>
  <si>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10.1021/jp803187u</t>
  </si>
  <si>
    <t xml:space="preserve">6,6]-phenyl-C61-butyric acid</t>
  </si>
  <si>
    <t xml:space="preserve">{"power conversion efficiency": {"entity_name": "PCEs", "entity_start": 216, "entity_end": 216, "property_value_start": 226, "property_value_end": 227, "property_numeric_value": 0.09,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134, "entity_end": 135, "property_value_start": 153, "property_value_end": 162, "property_numeric_value": 0.0005, "property_unit": "cm^{2} V^{-1} s^{-1}", "property_value_descriptor": ""}, "electron mobility": {}, "external quantum efficiency": {}}</t>
  </si>
  <si>
    <t xml:space="preserve">10.1021/jp808255b</t>
  </si>
  <si>
    <t xml:space="preserve">PCPDTBSe</t>
  </si>
  <si>
    <t xml:space="preserve">[*]c1cc5c(s1)c4sc(c2ccc([*])c3n[se]nc23)cc4C5(CC(CC)CCCC)CC(CC)CCCC</t>
  </si>
  <si>
    <t xml:space="preserve">['PCPDTBSe', 'poly[4,4-bis(2-ethylhexyl)cyclopenta[2,1-b;3,4-b′]dithiophene-2,6-diyl-alt-2,1,3-benzoselenadiazole-4,7-diyl]']</t>
  </si>
  <si>
    <t xml:space="preserve">['PC_{70}BM', '6,6-phenyl-C_{71}-butyric acid methyl ester']</t>
  </si>
  <si>
    <t xml:space="preserve">{"power conversion efficiency": {"entity_name": "PCE", "entity_start": 142, "entity_end": 142, "property_value_start": 144, "property_value_end": 145, "property_numeric_value": 0.89, "property_unit": "%", "property_value_descriptor": ""}, "open circuit voltage": {"entity_name": "open circuit voltage", "entity_start": 162, "entity_end": 164, "property_value_start": 166, "property_value_end": 167, "property_numeric_value": 0.52, "property_unit": "V", "property_value_descriptor": ""}, "short circuit current": {"entity_name": "short circuit current", "entity_start": 151, "entity_end": 153, "property_value_start": 155, "property_value_end": 159, "property_numeric_value": 5.0, "property_unit": "mA/cm^{2}", "property_value_descriptor": ""}, "fill factor": {"entity_name": "fill factor", "entity_start": 171, "entity_end": 172, "property_value_start": 174, "property_value_end": 175, "property_numeric_value": 34.3, "property_unit": "%", "property_value_descriptor": ""}, "highest occupied molecular orbital": {}, "lowest unoccupied molecular orbital": {}, "bandgap": {"entity_name": "band gap", "entity_start": 20, "entity_end": 21, "property_value_start": 25, "property_value_end": 26, "property_numeric_value": 1.35, "property_unit": "eV", "property_value_descriptor": ""}, "hole mobility": {}, "electron mobility": {}, "external quantum efficiency": {}}</t>
  </si>
  <si>
    <t xml:space="preserve">10.1021/jp902199q</t>
  </si>
  <si>
    <t xml:space="preserve">poly(3-hexyl-2,5-thienylene vinylene)</t>
  </si>
  <si>
    <t xml:space="preserve">['poly(3-hexyl-2,5-thienylene vinylene)', 'P3HTV']</t>
  </si>
  <si>
    <t xml:space="preserve">{"power conversion efficiency": {}, "open circuit voltage": {}, "short circuit current": {}, "fill factor": {}, "highest occupied molecular orbital": {}, "lowest unoccupied molecular orbital": {}, "bandgap": {"entity_name": "band gap", "entity_start": 10, "entity_end": 11, "property_value_start": 13, "property_value_end": 14, "property_numeric_value": 1.65, "property_unit": "eV", "property_value_descriptor": ""}, "hole mobility": {}, "electron mobility": {}, "external quantum efficiency": {}}</t>
  </si>
  <si>
    <t xml:space="preserve">{"power conversion efficiency": {"entity_name": "power conversion efficiencies", "entity_start": 270, "entity_end": 272, "property_value_start": 274, "property_value_end": 277, "property_numeric_value": 0.8600000000000001,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</si>
  <si>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10.1021/jp9079926</t>
  </si>
  <si>
    <t xml:space="preserve">PITN-co-ThBTD</t>
  </si>
  <si>
    <t xml:space="preserve">['PITN-co-ThBTD']</t>
  </si>
  <si>
    <t xml:space="preserve">{"power conversion efficiency": {"entity_name": "power conversion efficiency", "entity_start": 210, "entity_end": 212, "property_value_start": 214, "property_value_end": 215, "property_numeric_value": 0.9, "property_unit": "%", "property_value_descriptor": ""}, "open circuit voltage": {"entity_name": "V_{oc}", "entity_start": 234, "entity_end": 235, "property_value_start": 237, "property_value_end": 238, "property_numeric_value": 0.83, "property_unit": "V", "property_value_descriptor": ""}, "short circuit current": {"entity_name": "J_{sc}", "entity_start": 221, "entity_end": 222, "property_value_start": 224, "property_value_end": 228, "property_numeric_value": 3.4, "property_unit": "mA/cm^{2}", "property_value_descriptor": ""}, "fill factor": {"entity_name": "FF", "entity_start": 244, "entity_end": 244, "property_value_start": 246, "property_value_end": 247, "property_numeric_value": 32.0, "property_unit": "%", "property_value_descriptor": ""}, "highest occupied molecular orbital": {}, "lowest unoccupied molecular orbital": {}, "bandgap": {"entity_name": "bandgap", "entity_start": 31, "entity_end": 31, "property_value_start": 33, "property_value_end": 34, "property_numeric_value": 1.55, "property_unit": "eV", "property_value_descriptor": ""}, "hole mobility": {}, "electron mobility": {}, "external quantum efficiency": {}}</t>
  </si>
  <si>
    <t xml:space="preserve">10.1021/jp9120639</t>
  </si>
  <si>
    <t xml:space="preserve">{"power conversion efficiency": {"entity_name": "power conversion efficiency", "entity_start": 174, "entity_end": 176, "property_value_start": 178, "property_value_end": 179, "property_numeric_value": 3.8, "property_unit": "%", "property_value_descriptor": ""}, "open circuit voltage": {"entity_name": "open circuit voltage", "entity_start": 193, "entity_end": 195, "property_value_start": 197, "property_value_end": 198, "property_numeric_value": 0.88, "property_unit": "V", "property_value_descriptor": ""}, "short circuit current": {"entity_name": "short circuit current", "entity_start": 183, "entity_end": 185, "property_value_start": 187, "property_value_end": 190, "property_numeric_value": 7.3, "property_unit": "mA cm^{-2}", "property_value_descriptor": ""}, "fill factor": {"entity_name": "fill factor", "entity_start": 202, "entity_end": 203, "property_value_start": 205, "property_value_end": 206, "property_numeric_value": 59.1,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</si>
  <si>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10.1021/jp910467c</t>
  </si>
  <si>
    <t xml:space="preserve">PB</t>
  </si>
  <si>
    <t xml:space="preserve">[*]CC([*])CC</t>
  </si>
  <si>
    <t xml:space="preserve">['PB']</t>
  </si>
  <si>
    <t xml:space="preserve">{"power conversion efficiency": {"entity_name": "PCE", "entity_start": 232, "entity_end": 232, "property_value_start": 239, "property_value_end": 240, "property_numeric_value": 3.54, "property_unit": "%", "property_value_descriptor": ""}, "open circuit voltage": {}, "short circuit current": {}, "fill factor": {}, "highest occupied molecular orbital": {}, "lowest unoccupied molecular orbital": {}, "bandgap": {"entity_name": "optical band gap", "entity_start": 68, "entity_end": 70, "property_value_start": 72, "property_value_end": 73, "property_numeric_value": 1.63, "property_unit": "eV", "property_value_descriptor": ""}, "hole mobility": {}, "electron mobility": {}, "external quantum efficiency": {}}</t>
  </si>
  <si>
    <t xml:space="preserve">10.1021/jp106319x</t>
  </si>
  <si>
    <t xml:space="preserve">{"power conversion efficiency": {"entity_name": "power conversion efficiency", "entity_start": 138, "entity_end": 140, "property_value_start": 142, "property_value_end": 143, "property_numeric_value": 2.72,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69, "entity_end": 70, "property_value_start": 77, "property_value_end": 86, "property_numeric_value": 0.0028, "property_unit": "cm^{2} V^{-1} s^{-1}", "property_value_descriptor": ""}, "electron mobility": {}, "external quantum efficiency": {}}</t>
  </si>
  <si>
    <t xml:space="preserve">10.1021/jp108886p</t>
  </si>
  <si>
    <t xml:space="preserve">{"power conversion efficiency": {"entity_name": "power conversion efficiencies", "entity_start": 40, "entity_end": 42, "property_value_start": 45, "property_value_end": 46, "property_numeric_value": 3.4,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</si>
  <si>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10.1021/jp112320b</t>
  </si>
  <si>
    <t xml:space="preserve">phenylenevinylene</t>
  </si>
  <si>
    <t xml:space="preserve">['phenylenevinylene']</t>
  </si>
  <si>
    <t xml:space="preserve">{"power conversion efficiency": {"entity_name": "PCE", "entity_start": 240, "entity_end": 240, "property_value_start": 254, "property_value_end": 255, "property_numeric_value": 4.14, "property_unit": "%", "property_value_descriptor": ""}, "open circuit voltage": {}, "short circuit current": {}, "fill factor": {}, "highest occupied molecular orbital": {}, "lowest unoccupied molecular orbital": {}, "bandgap": {"entity_name": "optical band gap", "entity_start": 44, "entity_end": 46, "property_value_start": 48, "property_value_end": 49, "property_numeric_value": 1.65, "property_unit": "eV", "property_value_descriptor": ""}, "hole mobility": {}, "electron mobility": {}, "external quantum efficiency": {}}</t>
  </si>
  <si>
    <t xml:space="preserve">10.1021/jp201337u</t>
  </si>
  <si>
    <t xml:space="preserve">{"power conversion efficiency": {"entity_name": "PCE", "entity_start": 213, "entity_end": 213, "property_value_start": 225, "property_value_end": 226, "property_numeric_value": 5.32, "property_unit": "%", "property_value_descriptor": ""}, "open circuit voltage": {"entity_name": "V_{oc}", "entity_start": 123, "entity_end": 125, "property_value_start": 127, "property_value_end": 128, "property_numeric_value": 0.8, "property_unit": "V", "property_value_descriptor": ""}, "short circuit current": {"entity_name": "J_{sc}", "entity_start": 136, "entity_end": 137, "property_value_start": 140, "property_value_end": 144, "property_numeric_value": 9.0,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</si>
  <si>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10.1021/jp201104s</t>
  </si>
  <si>
    <t xml:space="preserve">PCPDT-PDPP</t>
  </si>
  <si>
    <t xml:space="preserve">['PCPDT-PDPP']</t>
  </si>
  <si>
    <t xml:space="preserve">{"power conversion efficiency": {"entity_name": "power conversion efficiencies", "entity_start": 82, "entity_end": 84, "property_value_start": 100, "property_value_end": 101, "property_numeric_value": 1.32,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</si>
  <si>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10.1021/acs.jpcc.8b09336</t>
  </si>
  <si>
    <t xml:space="preserve">A401</t>
  </si>
  <si>
    <t xml:space="preserve">['A401']</t>
  </si>
  <si>
    <t xml:space="preserve">{"power conversion efficiency": {"entity_name": "power conversion efficiency", "entity_start": 127, "entity_end": 129, "property_value_start": 156, "property_value_end": 157, "property_numeric_value": 3.93,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</si>
  <si>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10.1021/acs.jpcc.9b04038</t>
  </si>
  <si>
    <t xml:space="preserve">{"power conversion efficiency": {"entity_name": "power conversion efficiency", "entity_start": 68, "entity_end": 70, "property_value_start": 76, "property_value_end": 77, "property_numeric_value": 10.43, "property_unit": "%", "property_value_descriptor": ""}, "open circuit voltage": {}, "short circuit current": {"entity_name": "short circuit current density", "entity_start": 55, "entity_end": 58, "property_value_start": 60, "property_value_end": 63, "property_numeric_value": 20.75,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</si>
  <si>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efficiency", "entity_start": 68, "entity_end": 70, "property_value_start": 74, "property_value_end": 74, "property_numeric_value": 11.26,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</si>
  <si>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10.1021/acs.jpcc.6b12459</t>
  </si>
  <si>
    <t xml:space="preserve">{"power conversion efficiency": {"entity_name": "PCE", "entity_start": 139, "entity_end": 139, "property_value_start": 144, "property_value_end": 145, "property_numeric_value": 8.0, "property_unit": "%", "property_value_descriptor": ""}, "open circuit voltage": {"entity_name": "V_{oc}", "entity_start": 69, "entity_end": 70, "property_value_start": 73, "property_value_end": 76, "property_numeric_value": 0.5700000000000001, "property_unit": "V", "property_value_descriptor": "to"}, "short circuit current": {}, "fill factor": {"entity_name": "FF", "entity_start": 99, "entity_end": 99, "property_value_start": 115, "property_value_end": 116, "property_numeric_value": 3.9,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</si>
  <si>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PTB-7</t>
  </si>
  <si>
    <t xml:space="preserve">['PTB-7']</t>
  </si>
  <si>
    <t xml:space="preserve">{"power conversion efficiency": {}, "open circuit voltage": {}, "short circuit current": {"entity_name": "J_{sc}", "entity_start": 83, "entity_end": 84, "property_value_start": 87, "property_value_end": 93, "property_numeric_value": 9.275, "property_unit": "mA/cm^{2}", "property_value_descriptor": "to"}, "fill factor": {}, "highest occupied molecular orbital": {}, "lowest unoccupied molecular orbital": {}, "bandgap": {}, "hole mobility": {}, "electron mobility": {}, "external quantum efficiency": {}}</t>
  </si>
  <si>
    <t xml:space="preserve">10.1021/jp902001z</t>
  </si>
  <si>
    <t xml:space="preserve">PZnPT</t>
  </si>
  <si>
    <t xml:space="preserve">['PZnPT']</t>
  </si>
  <si>
    <t xml:space="preserve">{"power conversion efficiency": {"entity_name": "power conversion efficiencies", "entity_start": 339, "entity_end": 341, "property_value_start": 343, "property_value_end": 344, "property_numeric_value": 0.048, "property_unit": "%", "property_value_descriptor": ""}, "open circuit voltage": {}, "short circuit current": {}, "fill factor": {}, "highest occupied molecular orbital": {}, "lowest unoccupied molecular orbital": {}, "bandgap": {"entity_name": "optical bandgap", "entity_start": 69, "entity_end": 70, "property_value_start": 84, "property_value_end": 85, "property_numeric_value": 1.9, "property_unit": "eV", "property_value_descriptor": ""}, "hole mobility": {}, "electron mobility": {}, "external quantum efficiency": {}}</t>
  </si>
  <si>
    <t xml:space="preserve">PZnPF</t>
  </si>
  <si>
    <t xml:space="preserve">['PZnPF']</t>
  </si>
  <si>
    <t xml:space="preserve">{"power conversion efficiency": {"entity_name": "power conversion efficiencies", "entity_start": 339, "entity_end": 341, "property_value_start": 346, "property_value_end": 347, "property_numeric_value": 0.027,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</si>
  <si>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10.1021/acs.jpcc.6b05216</t>
  </si>
  <si>
    <t xml:space="preserve">['PDTS-DTffBT', 'PDTS-DTffBTs']</t>
  </si>
  <si>
    <t xml:space="preserve">{"power conversion efficiency": {"entity_name": "PCE", "entity_start": 191, "entity_end": 191, "property_value_start": 193, "property_value_end": 194, "property_numeric_value": 6.4,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</si>
  <si>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10.1021/jp306656c</t>
  </si>
  <si>
    <t xml:space="preserve">P1b-P4b</t>
  </si>
  <si>
    <t xml:space="preserve">['P1b-P4b']</t>
  </si>
  <si>
    <t xml:space="preserve">{"power conversion efficiency": {"entity_name": "PCEs", "entity_start": 195, "entity_end": 195, "property_value_start": 207, "property_value_end": 208, "property_numeric_value": 7.0,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</si>
  <si>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10.1021/jp501995t</t>
  </si>
  <si>
    <t xml:space="preserve">{"power conversion efficiency": {"entity_name": "PCE", "entity_start": 211, "entity_end": 211, "property_value_start": 218, "property_value_end": 219, "property_numeric_value": 7.1,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</si>
  <si>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10.1021/acs.jpcc.9b10580</t>
  </si>
  <si>
    <t xml:space="preserve">PE80</t>
  </si>
  <si>
    <t xml:space="preserve">[*]c9ccc(c7ccc(c6ccc(c5cc4c(c1cc(F)c(SCC(CC)CCCC)s1)c2sc([*])cc2c(c3cc(F)c(SCC(CC)CCCC)s3)c4s5)s6)c8c(=O)n(CC(CC)CCCC)c(=O)c78)s9</t>
  </si>
  <si>
    <t xml:space="preserve">['PE80']</t>
  </si>
  <si>
    <t xml:space="preserve">{"power conversion efficiency": {"entity_name": "PCE", "entity_start": 200, "entity_end": 200, "property_value_start": 202, "property_value_end": 203, "property_numeric_value": 4.11, "property_unit": "%", "property_value_descriptor": ""}, "open circuit voltage": {"entity_name": "V_{OC}", "entity_start": 205, "entity_end": 206, "property_value_start": 208, "property_value_end": 209, "property_numeric_value": 0.88, "property_unit": "V", "property_value_descriptor": ""}, "short circuit current": {}, "fill factor": {}, "highest occupied molecular orbital": {}, "lowest unoccupied molecular orbital": {}, "bandgap": {"entity_name": "E_{g}", "entity_start": 151, "entity_end": 152, "property_value_start": 154, "property_value_end": 155, "property_numeric_value": 1.33, "property_unit": "eV", "property_value_descriptor": ""}, "hole mobility": {}, "electron mobility": {}, "external quantum efficiency": {}}</t>
  </si>
  <si>
    <t xml:space="preserve">PE81</t>
  </si>
  <si>
    <t xml:space="preserve">[*]c%11cc%10c(c1cc(F)c(SCC(CC)CCCC)s1)c8sc(c7sc6cc(c4ccc(c3cc2sc([*])c(CCCCCCCCCCC)c2s3)c5c(=O)n(CC(CC)CCCC)c(=O)c45)sc6c7CCCCCCCCCCC)cc8c(c9cc(F)c(SCC(CC)CCCC)s9)c%10s%11</t>
  </si>
  <si>
    <t xml:space="preserve">['PE81']</t>
  </si>
  <si>
    <t xml:space="preserve">10.1021/acs.jpcc.6b07778</t>
  </si>
  <si>
    <t xml:space="preserve">["poly[(5,6-difluoro-2,1,3-benzothiadiazol-4,7-diyl)-alt-(3,3'''-di(2-octyldodecyl)-2,2';5',2'';5'',2'''-quaterthiophen-5,5'''-diyl)]", 'PffBT4T-2OD']</t>
  </si>
  <si>
    <t xml:space="preserve">{"power conversion efficiency": {"entity_name": "power conversion efficiency", "entity_start": 154, "entity_end": 156, "property_value_start": 158, "property_value_end": 159, "property_numeric_value": 7.13, "property_unit": "%", "property_value_descriptor": ""}, "open circuit voltage": {"entity_name": "V_{oc}", "entity_start": 162, "entity_end": 163, "property_value_start": 165, "property_value_end": 166, "property_numeric_value": 0.77, "property_unit": "V", "property_value_descriptor": ""}, "short circuit current": {"entity_name": "J_{sc}", "entity_start": 168, "entity_end": 169, "property_value_start": 171, "property_value_end": 173, "property_numeric_value": 14.64, "property_unit": "mA*cm^{-2}", "property_value_descriptor": ""}, "fill factor": {"entity_name": "FF", "entity_start": 176, "entity_end": 176, "property_value_start": 178, "property_value_end": 178, "property_numeric_value": 64.0, "property_unit": "%", "property_value_descriptor": ""}, "highest occupied molecular orbital": {}, "lowest unoccupied molecular orbital": {"entity_name": "LUMO energy levels", "entity_start": 87, "entity_end": 89, "property_value_start": 97, "property_value_end": 100, "property_numeric_value": -4.635, "property_unit": "eV", "property_value_descriptor": "and"}, "bandgap": {}, "hole mobility": {}, "electron mobility": {}, "external quantum efficiency": {}}</t>
  </si>
  <si>
    <t xml:space="preserve">10.1021/ja1110915</t>
  </si>
  <si>
    <t xml:space="preserve">PTAT-3</t>
  </si>
  <si>
    <t xml:space="preserve">['PTAT-3']</t>
  </si>
  <si>
    <t xml:space="preserve">{"power conversion efficiency": {"entity_name": "PCE", "entity_start": 71, "entity_end": 71, "property_value_start": 73, "property_value_end": 74, "property_numeric_value": 5.6,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</si>
  <si>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10.1021/ja210954r</t>
  </si>
  <si>
    <t xml:space="preserve">PDHTT</t>
  </si>
  <si>
    <t xml:space="preserve">["poly(3,4-dihexyl-2,2':5',2''-terthiophene)", 'PDHTT']</t>
  </si>
  <si>
    <t xml:space="preserve">{"power conversion efficiency": {"entity_name": "power conversion efficiency", "entity_start": 273, "entity_end": 275, "property_value_start": 277, "property_value_end": 278, "property_numeric_value": 4.2,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</si>
  <si>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10.1021/ja106052e</t>
  </si>
  <si>
    <t xml:space="preserve">PCPDTTTz</t>
  </si>
  <si>
    <t xml:space="preserve">['PCPDTTTz']</t>
  </si>
  <si>
    <t xml:space="preserve">{"power conversion efficiency": {}, "open circuit voltage": {}, "short circuit current": {}, "fill factor": {}, "highest occupied molecular orbital": {}, "lowest unoccupied molecular orbital": {"entity_name": "LUMO energy levels", "entity_start": 54, "entity_end": 56, "property_value_start": 61, "property_value_end": 64, "property_numeric_value": -4.41, "property_unit": "eV", "property_value_descriptor": "and"}, "bandgap": {}, "hole mobility": {}, "electron mobility": {}, "external quantum efficiency": {}}</t>
  </si>
  <si>
    <t xml:space="preserve">{"power conversion efficiency": {"entity_name": "power conversion efficiency", "entity_start": 86, "entity_end": 88, "property_value_start": 90, "property_value_end": 91, "property_numeric_value": 5.4,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</si>
  <si>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10.1021/ja3081583</t>
  </si>
  <si>
    <t xml:space="preserve">bithiopheneimide</t>
  </si>
  <si>
    <t xml:space="preserve">['bithiopheneimide']</t>
  </si>
  <si>
    <t xml:space="preserve">{"power conversion efficiency": {"entity_name": "PCE", "entity_start": 276, "entity_end": 276, "property_value_start": 278, "property_value_end": 279, "property_numeric_value": 6.83, "property_unit": "%", "property_value_descriptor": ""}, "open circuit voltage": {"entity_name": "V_{oc}", "entity_start": 254, "entity_end": 255, "property_value_start": 257, "property_value_end": 258, "property_numeric_value": 0.8,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</si>
  <si>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10.1021/ja061664x</t>
  </si>
  <si>
    <t xml:space="preserve">poly(3-octylthiophene-2,5-diyl-co-3-decyloxythiophene-2,5-diyl)</t>
  </si>
  <si>
    <t xml:space="preserve">['poly(3-octylthiophene-2,5-diyl-co-3-decyloxythiophene-2,5-diyl)', 'POT- co -DOT']</t>
  </si>
  <si>
    <t xml:space="preserve">{"power conversion efficiency": {}, "open circuit voltage": {}, "short circuit current": {}, "fill factor": {}, "highest occupied molecular orbital": {}, "lowest unoccupied molecular orbital": {}, "bandgap": {"entity_name": "band gaps", "entity_start": 140, "entity_end": 141, "property_value_start": 150, "property_value_end": 151, "property_numeric_value": 1.78, "property_unit": "eV", "property_value_descriptor": ""}, "hole mobility": {}, "electron mobility": {}, "external quantum efficiency": {}}</t>
  </si>
  <si>
    <t xml:space="preserve">{"power conversion efficiency": {"entity_name": "Power conversion efficiency", "entity_start": 188, "entity_end": 190, "property_value_start": 192, "property_value_end": 193, "property_numeric_value": 1.6,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</si>
  <si>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10.1021/sc500276u</t>
  </si>
  <si>
    <t xml:space="preserve">['- SQ']</t>
  </si>
  <si>
    <t xml:space="preserve">{"power conversion efficiency": {"entity_name": "PCE", "entity_start": 162, "entity_end": 162, "property_value_start": 168, "property_value_end": 169, "property_numeric_value": 5.15,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</si>
  <si>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89, "entity_end": 89, "property_value_start": 101, "property_value_end": 102, "property_numeric_value": 3.47,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</si>
  <si>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10.1021/acssuschemeng.7b04791</t>
  </si>
  <si>
    <t xml:space="preserve">{"power conversion efficiency": {"entity_name": "PCE", "entity_start": 66, "entity_end": 66, "property_value_start": 68, "property_value_end": 69, "property_numeric_value": 6.953,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</si>
  <si>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10.1021/acssuschemeng.5b00732</t>
  </si>
  <si>
    <t xml:space="preserve">["poly[4,8-bis[(2-ethylhexyl)oxy]benzo[1,2-b:4,5-b']dithiophene-2,6-diyl][3-fluoro-2-[(2-ethylhexyl)carbonyl]thieno[3,4-b]-thiophenediyl]", 'PTB7', 'PTB7-Th']</t>
  </si>
  <si>
    <t xml:space="preserve">PDIC8-EB</t>
  </si>
  <si>
    <t xml:space="preserve">["poly{[N,N'-dioctylperylene-3,4,9,10-bis(dicarboximide)-1,7(6)-diyl]-alt-[(2,5-bis(2-ethylhexyl)-1,4-phenylene)bis(ethyn-2,1-diyl]})", 'PDIC8-EB']</t>
  </si>
  <si>
    <t xml:space="preserve">{"power conversion efficiency": {"entity_name": "PCE", "entity_start": 92, "entity_end": 92, "property_value_start": 94, "property_value_end": 95, "property_numeric_value": 3.58,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</si>
  <si>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105, "entity_end": 105, "property_value_start": 107, "property_value_end": 108, "property_numeric_value": 2.81,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</si>
  <si>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10.1021/sc5005617</t>
  </si>
  <si>
    <t xml:space="preserve">BBTz-co-pyridylthiadiazole</t>
  </si>
  <si>
    <t xml:space="preserve">['BBTz-co-pyridylthiadiazole']</t>
  </si>
  <si>
    <t xml:space="preserve">{"power conversion efficiency": {"entity_name": "PCE", "entity_start": 82, "entity_end": 82, "property_value_start": 85, "property_value_end": 86, "property_numeric_value": 6.4,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</si>
  <si>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PBBTzFT</t>
  </si>
  <si>
    <t xml:space="preserve">['PBBTzFT', 'PBBTzPT']</t>
  </si>
  <si>
    <t xml:space="preserve">{"power conversion efficiency": {"entity_name": "PCE", "entity_start": 121, "entity_end": 121, "property_value_start": 123, "property_value_end": 124, "property_numeric_value": 2.3,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</si>
  <si>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BBTz)-base</t>
  </si>
  <si>
    <t xml:space="preserve">['BBTz)-base']</t>
  </si>
  <si>
    <t xml:space="preserve">{"power conversion efficiency": {"entity_name": "PCE", "entity_start": 171, "entity_end": 171, "property_value_start": 173, "property_value_end": 174, "property_numeric_value": 6.5,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</si>
  <si>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10.1021/ar300345h</t>
  </si>
  <si>
    <t xml:space="preserve">PbSe</t>
  </si>
  <si>
    <t xml:space="preserve">['PbSe']</t>
  </si>
  <si>
    <t xml:space="preserve">pentacene</t>
  </si>
  <si>
    <t xml:space="preserve">['pentacene']</t>
  </si>
  <si>
    <t xml:space="preserve">{"power conversion efficiency": {"entity_name": "power conversion efficiency", "entity_start": 360, "entity_end": 362, "property_value_start": 364, "property_value_end": 365, "property_numeric_value": 4.7,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</si>
  <si>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10.1038/nmat3160</t>
  </si>
  <si>
    <t xml:space="preserve">DTS(PTTh_{2})_{2}</t>
  </si>
  <si>
    <t xml:space="preserve">['DTS(PTTh_{2})_{2}', 'DTS(PTTh_{2})_{2}.']</t>
  </si>
  <si>
    <t xml:space="preserve">{"power conversion efficiency": {"entity_name": "PCE", "entity_start": 146, "entity_end": 146, "property_value_start": 148, "property_value_end": 149, "property_numeric_value": 6.7,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</si>
  <si>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10.1039/c6ee03186b</t>
  </si>
  <si>
    <t xml:space="preserve">PBT-0F</t>
  </si>
  <si>
    <t xml:space="preserve">['PBT-0F']</t>
  </si>
  <si>
    <t xml:space="preserve">{"power conversion efficiency": {"entity_name": "PCE", "entity_start": 186, "entity_end": 186, "property_value_start": 188, "property_value_end": 189, "property_numeric_value": 4.5, "property_unit": "%", "property_value_descriptor": ""}, "open circuit voltage": {}, "short circuit current": {"entity_name": "J_{SC}", "entity_start": 130, "entity_end": 131, "property_value_start": 133, "property_value_end": 136, "property_numeric_value": 16.84,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</si>
  <si>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PTBTz-5</t>
  </si>
  <si>
    <t xml:space="preserve">['PTBTz-5']</t>
  </si>
  <si>
    <t xml:space="preserve">{"power conversion efficiency": {"entity_name": "PCE", "entity_start": 166, "entity_end": 166, "property_value_start": 168, "property_value_end": 169, "property_numeric_value": 6.91,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</si>
  <si>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10.1039/c3ee42989j</t>
  </si>
  <si>
    <t xml:space="preserve">{"power conversion efficiency": {"entity_name": "power conversion efficiency", "entity_start": 143, "entity_end": 145, "property_value_start": 149, "property_value_end": 150, "property_numeric_value": 6.9,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</si>
  <si>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10.1039/c3ee44202k</t>
  </si>
  <si>
    <t xml:space="preserve">{"power conversion efficiency": {"entity_name": "PCEs", "entity_start": 210, "entity_end": 210, "property_value_start": 214, "property_value_end": 215, "property_numeric_value": 8.24,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</si>
  <si>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10.1039/c1ee01183a</t>
  </si>
  <si>
    <t xml:space="preserve">{"power conversion efficiency": {"entity_name": "PCE", "entity_start": 87, "entity_end": 87, "property_value_start": 91, "property_value_end": 92,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</si>
  <si>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10.1039/c1ee01509e</t>
  </si>
  <si>
    <t xml:space="preserve">{"power conversion efficiency": {"entity_name": "PCE", "entity_start": 95, "entity_end": 95, "property_value_start": 97, "property_value_end": 98, "property_numeric_value": 4.02,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</si>
  <si>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10.1039/c3ee40190a</t>
  </si>
  <si>
    <t xml:space="preserve">PTBT</t>
  </si>
  <si>
    <t xml:space="preserve">['poly(5,6-bis(octyloxy)-4-(thiophen-2-yl)benzo[c][1,2,5]thiadiazole)', 'PTBT']</t>
  </si>
  <si>
    <t xml:space="preserve">{"power conversion efficiency": {"entity_name": "power conversion efficiency", "entity_start": 130, "entity_end": 132, "property_value_start": 136, "property_value_end": 137, "property_numeric_value": 4.31,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</si>
  <si>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10.1039/c5ee01917f</t>
  </si>
  <si>
    <t xml:space="preserve">{"power conversion efficiency": {"entity_name": "power conversion efficiencies", "entity_start": 47, "entity_end": 49, "property_value_start": 52, "property_value_end": 53, "property_numeric_value": 9.5,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</si>
  <si>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10.1039/c7ee01387f</t>
  </si>
  <si>
    <t xml:space="preserve">{"power conversion efficiency": {"entity_name": "power conversion efficiency", "entity_start": 143, "entity_end": 145, "property_value_start": 155, "property_value_end": 156, "property_numeric_value": 9.6,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</si>
  <si>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10.1039/c6ee02851a</t>
  </si>
  <si>
    <t xml:space="preserve">6-diyl</t>
  </si>
  <si>
    <t xml:space="preserve">{"power conversion efficiency": {"entity_name": "PCE", "entity_start": 77, "entity_end": 77, "property_value_start": 79, "property_value_end": 80, "property_numeric_value": 12.1,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</si>
  <si>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10.1039/c8ee01564c</t>
  </si>
  <si>
    <t xml:space="preserve">{"power conversion efficiency": {"entity_name": "PCE", "entity_start": 170, "entity_end": 170, "property_value_start": 176, "property_value_end": 177, "property_numeric_value": 13.52, "property_unit": "%", "property_value_descriptor": ""}, "open circuit voltage": {}, "short circuit current": {}, "fill factor": {"entity_name": "FF", "entity_start": 145, "entity_end": 145, "property_value_start": 150, "property_value_end": 151, "property_numeric_value": 78.07,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</si>
  <si>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170, "entity_end": 170, "property_value_start": 173, "property_value_end": 174, "property_numeric_value": 11.71, "property_unit": "%", "property_value_descriptor": ""}, "open circuit voltage": {}, "short circuit current": {}, "fill factor": {"entity_name": "FF", "entity_start": 180, "entity_end": 180, "property_value_start": 185, "property_value_end": 186, "property_numeric_value": 77.83,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</si>
  <si>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10.1039/c6ee02466a</t>
  </si>
  <si>
    <t xml:space="preserve">P4TNTz-2F</t>
  </si>
  <si>
    <t xml:space="preserve">[*]c8cc(F)c(c7sc(c6sc(c4cc2c(cc(c1cc(CC(CCCCCCCCCC)CCCCCCCCCCCC)c([*])s1)c3nsnc23)c5nsnc45)cc6CC(CCCCCCCCCC)CCCCCCCCCCCC)cc7F)s8</t>
  </si>
  <si>
    <t xml:space="preserve">['P4TNTz-2F']</t>
  </si>
  <si>
    <t xml:space="preserve">{"power conversion efficiency": {"entity_name": "PCE", "entity_start": 52, "entity_end": 52, "property_value_start": 54, "property_value_end": 55, "property_numeric_value": 10.62, "property_unit": "%", "property_value_descriptor": ""}, "open circuit voltage": {}, "short circuit current": {"entity_name": "short-circuit current density", "entity_start": 143, "entity_end": 147, "property_value_start": 149, "property_value_end": 151, "property_numeric_value": 19.45, "property_unit": "mA cm^{-2}", "property_value_descriptor": ""}, "fill factor": {}, "highest occupied molecular orbital": {"entity_name": "HOMO", "entity_start": 94, "entity_end": 94, "property_value_start": 97, "property_value_end": 98, "property_numeric_value": -5.46, "property_unit": "eV", "property_value_descriptor": ""}, "lowest unoccupied molecular orbital": {}, "bandgap": {"entity_name": "bandgap", "entity_start": 104, "entity_end": 104, "property_value_start": 106, "property_value_end": 107, "property_numeric_value": 1.59, "property_unit": "eV", "property_value_descriptor": ""}, "hole mobility": {}, "electron mobility": {}, "external quantum efficiency": {}}</t>
  </si>
  <si>
    <t xml:space="preserve">10.1039/c3ee42484g</t>
  </si>
  <si>
    <t xml:space="preserve">{"power conversion efficiency": {"entity_name": "power conversion efficiency", "entity_start": 170, "entity_end": 172, "property_value_start": 174, "property_value_end": 175, "property_numeric_value": 3.2,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</si>
  <si>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10.1039/c4ee00446a</t>
  </si>
  <si>
    <t xml:space="preserve">[6,6]-phenyl-C_{71}-butyric acid methyl</t>
  </si>
  <si>
    <t xml:space="preserve">{"power conversion efficiency": {}, "open circuit voltage": {"entity_name": "V_{oc}", "entity_start": 162, "entity_end": 163, "property_value_start": 166, "property_value_end": 167, "property_numeric_value": 0.84, "property_unit": "V", "property_value_descriptor": ""}, "short circuit current": {}, "fill factor": {}, "highest occupied molecular orbital": {}, "lowest unoccupied molecular orbital": {}, "bandgap": {}, "hole mobility": {"entity_name": "hole mobility", "entity_start": 83, "entity_end": 84, "property_value_start": 89, "property_value_end": 98, "property_numeric_value": 0.00408, "property_unit": "cm^{2} V^{-1} s^{-1}", "property_value_descriptor": ""}, "electron mobility": {}, "external quantum efficiency": {}}</t>
  </si>
  <si>
    <t xml:space="preserve">{"power conversion efficiency": {"entity_name": "PCE", "entity_start": 177, "entity_end": 177, "property_value_start": 180, "property_value_end": 181, "property_numeric_value": 8.42, "property_unit": "%", "property_value_descriptor": ""}, "open circuit voltage": {"entity_name": "V_{oc}", "entity_start": 234, "entity_end": 235, "property_value_start": 238, "property_value_end": 239, "property_numeric_value": 0.84,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</si>
  <si>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10.1039/c4ee01529k</t>
  </si>
  <si>
    <t xml:space="preserve">{"power conversion efficiency": {"entity_name": "PCE", "entity_start": 45, "entity_end": 45, "property_value_start": 49, "property_value_end": 50, "property_numeric_value": 7.0, "property_unit": "%", "property_value_descriptor": ""}, "open circuit voltage": {}, "short circuit current": {"entity_name": "short-circuit current density", "entity_start": 227, "entity_end": 231, "property_value_start": 233, "property_value_end": 237, "property_numeric_value": 16.0, "property_unit": "mA cm^{-2}", "property_value_descriptor": "-"}, "fill factor": {"entity_name": "fill factor", "entity_start": 216, "entity_end": 217, "property_value_start": 219, "property_value_end": 221, "property_numeric_value": 72.0, "property_unit": "%", "property_value_descriptor": "-"}, "highest occupied molecular orbital": {}, "lowest unoccupied molecular orbital": {}, "bandgap": {}, "hole mobility": {}, "electron mobility": {}, "external quantum efficiency": {}}</t>
  </si>
  <si>
    <t xml:space="preserve">10.1039/c8ee01700j</t>
  </si>
  <si>
    <t xml:space="preserve">ITCPTC</t>
  </si>
  <si>
    <t xml:space="preserve">['ITCPTC']</t>
  </si>
  <si>
    <t xml:space="preserve">MeIC</t>
  </si>
  <si>
    <t xml:space="preserve">CCCCCCc%15ccc(C7(c1ccc(CCCCCC)cc1)c2cc%10c(cc2c6sc5cc(C=c4c(=O)c3c(C)scc3c4=C(C#N)C#N)sc5c67)C(c8ccc(CCCCCC)cc8)(c9ccc(CCCCCC)cc9)c%13c%10sc%14cc(C=c%12c(=O)c%11c(C)scc%11c%12=C(C#N)C#N)sc%13%14)cc%15</t>
  </si>
  <si>
    <t xml:space="preserve">['MeIC']</t>
  </si>
  <si>
    <t xml:space="preserve">{"power conversion efficiency": {}, "open circuit voltage": {}, "short circuit current": {}, "fill factor": {"entity_name": "FF", "entity_start": 174, "entity_end": 174, "property_value_start": 176, "property_value_end": 177, "property_numeric_value": 78.2,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</si>
  <si>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179, "entity_end": 179, "property_value_start": 181, "property_value_end": 182, "property_numeric_value": 14.13,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</si>
  <si>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10.1039/c7ta00063d</t>
  </si>
  <si>
    <t xml:space="preserve">PBTZF2</t>
  </si>
  <si>
    <t xml:space="preserve">["poly[(4,8-bis(5-(2-ethylhexyl)-4-fluorothiophene-2-yl)-benzo[1,2-b:4,5-b']dithiophene)-alt-(5,6-difluoro-4,7-(4-(2-ethylhexyl)-dithien-2-yl-2,1,3-benzothiadiazole)])", 'PBTZF4', 'PBTZF2']</t>
  </si>
  <si>
    <t xml:space="preserve">bPDI2P</t>
  </si>
  <si>
    <t xml:space="preserve">{"power conversion efficiency": {"entity_name": "PCE", "entity_start": 109, "entity_end": 109, "property_value_start": 111, "property_value_end": 112, "property_numeric_value": 3.68,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</si>
  <si>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PBTZF4</t>
  </si>
  <si>
    <t xml:space="preserve">{"power conversion efficiency": {}, "open circuit voltage": {}, "short circuit current": {}, "fill factor": {}, "highest occupied molecular orbital": {"entity_name": "HOMO", "entity_start": 211, "entity_end": 211, "property_value_start": 218, "property_value_end": 219, "property_numeric_value": -5.33, "property_unit": "eV", "property_value_descriptor": ""}, "lowest unoccupied molecular orbital": {}, "bandgap": {}, "hole mobility": {}, "electron mobility": {}, "external quantum efficiency": {}}</t>
  </si>
  <si>
    <t xml:space="preserve">10.1039/c5ta04229a</t>
  </si>
  <si>
    <t xml:space="preserve">methyl</t>
  </si>
  <si>
    <t xml:space="preserve">['methyl']</t>
  </si>
  <si>
    <t xml:space="preserve">{"power conversion efficiency": {}, "open circuit voltage": {}, "short circuit current": {}, "fill factor": {}, "highest occupied molecular orbital": {}, "lowest unoccupied molecular orbital": {}, "bandgap": {"entity_name": "E^{opt}_{g}", "entity_start": 58, "entity_end": 60, "property_value_start": 62, "property_value_end": 63, "property_numeric_value": 1.15, "property_unit": "eV", "property_value_descriptor": ""}, "hole mobility": {}, "electron mobility": {}, "external quantum efficiency": {}}</t>
  </si>
  <si>
    <t xml:space="preserve">10.1039/c5ta04622j</t>
  </si>
  <si>
    <t xml:space="preserve">P(QP-TT-Zn)</t>
  </si>
  <si>
    <t xml:space="preserve">['P(QP-TT-Zn)']</t>
  </si>
  <si>
    <t xml:space="preserve">{"power conversion efficiency": {"entity_name": "PCE", "entity_start": 166, "entity_end": 166, "property_value_start": 170, "property_value_end": 171, "property_numeric_value": 3.51,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</si>
  <si>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10.1039/c5ta09727d</t>
  </si>
  <si>
    <t xml:space="preserve">{"power conversion efficiency": {"entity_name": "PCE", "entity_start": 227, "entity_end": 227, "property_value_start": 229, "property_value_end": 230, "property_numeric_value": 9.06, "property_unit": "%", "property_value_descriptor": ""}, "open circuit voltage": {}, "short circuit current": {"entity_name": "J_{sc}", "entity_start": 113, "entity_end": 114, "property_value_start": 118, "property_value_end": 121, "property_numeric_value": 16.27,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</si>
  <si>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10.1039/c5ta00108k</t>
  </si>
  <si>
    <t xml:space="preserve">['polythieno[3,4-b]-thiophene-co-benzodithiophene', 'PTB7']</t>
  </si>
  <si>
    <t xml:space="preserve">2,2'-(12H,12'H-10,10'-spirobi[indeno[2,1-b]fluorene]-12,12'-diylidene)dimalononitrile; polythieno[3,4-b]-thiophene-co-benzodithiophene</t>
  </si>
  <si>
    <t xml:space="preserve">{"power conversion efficiency": {"entity_name": "PCE", "entity_start": 143, "entity_end": 143, "property_value_start": 146, "property_value_end": 147, "property_numeric_value": 0.8, "property_unit": "%", "property_value_descriptor": ""}, "open circuit voltage": {}, "short circuit current": {}, "fill factor": {}, "highest occupied molecular orbital": {}, "lowest unoccupied molecular orbital": {"entity_name": "LUMO level", "entity_start": 63, "entity_end": 64, "property_value_start": 66, "property_value_end": 67, "property_numeric_value": -3.63, "property_unit": "eV", "property_value_descriptor": ""}, "bandgap": {}, "hole mobility": {}, "electron mobility": {}, "external quantum efficiency": {}}</t>
  </si>
  <si>
    <t xml:space="preserve">10.1039/c6ta08049a</t>
  </si>
  <si>
    <t xml:space="preserve">{"power conversion efficiency": {"entity_name": "PCEs", "entity_start": 237, "entity_end": 237, "property_value_start": 256, "property_value_end": 257, "property_numeric_value": 8.38,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</si>
  <si>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10.1039/c4ta02851a</t>
  </si>
  <si>
    <t xml:space="preserve">["poly[(4,8-bis(5-(2-ethylhexyl)thiophen-2-yl)-benzo[1,2-b;4,5-b']dithiophene)-2,6-diyl-alt-(4-(2-ethylhexanoyl)-thieno[3,4-b]thiophene))-2,6-diyl", 'PBDTTT-CT']</t>
  </si>
  <si>
    <t xml:space="preserve">['perylene-diimide', 'PDI', 'PDI']</t>
  </si>
  <si>
    <t xml:space="preserve">{"power conversion efficiency": {"entity_name": "PCE", "entity_start": 56, "entity_end": 56, "property_value_start": 58, "property_value_end": 59, "property_numeric_value": 3.7,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</si>
  <si>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10.1039/c6ta01368f</t>
  </si>
  <si>
    <t xml:space="preserve">['PDMS']</t>
  </si>
  <si>
    <t xml:space="preserve">{"power conversion efficiency": {"entity_name": "PCE", "entity_start": 293, "entity_end": 293, "property_value_start": 297, "property_value_end": 298, "property_numeric_value": 7.0,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</si>
  <si>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10.1039/c8ta05238g</t>
  </si>
  <si>
    <t xml:space="preserve">PDPP4 T</t>
  </si>
  <si>
    <t xml:space="preserve">['PDPP4 T']</t>
  </si>
  <si>
    <t xml:space="preserve">{"power conversion efficiency": {"entity_name": "PCE", "entity_start": 194, "entity_end": 194, "property_value_start": 195, "property_value_end": 196, "property_numeric_value": 7.0,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</si>
  <si>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10.1039/c7ta07390a</t>
  </si>
  <si>
    <t xml:space="preserve">PÎ±NBDT-T1</t>
  </si>
  <si>
    <t xml:space="preserve">['PÎ±NBDT-T1']</t>
  </si>
  <si>
    <t xml:space="preserve">{"power conversion efficiency": {"entity_name": "PCE", "entity_start": 106, "entity_end": 106, "property_value_start": 109, "property_value_end": 110, "property_numeric_value": 9.6,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</si>
  <si>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10.1039/c6ta07105h</t>
  </si>
  <si>
    <t xml:space="preserve">{"power conversion efficiency": {"entity_name": "PCE", "entity_start": 58, "entity_end": 58, "property_value_start": 90, "property_value_end": 91, "property_numeric_value": 8.59,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</si>
  <si>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10.1039/c7ta05108e</t>
  </si>
  <si>
    <t xml:space="preserve">ATT-3-based</t>
  </si>
  <si>
    <t xml:space="preserve">['ATT-3', 'ATT-3-based']</t>
  </si>
  <si>
    <t xml:space="preserve">{"power conversion efficiency": {"entity_name": "PCE", "entity_start": 121, "entity_end": 121, "property_value_start": 123, "property_value_end": 124, "property_numeric_value": 6.26, "property_unit": "%", "property_value_descriptor": ""}, "open circuit voltage": {"entity_name": "V_{oc}", "entity_start": 128, "entity_end": 129, "property_value_start": 131, "property_value_end": 132, "property_numeric_value": 0.927, "property_unit": "V", "property_value_descriptor": ""}, "short circuit current": {}, "fill factor": {}, "highest occupied molecular orbital": {}, "lowest unoccupied molecular orbital": {}, "bandgap": {"entity_name": "optical bandgap", "entity_start": 91, "entity_end": 92, "property_value_start": 94, "property_value_end": 95, "property_numeric_value": 1.61, "property_unit": "eV", "property_value_descriptor": ""}, "hole mobility": {}, "electron mobility": {}, "external quantum efficiency": {}}</t>
  </si>
  <si>
    <t xml:space="preserve">10.1039/c6ta03801h</t>
  </si>
  <si>
    <t xml:space="preserve">PDFQx-3T</t>
  </si>
  <si>
    <t xml:space="preserve">["poly(2,2':5',2''-terthiophene-alt-2,3-bis(3,4-bis(octyloxy)phenyl)-6,7-difluoroquinoxaline)", 'PDFQx-3 T', 'PDFQx-3T']</t>
  </si>
  <si>
    <t xml:space="preserve">{"power conversion efficiency": {"entity_name": "PCE", "entity_start": 207, "entity_end": 207, "property_value_start": 210, "property_value_end": 211, "property_numeric_value": 8.0, "property_unit": "%", "property_value_descriptor": ""}, "open circuit voltage": {}, "short circuit current": {}, "fill factor": {"entity_name": "fill factor", "entity_start": 234, "entity_end": 235, "property_value_start": 237, "property_value_end": 237, "property_numeric_value": 63.0,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</si>
  <si>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PDFQx-T</t>
  </si>
  <si>
    <t xml:space="preserve">['poly(thiophene-alt-(2,3-bis(3,4-bis(octyloxy)phenyl)-6,7-difluoroquinoxaline))', 'PDFQx-T']</t>
  </si>
  <si>
    <t xml:space="preserve">{"power conversion efficiency": {}, "open circuit voltage": {"entity_name": "open-circuit voltage", "entity_start": 214, "entity_end": 217, "property_value_start": 219, "property_value_end": 220, "property_numeric_value": 0.74, "property_unit": "V", "property_value_descriptor": ""}, "short circuit current": {"entity_name": "short-circuit current", "entity_start": 223, "entity_end": 226, "property_value_start": 228, "property_value_end": 231, "property_numeric_value": 17.19,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</si>
  <si>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10.1039/c5ta00715a</t>
  </si>
  <si>
    <t xml:space="preserve">P3HT; MEH-PPV</t>
  </si>
  <si>
    <t xml:space="preserve">{"power conversion efficiency": {"entity_name": "power conversion efficiencies", "entity_start": 54, "entity_end": 56, "property_value_start": 65, "property_value_end": 66, "property_numeric_value": 1.1,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</si>
  <si>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efficiencies", "entity_start": 54, "entity_end": 56, "property_value_start": 70, "property_value_end": 71,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</si>
  <si>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10.1039/c8ta06989a</t>
  </si>
  <si>
    <t xml:space="preserve">{"power conversion efficiency": {"entity_name": "power conversion efficiency", "entity_start": 176, "entity_end": 178, "property_value_start": 189, "property_value_end": 190, "property_numeric_value": 8.65,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</si>
  <si>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10.1039/c7ta04618a</t>
  </si>
  <si>
    <t xml:space="preserve">poly(4,8-bis(5-(2-ethylhexyl)furan-2-yl)benzo[1,2-b:4,5-b']difuran-alt-2,5-didodecyl-3,6-di(furan-2-yl)pyrrolo[3,4-c]pyrrole-1,4(2H,5H)-dione)</t>
  </si>
  <si>
    <t xml:space="preserve">["poly(4,8-bis(5-(2-ethylhexyl)furan-2-yl)benzo[1,2-b:4,5-b']difuran-alt-2,5-didodecyl-3,6-di(furan-2-yl)pyrrolo[3,4-c]pyrrole-1,4(2H,5H)-dione)"]</t>
  </si>
  <si>
    <t xml:space="preserve">{"power conversion efficiency": {"entity_name": "PCE", "entity_start": 194, "entity_end": 194, "property_value_start": 197, "property_value_end": 198, "property_numeric_value": 5.55, "property_unit": "%", "property_value_descriptor": ""}, "open circuit voltage": {}, "short circuit current": {}, "fill factor": {"entity_name": "FF", "entity_start": 205, "entity_end": 205, "property_value_start": 208, "property_value_end": 208, "property_numeric_value": 73.0,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</si>
  <si>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10.1039/c6ta01933a</t>
  </si>
  <si>
    <t xml:space="preserve">P(IDT-NDI)</t>
  </si>
  <si>
    <t xml:space="preserve">['P(IDT-NDI)']</t>
  </si>
  <si>
    <t xml:space="preserve">{"power conversion efficiency": {"entity_name": "power conversion efficiencies", "entity_start": 137, "entity_end": 139, "property_value_start": 147, "property_value_end": 148, "property_numeric_value": 5.33, "property_unit": "%", "property_value_descriptor": ""}, "open circuit voltage": {}, "short circuit current": {}, "fill factor": {}, "highest occupied molecular orbital": {"entity_name": "HOMO level", "entity_start": 60, "entity_end": 61, "property_value_start": 63, "property_value_end": 64, "property_numeric_value": -5.75, "property_unit": "eV", "property_value_descriptor": ""}, "lowest unoccupied molecular orbital": {"entity_name": "LUMO level", "entity_start": 53, "entity_end": 54, "property_value_start": 56, "property_value_end": 57, "property_numeric_value": -3.84, "property_unit": "eV", "property_value_descriptor": ""}, "bandgap": {"entity_name": "bandgap", "entity_start": 46, "entity_end": 46, "property_value_start": 48, "property_value_end": 49, "property_numeric_value": 1.51, "property_unit": "eV", "property_value_descriptor": ""}, "hole mobility": {}, "electron mobility": {}, "external quantum efficiency": {}}</t>
  </si>
  <si>
    <t xml:space="preserve">{"power conversion efficiency": {"entity_name": "power conversion efficiencies", "entity_start": 137, "entity_end": 139, "property_value_start": 144, "property_value_end": 145, "property_numeric_value": 4.12, "property_unit": "%", "property_value_descriptor": ""}, "open circuit voltage": {}, "short circuit current": {}, "fill factor": {}, "highest occupied molecular orbital": {}, "lowest unoccupied molecular orbital": {}, "bandgap": {"entity_name": "bandgap", "entity_start": 97, "entity_end": 97, "property_value_start": 99, "property_value_end": 100, "property_numeric_value": 1.59, "property_unit": "eV", "property_value_descriptor": ""}, "hole mobility": {}, "electron mobility": {}, "external quantum efficiency": {}}</t>
  </si>
  <si>
    <t xml:space="preserve">10.1039/c9ta00164f</t>
  </si>
  <si>
    <t xml:space="preserve">{"power conversion efficiency": {"entity_name": "PCE", "entity_start": 137, "entity_end": 137, "property_value_start": 139, "property_value_end": 140, "property_numeric_value": 9.44,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</si>
  <si>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10.1039/c6ta04026h</t>
  </si>
  <si>
    <t xml:space="preserve">{"power conversion efficiency": {"entity_name": "PCE", "entity_start": 112, "entity_end": 112, "property_value_start": 126, "property_value_end": 127, "property_numeric_value": 6.88,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</si>
  <si>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112, "entity_end": 112, "property_value_start": 120, "property_value_end": 121, "property_numeric_value": 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</si>
  <si>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10.1039/c9ta06311k</t>
  </si>
  <si>
    <t xml:space="preserve">HBDT</t>
  </si>
  <si>
    <t xml:space="preserve">['FBDT', 'FBDT-4Cl', 'HBDT', 'HBDT-4Cl']</t>
  </si>
  <si>
    <t xml:space="preserve">HBDT-4Cl</t>
  </si>
  <si>
    <t xml:space="preserve">{"power conversion efficiency": {"entity_name": "PCE", "entity_start": 283, "entity_end": 283, "property_value_start": 285, "property_value_end": 286, "property_numeric_value": 12.36,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</si>
  <si>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248, "entity_end": 248, "property_value_start": 268, "property_value_end": 269, "property_numeric_value": 10.35,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</si>
  <si>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10.1039/c9ta06385d</t>
  </si>
  <si>
    <t xml:space="preserve">PBDT-TzBI</t>
  </si>
  <si>
    <t xml:space="preserve">['PBDT-TzBI']</t>
  </si>
  <si>
    <t xml:space="preserve">{"power conversion efficiency": {"entity_name": "PCE", "entity_start": 125, "entity_end": 125, "property_value_start": 138, "property_value_end": 139, "property_numeric_value": 12.12,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</si>
  <si>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10.1039/c6ta09379e</t>
  </si>
  <si>
    <t xml:space="preserve">PIID-PyDPP</t>
  </si>
  <si>
    <t xml:space="preserve">['PIID-PyDPP']</t>
  </si>
  <si>
    <t xml:space="preserve">PIID-PyDPP; PyDPP</t>
  </si>
  <si>
    <t xml:space="preserve">{"power conversion efficiency": {"entity_name": "PCE", "entity_start": 148, "entity_end": 148, "property_value_start": 151, "property_value_end": 152, "property_numeric_value": 4.2, "property_unit": "%", "property_value_descriptor": ""}, "open circuit voltage": {"entity_name": "V_{oc}", "entity_start": 137, "entity_end": 138, "property_value_start": 140, "property_value_end": 141, "property_numeric_value": 1.07,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</si>
  <si>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10.1039/c2ta00325b</t>
  </si>
  <si>
    <t xml:space="preserve">{"power conversion efficiency": {"entity_name": "power conversion efficiency", "entity_start": 96, "entity_end": 98, "property_value_start": 117, "property_value_end": 118, "property_numeric_value": 6.57,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</si>
  <si>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10.1039/c7ta01467h</t>
  </si>
  <si>
    <t xml:space="preserve">{"power conversion efficiency": {"entity_name": "PCE", "entity_start": 283, "entity_end": 283, "property_value_start": 287, "property_value_end": 288, "property_numeric_value": 7.3, "property_unit": "%", "property_value_descriptor": ""}, "open circuit voltage": {"entity_name": "V_{oc}", "entity_start": 291, "entity_end": 292, "property_value_start": 294, "property_value_end": 295, "property_numeric_value": 0.81, "property_unit": "V", "property_value_descriptor": ""}, "short circuit current": {"entity_name": "J_{sc}", "entity_start": 298, "entity_end": 299, "property_value_start": 301, "property_value_end": 304, "property_numeric_value": 13.86, "property_unit": "mA cm^{-2}", "property_value_descriptor": ""}, "fill factor": {"entity_name": "FF", "entity_start": 307, "entity_end": 307, "property_value_start": 309, "property_value_end": 310, "property_numeric_value": 65.0,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</si>
  <si>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10.1039/c2ta00695b</t>
  </si>
  <si>
    <t xml:space="preserve">{"power conversion efficiency": {"entity_name": "PCE", "entity_start": 243, "entity_end": 243, "property_value_start": 245, "property_value_end": 246, "property_numeric_value": 1.4, "property_unit": "%", "property_value_descriptor": ""}, "open circuit voltage": {"entity_name": "V_{oc}", "entity_start": 220, "entity_end": 221, "property_value_start": 223, "property_value_end": 224, "property_numeric_value": 0.56, "property_unit": "V", "property_value_descriptor": ""}, "short circuit current": {"entity_name": "J_{sc}", "entity_start": 227, "entity_end": 228, "property_value_start": 230, "property_value_end": 233, "property_numeric_value": -8.18, "property_unit": "mA cm^{-2}", "property_value_descriptor": ""}, "fill factor": {"entity_name": "FF", "entity_start": 236, "entity_end": 236, "property_value_start": 238, "property_value_end": 239, "property_numeric_value": 30.7, "property_unit": "%", "property_value_descriptor": ""}, "highest occupied molecular orbital": {}, "lowest unoccupied molecular orbital": {}, "bandgap": {"entity_name": "bandgap", "entity_start": 116, "entity_end": 116, "property_value_start": 120, "property_value_end": 121, "property_numeric_value": 1.66, "property_unit": "eV", "property_value_descriptor": ""}, "hole mobility": {}, "electron mobility": {}, "external quantum efficiency": {}}</t>
  </si>
  <si>
    <t xml:space="preserve">10.1039/c2ta01061e</t>
  </si>
  <si>
    <t xml:space="preserve">['- C61 butyric acid methyl ester', 'P3HT']</t>
  </si>
  <si>
    <t xml:space="preserve">{"power conversion efficiency": {"entity_name": "power conversion efficiency", "entity_start": 206, "entity_end": 208, "property_value_start": 214, "property_value_end": 215,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</si>
  <si>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10.1039/c7ta02582c</t>
  </si>
  <si>
    <t xml:space="preserve">Fused-TriPDI</t>
  </si>
  <si>
    <t xml:space="preserve">['Fused-TriPDI']</t>
  </si>
  <si>
    <t xml:space="preserve">{"power conversion efficiency": {"entity_name": "power conversion efficiency", "entity_start": 149, "entity_end": 151, "property_value_start": 153, "property_value_end": 154, "property_numeric_value": 6.19,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</si>
  <si>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10.1039/c7ta02723k</t>
  </si>
  <si>
    <t xml:space="preserve">PDT2FBT-ID</t>
  </si>
  <si>
    <t xml:space="preserve">['PDT2FBT-ID']</t>
  </si>
  <si>
    <t xml:space="preserve">{"power conversion efficiency": {"entity_name": "PCE", "entity_start": 86, "entity_end": 86, "property_value_start": 88, "property_value_end": 89, "property_numeric_value": 11.1, "property_unit": "%", "property_value_descriptor": ""}, "open circuit voltage": {}, "short circuit current": {"entity_name": "J_{sc}", "entity_start": 70, "entity_end": 71, "property_value_start": 80, "property_value_end": 82, "property_numeric_value": 18.92, "property_unit": "mA cm^{-2}", "property_value_descriptor": ""}, "fill factor": {"entity_name": "FF", "entity_start": 55, "entity_end": 55, "property_value_start": 66, "property_value_end": 67, "property_numeric_value": 76.14,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</si>
  <si>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10.1039/c5ta05117g</t>
  </si>
  <si>
    <t xml:space="preserve">{"power conversion efficiency": {"entity_name": "PCE", "entity_start": 87, "entity_end": 87, "property_value_start": 94, "property_value_end": 95, "property_numeric_value": 8.69,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</si>
  <si>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10.1039/c7ta04703g</t>
  </si>
  <si>
    <t xml:space="preserve">DCI-2</t>
  </si>
  <si>
    <t xml:space="preserve">['DCI-2', 'DCI-2-based']</t>
  </si>
  <si>
    <t xml:space="preserve">DCI-2; 1-butyl-4-methyl-2,6-dioxopyridine-3-carbonitrile</t>
  </si>
  <si>
    <t xml:space="preserve">{"power conversion efficiency": {"entity_name": "power conversion efficiency", "entity_start": 149, "entity_end": 151, "property_value_start": 153, "property_value_end": 154, "property_numeric_value": 6.94, "property_unit": "%", "property_value_descriptor": ""}, "open circuit voltage": {}, "short circuit current": {}, "fill factor": {}, "highest occupied molecular orbital": {}, "lowest unoccupied molecular orbital": {}, "bandgap": {"entity_name": "optical energy gap", "entity_start": 116, "entity_end": 118, "property_value_start": 120, "property_value_end": 121, "property_numeric_value": 1.23, "property_unit": "eV", "property_value_descriptor": ""}, "hole mobility": {}, "electron mobility": {}, "external quantum efficiency": {}}</t>
  </si>
  <si>
    <t xml:space="preserve">dithieno[3,2-b:2',3'-d]pyrrole</t>
  </si>
  <si>
    <t xml:space="preserve">{"power conversion efficiency": {"entity_name": "PCE", "entity_start": 165, "entity_end": 165, "property_value_start": 167, "property_value_end": 168, "property_numeric_value": 4.89, "property_unit": "%", "property_value_descriptor": ""}, "open circuit voltage": {"entity_name": "V_{OC}", "entity_start": 181, "entity_end": 183, "property_value_start": 185, "property_value_end": 186, "property_numeric_value": 0.8, "property_unit": "V", "property_value_descriptor": "~"}, "short circuit current": {}, "fill factor": {}, "highest occupied molecular orbital": {}, "lowest unoccupied molecular orbital": {}, "bandgap": {}, "hole mobility": {}, "electron mobility": {}, "external quantum efficiency": {"entity_name": "external quantum efficiencies", "entity_start": 212, "entity_end": 214, "property_value_start": 216, "property_value_end": 217, "property_numeric_value": 69.0, "property_unit": "%", "property_value_descriptor": ""}}</t>
  </si>
  <si>
    <t xml:space="preserve">10.1039/c3ta10231a</t>
  </si>
  <si>
    <t xml:space="preserve">['-', 'Bis-TOQMF']</t>
  </si>
  <si>
    <t xml:space="preserve">{"power conversion efficiency": {"entity_name": "PCE", "entity_start": 95, "entity_end": 95, "property_value_start": 97, "property_value_end": 98, "property_numeric_value": 4.56, "property_unit": "%", "property_value_descriptor": ""}, "open circuit voltage": {}, "short circuit current": {}, "fill factor": {}, "highest occupied molecular orbital": {}, "lowest unoccupied molecular orbital": {"entity_name": "LUMO level", "entity_start": 49, "entity_end": 50, "property_value_start": 52, "property_value_end": 53, "property_numeric_value": -3.4, "property_unit": "eV", "property_value_descriptor": ""}, "bandgap": {}, "hole mobility": {}, "electron mobility": {}, "external quantum efficiency": {}}</t>
  </si>
  <si>
    <t xml:space="preserve">{"power conversion efficiency": {}, "open circuit voltage": {"entity_name": "V_{oc}", "entity_start": 162, "entity_end": 163, "property_value_start": 165, "property_value_end": 166, "property_numeric_value": 0.96, "property_unit": "V", "property_value_descriptor": ""}, "short circuit current": {"entity_name": "J_{sc}", "entity_start": 171, "entity_end": 172, "property_value_start": 174, "property_value_end": 177, "property_numeric_value": 2.85, "property_unit": "mA cm^{-2}", "property_value_descriptor": ""}, "fill factor": {"entity_name": "FF", "entity_start": 180, "entity_end": 180, "property_value_start": 182, "property_value_end": 183, "property_numeric_value": 35.0,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</si>
  <si>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10.1039/c3ta10512a</t>
  </si>
  <si>
    <t xml:space="preserve">PQCTQx</t>
  </si>
  <si>
    <t xml:space="preserve">['PQCTQx']</t>
  </si>
  <si>
    <t xml:space="preserve">{"power conversion efficiency": {"entity_name": "PCE", "entity_start": 214, "entity_end": 214, "property_value_start": 229, "property_value_end": 230, "property_numeric_value": 3.6, "property_unit": "%", "property_value_descriptor": ""}, "open circuit voltage": {"entity_name": "V_{OC}", "entity_start": 191, "entity_end": 192, "property_value_start": 217, "property_value_end": 218, "property_numeric_value": 0.85, "property_unit": "V", "property_value_descriptor": ""}, "short circuit current": {"entity_name": "J_{SC}", "entity_start": 200, "entity_end": 201, "property_value_start": 220, "property_value_end": 223, "property_numeric_value": 7.6, "property_unit": "mA cm^{-2}", "property_value_descriptor": ""}, "fill factor": {"entity_name": "FF", "entity_start": 207, "entity_end": 207, "property_value_start": 225, "property_value_end": 226, "property_numeric_value": 54.9, "property_unit": "%", "property_value_descriptor": ""}, "highest occupied molecular orbital": {}, "lowest unoccupied molecular orbital": {}, "bandgap": {"entity_name": "optical band gap energy", "entity_start": 58, "entity_end": 61, "property_value_start": 63, "property_value_end": 66, "property_numeric_value": 1.895, "property_unit": "eV", "property_value_descriptor": "-"}, "hole mobility": {}, "electron mobility": {}, "external quantum efficiency": {}}</t>
  </si>
  <si>
    <t xml:space="preserve">10.1039/c7ta06939a</t>
  </si>
  <si>
    <t xml:space="preserve">{"power conversion efficiency": {"entity_name": "power conversion efficiency", "entity_start": 54, "entity_end": 56, "property_value_start": 64, "property_value_end": 65, "property_numeric_value": 6.8,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</si>
  <si>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10.1039/c3ta11698k</t>
  </si>
  <si>
    <t xml:space="preserve">['BDT']</t>
  </si>
  <si>
    <t xml:space="preserve">{"power conversion efficiency": {"entity_name": "PCE", "entity_start": 164, "entity_end": 164, "property_value_start": 166, "property_value_end": 167,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</si>
  <si>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10.1039/c3ta12425h</t>
  </si>
  <si>
    <t xml:space="preserve">cadmiu</t>
  </si>
  <si>
    <t xml:space="preserve">['cadmiu']</t>
  </si>
  <si>
    <t xml:space="preserve">{"power conversion efficiency": {"entity_name": "PCE", "entity_start": 113, "entity_end": 113, "property_value_start": 143, "property_value_end": 144, "property_numeric_value": 0.43,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</si>
  <si>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10.1039/c7ta09233d</t>
  </si>
  <si>
    <t xml:space="preserve">{"power conversion efficiency": {"entity_name": "power conversion efficiency", "entity_start": 77, "entity_end": 79, "property_value_start": 84, "property_value_end": 85, "property_numeric_value": 10.55,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</si>
  <si>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10.1039/c7ta09736k</t>
  </si>
  <si>
    <t xml:space="preserve">asy</t>
  </si>
  <si>
    <t xml:space="preserve">{"power conversion efficiency": {"entity_name": "PCE", "entity_start": 133, "entity_end": 133, "property_value_start": 145, "property_value_end": 146, "property_numeric_value": 6.7, "property_unit": "%", "property_value_descriptor": ""}, "open circuit voltage": {"entity_name": "V_{OC}", "entity_start": 162, "entity_end": 163, "property_value_start": 166, "property_value_end": 167, "property_numeric_value": 0.838,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</si>
  <si>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DTffBT</t>
  </si>
  <si>
    <t xml:space="preserve">{"power conversion efficiency": {"entity_name": "PCE", "entity_start": 150, "entity_end": 150, "property_value_start": 153, "property_value_end": 154, "property_numeric_value": 8.45, "property_unit": "%", "property_value_descriptor": ""}, "open circuit voltage": {"entity_name": "V_{OC}", "entity_start": 294, "entity_end": 295, "property_value_start": 297, "property_value_end": 298, "property_numeric_value": 0.873, "property_unit": "V", "property_value_descriptor": ""}, "short circuit current": {"entity_name": "J_{SC}", "entity_start": 300, "entity_end": 301, "property_value_start": 303, "property_value_end": 306, "property_numeric_value": 17.6, "property_unit": "mA cm^{-2}", "property_value_descriptor": ""}, "fill factor": {"entity_name": "FF", "entity_start": 308, "entity_end": 308, "property_value_start": 310, "property_value_end": 311, "property_numeric_value": 65.37,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</si>
  <si>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10.1039/c3ta13747c</t>
  </si>
  <si>
    <t xml:space="preserve">S(TPA-BBT)</t>
  </si>
  <si>
    <t xml:space="preserve">['S(TPA-BBT)']</t>
  </si>
  <si>
    <t xml:space="preserve">{"power conversion efficiency": {"entity_name": "power conversion efficiencies", "entity_start": 141, "entity_end": 143, "property_value_start": 146, "property_value_end": 147, "property_numeric_value": 0.81, "property_unit": "%", "property_value_descriptor": ""}, "open circuit voltage": {}, "short circuit current": {}, "fill factor": {}, "highest occupied molecular orbital": {}, "lowest unoccupied molecular orbital": {"entity_name": "LUMO energies", "entity_start": 91, "entity_end": 92, "property_value_start": 97, "property_value_end": 100, "property_numeric_value": -4.29, "property_unit": "eV", "property_value_descriptor": "and"}, "bandgap": {}, "hole mobility": {}, "electron mobility": {}, "external quantum efficiency": {}}</t>
  </si>
  <si>
    <t xml:space="preserve">10.1039/c3ta12967e</t>
  </si>
  <si>
    <t xml:space="preserve">{"power conversion efficiency": {"entity_name": "PCE", "entity_start": 109, "entity_end": 109, "property_value_start": 146, "property_value_end": 147, "property_numeric_value": 3.45, "property_unit": "%", "property_value_descriptor": ""}, "open circuit voltage": {}, "short circuit current": {}, "fill factor": {}, "highest occupied molecular orbital": {}, "lowest unoccupied molecular orbital": {}, "bandgap": {"entity_name": "optical band gaps", "entity_start": 52, "entity_end": 54, "property_value_start": 59, "property_value_end": 60, "property_numeric_value": 1.16, "property_unit": "eV", "property_value_descriptor": ""}, "hole mobility": {}, "electron mobility": {}, "external quantum efficiency": {}}</t>
  </si>
  <si>
    <t xml:space="preserve">{"power conversion efficiency": {"entity_name": "PCE", "entity_start": 205, "entity_end": 205, "property_value_start": 215, "property_value_end": 216, "property_numeric_value": 1.58,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</si>
  <si>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10.1039/c3ta14022a</t>
  </si>
  <si>
    <t xml:space="preserve">PTTDPSe</t>
  </si>
  <si>
    <t xml:space="preserve">['PTTDPSe']</t>
  </si>
  <si>
    <t xml:space="preserve">{"power conversion efficiency": {"entity_name": "PCE", "entity_start": 230, "entity_end": 230, "property_value_start": 233, "property_value_end": 234, "property_numeric_value": 5.68, "property_unit": "%", "property_value_descriptor": ""}, "open circuit voltage": {}, "short circuit current": {"entity_name": "J_{sc}", "entity_start": 243, "entity_end": 244, "property_value_start": 247, "property_value_end": 249, "property_numeric_value": 15.62, "property_unit": "mA cm^{-2}", "property_value_descriptor": ""}, "fill factor": {}, "highest occupied molecular orbital": {}, "lowest unoccupied molecular orbital": {}, "bandgap": {}, "hole mobility": {"entity_name": "hole mobility", "entity_start": 155, "entity_end": 156, "property_value_start": 158, "property_value_end": 166, "property_numeric_value": 0.0007900000000000001, "property_unit": "cm^{2} V^{-1} s^{-1}", "property_value_descriptor": ""}, "electron mobility": {}, "external quantum efficiency": {}}</t>
  </si>
  <si>
    <t xml:space="preserve">10.1039/c3ta13686h</t>
  </si>
  <si>
    <t xml:space="preserve">5,6-difluorobenzo[c][1,2,5]thiadiazole</t>
  </si>
  <si>
    <t xml:space="preserve">{"power conversion efficiency": {"entity_name": "PCE", "entity_start": 128, "entity_end": 128, "property_value_start": 130, "property_value_end": 131, "property_numeric_value": 3.52,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</si>
  <si>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10.1039/c8ta00147b</t>
  </si>
  <si>
    <t xml:space="preserve">["poly[4,8-bis(5-(2-ethylhexyl)thiophen-2-yl)benzo[1,2-b:4,5-b']dithiophene-co-3-fluorothieno[3,4-b]thiophene-2-carboxylate]", 'PTB7-Th']</t>
  </si>
  <si>
    <t xml:space="preserve">{"power conversion efficiency": {"entity_name": "PCE", "entity_start": 115, "entity_end": 115, "property_value_start": 136, "property_value_end": 137, "property_numeric_value": 10.02,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</si>
  <si>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10.1039/c3ta15291j</t>
  </si>
  <si>
    <t xml:space="preserve">PBDT-IBTI</t>
  </si>
  <si>
    <t xml:space="preserve">['PBDT-IBTI']</t>
  </si>
  <si>
    <t xml:space="preserve">{"power conversion efficiency": {"entity_name": "PCE", "entity_start": 130, "entity_end": 130, "property_value_start": 132, "property_value_end": 133, "property_numeric_value": 6.41,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</si>
  <si>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10.1039/c9ta06719a</t>
  </si>
  <si>
    <t xml:space="preserve">PnTIF</t>
  </si>
  <si>
    <t xml:space="preserve">['PnTIF', 'P2TIF', 'P4TIF', 'P6TIF']</t>
  </si>
  <si>
    <t xml:space="preserve">{"power conversion efficiency": {}, "open circuit voltage": {}, "short circuit current": {"entity_name": "short-circuit current density", "entity_start": 135, "entity_end": 139, "property_value_start": 141, "property_value_end": 144, "property_numeric_value": 22.0, "property_unit": "mA cm^{-2}", "property_value_descriptor": "~"}, "fill factor": {"entity_name": "fill factor", "entity_start": 148, "entity_end": 149, "property_value_start": 151, "property_value_end": 152, "property_numeric_value": 61.0, "property_unit": "%", "property_value_descriptor": "~"}, "highest occupied molecular orbital": {}, "lowest unoccupied molecular orbital": {}, "bandgap": {}, "hole mobility": {}, "electron mobility": {}, "external quantum efficiency": {}}</t>
  </si>
  <si>
    <t xml:space="preserve">P4TIF</t>
  </si>
  <si>
    <t xml:space="preserve">{"power conversion efficiency": {"entity_name": "power conversion efficiency", "entity_start": 166, "entity_end": 168, "property_value_start": 170, "property_value_end": 171, "property_numeric_value": 10.7,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</si>
  <si>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10.1039/c6ta01450j</t>
  </si>
  <si>
    <t xml:space="preserve">poly(benzo[1,2-b:4,5-b']dithiophene-alt-thieno[3,4-c]pyrrole-4,6-dione)</t>
  </si>
  <si>
    <t xml:space="preserve">["poly(benzo[1,2-b:4,5-b']dithiophene-alt-thieno[3,4-c]pyrrole-4,6-dione)"]</t>
  </si>
  <si>
    <t xml:space="preserve">{"power conversion efficiency": {"entity_name": "PCE", "entity_start": 208, "entity_end": 208, "property_value_start": 211, "property_value_end": 212, "property_numeric_value": 6.06,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</si>
  <si>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10.1039/c4ta05062b</t>
  </si>
  <si>
    <t xml:space="preserve">PBDTQEH</t>
  </si>
  <si>
    <t xml:space="preserve">[*]c9ccc(c7c(F)c(F)c(c4ccc(c3cc2c(OC(CC)CCCCC)c1sc([*])cc1c(OC(CC)CCCCC)c2s3)s4)c8nc(c5cccc(OC(CC)CCCCC)c5)c(c6cccc(OC(CC)CCCCC)c6)nc78)s9</t>
  </si>
  <si>
    <t xml:space="preserve">['PBDTQEH']</t>
  </si>
  <si>
    <t xml:space="preserve">{"power conversion efficiency": {"entity_name": "PCE", "entity_start": 193, "entity_end": 193, "property_value_start": 195, "property_value_end": 196, "property_numeric_value": 6.36, "property_unit": "%", "property_value_descriptor": ""}, "open circuit voltage": {"entity_name": "V_{oc}", "entity_start": 199, "entity_end": 200, "property_value_start": 202, "property_value_end": 203, "property_numeric_value": 0.78, "property_unit": "V", "property_value_descriptor": ""}, "short circuit current": {"entity_name": "J_{sc}", "entity_start": 212, "entity_end": 213, "property_value_start": 216, "property_value_end": 219, "property_numeric_value": 12.72, "property_unit": "mA cm^{-2}", "property_value_descriptor": ""}, "fill factor": {"entity_name": "FF", "entity_start": 227, "entity_end": 227, "property_value_start": 230, "property_value_end": 231, "property_numeric_value": 64.3,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</si>
  <si>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10.1039/c4ta06350c</t>
  </si>
  <si>
    <t xml:space="preserve">BDTPF</t>
  </si>
  <si>
    <t xml:space="preserve">['BDTPF']</t>
  </si>
  <si>
    <t xml:space="preserve">{"power conversion efficiency": {"entity_name": "PCE", "entity_start": 114, "entity_end": 114, "property_value_start": 117, "property_value_end": 118, "property_numeric_value": 7.02,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</si>
  <si>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10.1039/c5ta00936g</t>
  </si>
  <si>
    <t xml:space="preserve">benzo[1,2-b:4,5-b']difuran</t>
  </si>
  <si>
    <t xml:space="preserve">{"power conversion efficiency": {"entity_name": "power conversion efficiency", "entity_start": 83, "entity_end": 85, "property_value_start": 87, "property_value_end": 88, "property_numeric_value": 5.23,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</si>
  <si>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10.1039/c5ta01224d</t>
  </si>
  <si>
    <t xml:space="preserve">{"power conversion efficiency": {"entity_name": "power conversion efficiency", "entity_start": 1, "entity_end": 3, "property_value_start": 12, "property_value_end": 13,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</si>
  <si>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10.1039/c5ta02589c</t>
  </si>
  <si>
    <t xml:space="preserve">PnTP; PDI</t>
  </si>
  <si>
    <t xml:space="preserve">{"power conversion efficiency": {"entity_name": "power conversion efficiencies", "entity_start": 140, "entity_end": 142, "property_value_start": 144, "property_value_end": 147, "property_numeric_value": 2.185, "property_unit": "%", "property_value_descriptor": "-"}, "open circuit voltage": {}, "short circuit current": {}, "fill factor": {}, "highest occupied molecular orbital": {"entity_name": "HOMO", "entity_start": 102, "entity_end": 102, "property_value_start": 104, "property_value_end": 107, "property_numeric_value": -5.675000000000001, "property_unit": "eV", "property_value_descriptor": "to"}, "lowest unoccupied molecular orbital": {"entity_name": "LUMO", "entity_start": 110, "entity_end": 110, "property_value_start": 112, "property_value_end": 115, "property_numeric_value": -3.7800000000000002, "property_unit": "eV", "property_value_descriptor": "to"}, "bandgap": {}, "hole mobility": {}, "electron mobility": {}, "external quantum efficiency": {}}</t>
  </si>
  <si>
    <t xml:space="preserve">10.1039/c5ta01004g</t>
  </si>
  <si>
    <t xml:space="preserve">EDPP</t>
  </si>
  <si>
    <t xml:space="preserve">['EDPP']</t>
  </si>
  <si>
    <t xml:space="preserve">{"power conversion efficiency": {"entity_name": "power conversion efficiency", "entity_start": 218, "entity_end": 220, "property_value_start": 222, "property_value_end": 223, "property_numeric_value": 1.98, "property_unit": "%", "property_value_descriptor": ""}, "open circuit voltage": {"entity_name": "open-circuit voltage", "entity_start": 199, "entity_end": 202, "property_value_start": 204, "property_value_end": 205, "property_numeric_value": 0.88,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</si>
  <si>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10.1039/c5ta01523e</t>
  </si>
  <si>
    <t xml:space="preserve">{"power conversion efficiency": {"entity_name": "power conversion efficiency", "entity_start": 123, "entity_end": 125, "property_value_start": 128, "property_value_end": 129, "property_numeric_value": 5.26, "property_unit": "%", "property_value_descriptor": ""}, "open circuit voltage": {}, "short circuit current": {}, "fill factor": {}, "highest occupied molecular orbital": {}, "lowest unoccupied molecular orbital": {"entity_name": "LUMO energy levels", "entity_start": 84, "entity_end": 86, "property_value_start": 91, "property_value_end": 94, "property_numeric_value": -4.470000000000001, "property_unit": "eV", "property_value_descriptor": "and"}, "bandgap": {}, "hole mobility": {}, "electron mobility": {}, "external quantum efficiency": {}}</t>
  </si>
  <si>
    <t xml:space="preserve">10.1039/c5ta03801d</t>
  </si>
  <si>
    <t xml:space="preserve">{"power conversion efficiency": {"entity_name": "power conversion efficiency", "entity_start": 213, "entity_end": 215, "property_value_start": 217, "property_value_end": 218, "property_numeric_value": 4.2,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</si>
  <si>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10.1039/c5ta05014f</t>
  </si>
  <si>
    <t xml:space="preserve">{"power conversion efficiency": {"entity_name": "PCE", "entity_start": 169, "entity_end": 169, "property_value_start": 201, "property_value_end": 202, "property_numeric_value": 2.75, "property_unit": "%", "property_value_descriptor": ""}, "open circuit voltage": {"entity_name": "V_{oc}", "entity_start": 154, "entity_end": 155, "property_value_start": 157, "property_value_end": 158, "property_numeric_value": 0.8, "property_unit": "V", "property_value_descriptor": ""}, "short circuit current": {"entity_name": "J_{sc}", "entity_start": 146, "entity_end": 147, "property_value_start": 149, "property_value_end": 152, "property_numeric_value": 11.51, "property_unit": "mA cm^{-2}", "property_value_descriptor": ""}, "fill factor": {"entity_name": "FF", "entity_start": 161, "entity_end": 161, "property_value_start": 163, "property_value_end": 164, "property_numeric_value": 51.1, "property_unit": "%", "property_value_descriptor": ""}, "highest occupied molecular orbital": {}, "lowest unoccupied molecular orbital": {"entity_name": "LUMO level", "entity_start": 85, "entity_end": 86, "property_value_start": 88, "property_value_end": 89, "property_numeric_value": -3.89, "property_unit": "eV", "property_value_descriptor": ""}, "bandgap": {"entity_name": "E_{g}", "entity_start": 76, "entity_end": 78, "property_value_start": 80, "property_value_end": 81, "property_numeric_value": 1.64, "property_unit": "eV", "property_value_descriptor": ""}, "hole mobility": {}, "electron mobility": {}, "external quantum efficiency": {}}</t>
  </si>
  <si>
    <t xml:space="preserve">10.1039/c5ta05352h</t>
  </si>
  <si>
    <t xml:space="preserve">poly[2,2'-bithiophene-alt-7-fluoro-N,N'-bis(2-octyldodecyl)isoindigo]</t>
  </si>
  <si>
    <t xml:space="preserve">["poly[2,2'-bithiophene-alt-7-fluoro-N,N'-bis(2-octyldodecyl)isoindigo]", 'P(1FIID-BT)']</t>
  </si>
  <si>
    <t xml:space="preserve">{"power conversion efficiency": {"entity_name": "PCE", "entity_start": 222, "entity_end": 222, "property_value_start": 224, "property_value_end": 225, "property_numeric_value": 7.46, "property_unit": "%", "property_value_descriptor": ""}, "open circuit voltage": {"entity_name": "V_{OC}", "entity_start": 199, "entity_end": 200, "property_value_start": 202, "property_value_end": 203, "property_numeric_value": 0.89, "property_unit": "V", "property_value_descriptor": ""}, "short circuit current": {"entity_name": "J_{SC}", "entity_start": 206, "entity_end": 207, "property_value_start": 209, "property_value_end": 212, "property_numeric_value": 14.5, "property_unit": "mA cm^{-2}", "property_value_descriptor": ""}, "fill factor": {"entity_name": "FF", "entity_start": 215, "entity_end": 215, "property_value_start": 217, "property_value_end": 217, "property_numeric_value": 57.99999999999999, "property_unit": "%", "property_value_descriptor": ""}, "highest occupied molecular orbital": {}, "lowest unoccupied molecular orbital": {}, "bandgap": {"entity_name": "optical bandgap", "entity_start": 47, "entity_end": 48, "property_value_start": 50, "property_value_end": 51, "property_numeric_value": 1.61, "property_unit": "eV", "property_value_descriptor": ""}, "hole mobility": {}, "electron mobility": {}, "external quantum efficiency": {}}</t>
  </si>
  <si>
    <t xml:space="preserve">10.1039/c5ta05885f</t>
  </si>
  <si>
    <t xml:space="preserve">BTIDG</t>
  </si>
  <si>
    <t xml:space="preserve">{"power conversion efficiency": {}, "open circuit voltage": {}, "short circuit current": {}, "fill factor": {}, "highest occupied molecular orbital": {"entity_name": "highest occupied molecular orbital", "entity_start": 114, "entity_end": 117, "property_value_start": 119, "property_value_end": 122, "property_numeric_value": -5.425, "property_unit": "eV", "property_value_descriptor": "to"}, "lowest unoccupied molecular orbital": {}, "bandgap": {"entity_name": "optical band gaps", "entity_start": 103, "entity_end": 105, "property_value_start": 107, "property_value_end": 110, "property_numeric_value": 1.4649999999999999, "property_unit": "eV", "property_value_descriptor": "-"}, "hole mobility": {}, "electron mobility": {}, "external quantum efficiency": {}}</t>
  </si>
  <si>
    <t xml:space="preserve">10.1039/c5ta06612c</t>
  </si>
  <si>
    <t xml:space="preserve">PSe-PDI</t>
  </si>
  <si>
    <t xml:space="preserve">['PSe-PDI']</t>
  </si>
  <si>
    <t xml:space="preserve">{"power conversion efficiency": {"entity_name": "PCE", "entity_start": 150, "entity_end": 150, "property_value_start": 155, "property_value_end": 156, "property_numeric_value": 3.01, "property_unit": "%", "property_value_descriptor": ""}, "open circuit voltage": {"entity_name": "V_{OC}", "entity_start": 159, "entity_end": 160, "property_value_start": 162, "property_value_end": 163, "property_numeric_value": 0.68, "property_unit": "V", "property_value_descriptor": ""}, "short circuit current": {"entity_name": "J_{SC}", "entity_start": 165, "entity_end": 166, "property_value_start": 168, "property_value_end": 171, "property_numeric_value": 7.59, "property_unit": "mA cm^{-2}", "property_value_descriptor": ""}, "fill factor": {"entity_name": "FF", "entity_start": 174, "entity_end": 174, "property_value_start": 176, "property_value_end": 176, "property_numeric_value": 57.99999999999999,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</si>
  <si>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10.1039/c5ta07432k</t>
  </si>
  <si>
    <t xml:space="preserve">['DTffBT', 'PTOBDTDTffBT', 'PBDTDTffBT']</t>
  </si>
  <si>
    <t xml:space="preserve">{"power conversion efficiency": {"entity_name": "power conversion efficiency", "entity_start": 372, "entity_end": 374, "property_value_start": 376, "property_value_end": 377, "property_numeric_value": 7.68, "property_unit": "%", "property_value_descriptor": ""}, "open circuit voltage": {}, "short circuit current": {}, "fill factor": {}, "highest occupied molecular orbital": {}, "lowest unoccupied molecular orbital": {}, "bandgap": {"entity_name": "bandgap", "entity_start": 195, "entity_end": 195, "property_value_start": 197, "property_value_end": 198, "property_numeric_value": 1.71, "property_unit": "eV", "property_value_descriptor": ""}, "hole mobility": {}, "electron mobility": {}, "external quantum efficiency": {}}</t>
  </si>
  <si>
    <t xml:space="preserve">{"power conversion efficiency": {"entity_name": "power conversion efficiency", "entity_start": 255, "entity_end": 257, "property_value_start": 259, "property_value_end": 260, "property_numeric_value": 6.6,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</si>
  <si>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10.1039/c5ta08932h</t>
  </si>
  <si>
    <t xml:space="preserve">{"power conversion efficiency": {"entity_name": "PCE", "entity_start": 255, "entity_end": 255, "property_value_start": 257, "property_value_end": 258, "property_numeric_value": 2.1,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</si>
  <si>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10.1039/c8ta05207g</t>
  </si>
  <si>
    <t xml:space="preserve">PBT-SF</t>
  </si>
  <si>
    <t xml:space="preserve">['PBT-SF']</t>
  </si>
  <si>
    <t xml:space="preserve">PBT-F</t>
  </si>
  <si>
    <t xml:space="preserve">CCCCCCCCOc8c(OCCCCCCCC)c(c6ccc(c5cc4c(c1cc(F)c(CC(CC)CCCC)s1)c2sc([*])cc2c(c3cc(F)c(CC(CC)CCCC)s3)c4s5)s6)c7nsnc7c8c9ccc([*])s9</t>
  </si>
  <si>
    <t xml:space="preserve">['PBT-F']</t>
  </si>
  <si>
    <t xml:space="preserve">{"power conversion efficiency": {"entity_name": "PCE", "entity_start": 184, "entity_end": 184, "property_value_start": 186, "property_value_end": 187, "property_numeric_value": 7.76, "property_unit": "%", "property_value_descriptor": ""}, "open circuit voltage": {}, "short circuit current": {"entity_name": "J_{sc}", "entity_start": 200, "entity_end": 201, "property_value_start": 203, "property_value_end": 205, "property_numeric_value": 17.48,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</si>
  <si>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10.1039/c9ta06476a</t>
  </si>
  <si>
    <t xml:space="preserve">PBT1-C</t>
  </si>
  <si>
    <t xml:space="preserve">[*]c%10ccc(c8sc(c6ccc(c5cc4c(c1ccc(CC(CCCC)CCCCCC)cc1)c2sc([*])cc2c(c3ccc(CC(CCCC)CCCCCC)cc3)c4s5)s6)c9c(=O)c7c(CC(CC)CCCC)sc(CC(CC)CCCC)c7c(=O)c89)s%10</t>
  </si>
  <si>
    <t xml:space="preserve">['PBT1-C']</t>
  </si>
  <si>
    <t xml:space="preserve">TTPT-T-2F</t>
  </si>
  <si>
    <t xml:space="preserve">['TTPT-T-2F', 'T-TPT-T-2F']</t>
  </si>
  <si>
    <t xml:space="preserve">{"power conversion efficiency": {"entity_name": "PCE", "entity_start": 184, "entity_end": 184, "property_value_start": 186, "property_value_end": 187, "property_numeric_value": 10.71,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</si>
  <si>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10.1039/c8ta11322j</t>
  </si>
  <si>
    <t xml:space="preserve">poly(3-hexyl-thiophene)</t>
  </si>
  <si>
    <t xml:space="preserve">['poly(3-hexyl-thiophene)', 'P3HT']</t>
  </si>
  <si>
    <t xml:space="preserve">{"power conversion efficiency": {"entity_name": "power conversion efficiencies", "entity_start": 14, "entity_end": 16, "property_value_start": 18, "property_value_end": 19, "property_numeric_value": 15.0,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</si>
  <si>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10.1039/c6ta06258j</t>
  </si>
  <si>
    <t xml:space="preserve">{"power conversion efficiency": {"entity_name": "PCE", "entity_start": 288, "entity_end": 288, "property_value_start": 290, "property_value_end": 291, "property_numeric_value": 9.7,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</si>
  <si>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10.1039/c4ta02276a</t>
  </si>
  <si>
    <t xml:space="preserve">{"power conversion efficiency": {"entity_name": "PCE", "entity_start": 257, "entity_end": 257, "property_value_start": 259, "property_value_end": 260, "property_numeric_value": 6.5,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</si>
  <si>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273, "entity_end": 273, "property_value_start": 275, "property_value_end": 276, "property_numeric_value": 6.7,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</si>
  <si>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10.1039/c6ta01766e</t>
  </si>
  <si>
    <t xml:space="preserve">PBDTA-INDI</t>
  </si>
  <si>
    <t xml:space="preserve">[*]c9ccc(C7=CC5C(=CC(c4ccc(c3cc2c(OCC(CC)CCCC)c1sc([*])cc1c(OCC(CC)CCCC)c2s3)s4)C6C(=O)N(CC(CCCCCCCC)CCCCCCCCCC)C(=O)C56)c8c7c(=O)n(CC(CCCCCCCC)CCCCCCCCCC)c8=O)s9</t>
  </si>
  <si>
    <t xml:space="preserve">['PBDTA-INDI']</t>
  </si>
  <si>
    <t xml:space="preserve">{"power conversion efficiency": {"entity_name": "PCEs", "entity_start": 156, "entity_end": 156, "property_value_start": 161, "property_value_end": 162, "property_numeric_value": 4.13, "property_unit": "%", "property_value_descriptor": ""}, "open circuit voltage": {}, "short circuit current": {}, "fill factor": {}, "highest occupied molecular orbital": {}, "lowest unoccupied molecular orbital": {}, "bandgap": {"entity_name": "band-gaps", "entity_start": 49, "entity_end": 51, "property_value_start": 56, "property_value_end": 57, "property_numeric_value": 1.98, "property_unit": "eV", "property_value_descriptor": ""}, "hole mobility": {}, "electron mobility": {}, "external quantum efficiency": {}}</t>
  </si>
  <si>
    <t xml:space="preserve">PBDTT-INDI</t>
  </si>
  <si>
    <t xml:space="preserve">[*]c%11ccc(C9=CC7C(=CC(c6ccc(c5cc4c(c1ccc(CC(CC)CCCC)s1)c2sc([*])cc2c(c3ccc(CC(CC)CCCC)s3)c4s5)s6)C8C(=O)N(CC(CCCCCCCC)CCCCCCCCCC)C(=O)C78)c%10c9c(=O)n(CC(CCCCCCCC)CCCCCCCCCC)c%10=O)s%11</t>
  </si>
  <si>
    <t xml:space="preserve">['PBDTT-INDI']</t>
  </si>
  <si>
    <t xml:space="preserve">{"power conversion efficiency": {"entity_name": "PCEs", "entity_start": 217, "entity_end": 217, "property_value_start": 234, "property_value_end": 235, "property_numeric_value": 6.35,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</si>
  <si>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10.1039/c2ta00474g</t>
  </si>
  <si>
    <t xml:space="preserve">PBDTTDTBO</t>
  </si>
  <si>
    <t xml:space="preserve">['PBDTTDTBO']</t>
  </si>
  <si>
    <t xml:space="preserve">{"power conversion efficiency": {"entity_name": "power conversion efficiency", "entity_start": 185, "entity_end": 187, "property_value_start": 189, "property_value_end": 190, "property_numeric_value": 5.9, "property_unit": "%", "property_value_descriptor": ""}, "open circuit voltage": {"entity_name": "V_{oc}", "entity_start": 199, "entity_end": 200, "property_value_start": 203, "property_value_end": 204, "property_numeric_value": 0.84,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</si>
  <si>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10.1039/c4ta00013g</t>
  </si>
  <si>
    <t xml:space="preserve">PhQEOCz-C_{61}BM</t>
  </si>
  <si>
    <t xml:space="preserve">['PhQEOCz-C_{61}BM', ' PhQEOCz-C_{61}BM']</t>
  </si>
  <si>
    <t xml:space="preserve">{"power conversion efficiency": {"entity_name": "PCE", "entity_start": 209, "entity_end": 209, "property_value_start": 212, "property_value_end": 213, "property_numeric_value": 0.1,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</si>
  <si>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PhQHCz-C_{61}BM</t>
  </si>
  <si>
    <t xml:space="preserve">['PhQHCz-C_{61}BM', ' PhQHCz-C_{61}BM']</t>
  </si>
  <si>
    <t xml:space="preserve">{"power conversion efficiency": {"entity_name": "PCE", "entity_start": 228, "entity_end": 228, "property_value_start": 231, "property_value_end": 232, "property_numeric_value": 2.2,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</si>
  <si>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10.1039/c8ta09350d</t>
  </si>
  <si>
    <t xml:space="preserve">PTN</t>
  </si>
  <si>
    <t xml:space="preserve">['PTN']</t>
  </si>
  <si>
    <t xml:space="preserve">{"power conversion efficiency": {"entity_name": "PCE", "entity_start": 70, "entity_end": 70, "property_value_start": 87, "property_value_end": 88, "property_numeric_value": 8.91,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</si>
  <si>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174, "entity_end": 174, "property_value_start": 183, "property_value_end": 184, "property_numeric_value": 76.0,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</si>
  <si>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10.1039/c5ta00930h</t>
  </si>
  <si>
    <t xml:space="preserve">{"power conversion efficiency": {"entity_name": "PCE", "entity_start": 75, "entity_end": 75, "property_value_start": 78, "property_value_end": 79, "property_numeric_value": 10.15,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</si>
  <si>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10.1039/c6ta02016j</t>
  </si>
  <si>
    <t xml:space="preserve">{"power conversion efficiency": {"entity_name": "PCE", "entity_start": 168, "entity_end": 168, "property_value_start": 170, "property_value_end": 171, "property_numeric_value": 9.55,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</si>
  <si>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168, "entity_end": 168, "property_value_start": 176, "property_value_end": 177, "property_numeric_value": 4.18,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</si>
  <si>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10.1039/c6ta00783j</t>
  </si>
  <si>
    <t xml:space="preserve">{"power conversion efficiency": {"entity_name": "PCE", "entity_start": 113, "entity_end": 113, "property_value_start": 115, "property_value_end": 116, "property_numeric_value": 8.39,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</si>
  <si>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10.1039/c3ta13975a</t>
  </si>
  <si>
    <t xml:space="preserve">{"power conversion efficiency": {"entity_name": "PCE", "entity_start": 259, "entity_end": 259, "property_value_start": 262, "property_value_end": 263, "property_numeric_value": 80.0,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</si>
  <si>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10.1039/c6ta08870h</t>
  </si>
  <si>
    <t xml:space="preserve">['perylene diimide', 'PDI', 'PDI1', 'PDI1-based', 'PDI2', 'PDI2-based', 'PDI4', 'PDI4-based']</t>
  </si>
  <si>
    <t xml:space="preserve">{"power conversion efficiency": {"entity_name": "PCE", "entity_start": 98, "entity_end": 98, "property_value_start": 100, "property_value_end": 101, "property_numeric_value": 6.44,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</si>
  <si>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PDI4</t>
  </si>
  <si>
    <t xml:space="preserve">{"power conversion efficiency": {"entity_name": "PCE", "entity_start": 115, "entity_end": 115, "property_value_start": 117, "property_value_end": 118, "property_numeric_value": 2.48,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</si>
  <si>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10.1039/c9ta14070k</t>
  </si>
  <si>
    <t xml:space="preserve">BDSe-2(BrCl)</t>
  </si>
  <si>
    <t xml:space="preserve">['BDSe-2(BrCl)']</t>
  </si>
  <si>
    <t xml:space="preserve">PM7-based</t>
  </si>
  <si>
    <t xml:space="preserve">['PM7', 'PM7-based']</t>
  </si>
  <si>
    <t xml:space="preserve">{"power conversion efficiency": {"entity_name": "PCE", "entity_start": 215, "entity_end": 215, "property_value_start": 217, "property_value_end": 218, "property_numeric_value": 14.5, "property_unit": "%", "property_value_descriptor": ""}, "open circuit voltage": {}, "short circuit current": {}, "fill factor": {"entity_name": "FF", "entity_start": 222, "entity_end": 222, "property_value_start": 238, "property_value_end": 239, "property_numeric_value": 13.2,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</si>
  <si>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{}, "short circuit current": {}, "fill factor": {"entity_name": "FF", "entity_start": 222, "entity_end": 222, "property_value_start": 224, "property_value_end": 225, "property_numeric_value": 76.5,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</si>
  <si>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10.1039/c9ta04286e</t>
  </si>
  <si>
    <t xml:space="preserve">{"power conversion efficiency": {"entity_name": "PCE", "entity_start": 68, "entity_end": 68, "property_value_start": 72, "property_value_end": 73, "property_numeric_value": 12.28, "property_unit": "%", "property_value_descriptor": ""}, "open circuit voltage": {"entity_name": "V_{OC}", "entity_start": 81, "entity_end": 83, "property_value_start": 85, "property_value_end": 86, "property_numeric_value": 0.928, "property_unit": "V", "property_value_descriptor": ""}, "short circuit current": {}, "fill factor": {"entity_name": "FF", "entity_start": 108, "entity_end": 108, "property_value_start": 139, "property_value_end": 140, "property_numeric_value": 9.2,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</si>
  <si>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{}, "short circuit current": {"entity_name": "J_{SC}", "entity_start": 95, "entity_end": 97, "property_value_start": 99, "property_value_end": 102, "property_numeric_value": 18.7, "property_unit": "mA cm^{-2}", "property_value_descriptor": ""}, "fill factor": {"entity_name": "FF", "entity_start": 108, "entity_end": 108, "property_value_start": 131, "property_value_end": 132, "property_numeric_value": 10.39,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</si>
  <si>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10.1039/c6ta00056h</t>
  </si>
  <si>
    <t xml:space="preserve">poly(3-hexylthiophene); F8-DPPTCN</t>
  </si>
  <si>
    <t xml:space="preserve">{"power conversion efficiency": {"entity_name": "PCE", "entity_start": 120, "entity_end": 120, "property_value_start": 123, "property_value_end": 124, "property_numeric_value": 2.37, "property_unit": "%", "property_value_descriptor": ""}, "open circuit voltage": {"entity_name": "V_{oc}", "entity_start": 134, "entity_end": 135, "property_value_start": 138, "property_value_end": 139, "property_numeric_value": 0.97, "property_unit": "V", "property_value_descriptor": ""}, "short circuit current": {"entity_name": "J_{sc}", "entity_start": 147, "entity_end": 148, "property_value_start": 151, "property_value_end": 154, "property_numeric_value": 6.25, "property_unit": "mA cm^{-2}", "property_value_descriptor": ""}, "fill factor": {"entity_name": "FF", "entity_start": 161, "entity_end": 161, "property_value_start": 164, "property_value_end": 164, "property_numeric_value": 39.0,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</si>
  <si>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10.1039/c5ta02360b</t>
  </si>
  <si>
    <t xml:space="preserve">PHDBDT-T-R</t>
  </si>
  <si>
    <t xml:space="preserve">['PHDBDT-T-R', 'PHDBDT-T-TR']</t>
  </si>
  <si>
    <t xml:space="preserve">{"power conversion efficiency": {"entity_name": "PCE", "entity_start": 172, "entity_end": 172, "property_value_start": 187, "property_value_end": 188, "property_numeric_value": 4.25,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</si>
  <si>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10.1039/c7ta09387j</t>
  </si>
  <si>
    <t xml:space="preserve">['polythiophene', 'P3HT']</t>
  </si>
  <si>
    <t xml:space="preserve">{"power conversion efficiency": {"entity_name": "PCE", "entity_start": 153, "entity_end": 153, "property_value_start": 156, "property_value_end": 157, "property_numeric_value": 4.46, "property_unit": "%", "property_value_descriptor": ""}, "open circuit voltage": {}, "short circuit current": {"entity_name": "J_{SC}", "entity_start": 164, "entity_end": 166, "property_value_start": 168, "property_value_end": 171, "property_numeric_value": 16.15,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</si>
  <si>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10.1039/c9ta11285e</t>
  </si>
  <si>
    <t xml:space="preserve">Y5</t>
  </si>
  <si>
    <t xml:space="preserve">['Y5']</t>
  </si>
  <si>
    <t xml:space="preserve">{"power conversion efficiency": {"entity_name": "power conversion efficiency", "entity_start": 136, "entity_end": 138, "property_value_start": 140, "property_value_end": 141, "property_numeric_value": 15.22,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</si>
  <si>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10.1039/c7ta07830g</t>
  </si>
  <si>
    <t xml:space="preserve">PTFB-P</t>
  </si>
  <si>
    <t xml:space="preserve">['PTFB-M', 'PTFB-P', 'PTFB-P.']</t>
  </si>
  <si>
    <t xml:space="preserve">PTFB-P; PTFB-M</t>
  </si>
  <si>
    <t xml:space="preserve">{"power conversion efficiency": {"entity_name": "PCE", "entity_start": 253, "entity_end": 253, "property_value_start": 256, "property_value_end": 257, "property_numeric_value": 8.4,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</si>
  <si>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10.1039/c7ta02141k</t>
  </si>
  <si>
    <t xml:space="preserve">FTIC-C6C8</t>
  </si>
  <si>
    <t xml:space="preserve">['FTIC-C6C8']</t>
  </si>
  <si>
    <t xml:space="preserve">FTIC-C8C6; FT; FTIC-C6C8</t>
  </si>
  <si>
    <t xml:space="preserve">{"power conversion efficiency": {"entity_name": "power conversion efficiency", "entity_start": 167, "entity_end": 169, "property_value_start": 171, "property_value_end": 172, "property_numeric_value": 11.12,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</si>
  <si>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10.1039/c8ta12109e</t>
  </si>
  <si>
    <t xml:space="preserve">{"power conversion efficiency": {"entity_name": "PCE", "entity_start": 39, "entity_end": 39, "property_value_start": 47, "property_value_end": 48, "property_numeric_value": 17.0,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</si>
  <si>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{}, "short circuit current": {}, "fill factor": {}, "highest occupied molecular orbital": {}, "lowest unoccupied molecular orbital": {}, "bandgap": {}, "hole mobility": {}, "electron mobility": {"entity_name": "electron mobility", "entity_start": 143, "entity_end": 144, "property_value_start": 189, "property_value_end": 198, "property_numeric_value": 0.0002, "property_unit": "cm^{2} V^{-1} s^{-1}", "property_value_descriptor": ""}, "external quantum efficiency": {}}</t>
  </si>
  <si>
    <t xml:space="preserve">10.1039/c8ta10882j</t>
  </si>
  <si>
    <t xml:space="preserve">ethylenedioxythiophene</t>
  </si>
  <si>
    <t xml:space="preserve">['ethylenedioxythiophene', 'EDOT']</t>
  </si>
  <si>
    <t xml:space="preserve">PTB-EDOTS</t>
  </si>
  <si>
    <t xml:space="preserve">['PTB-EDOTS']</t>
  </si>
  <si>
    <t xml:space="preserve">{"power conversion efficiency": {"entity_name": "PCE", "entity_start": 249, "entity_end": 249, "property_value_start": 251, "property_value_end": 252, "property_numeric_value": 12.26, "property_unit": "%", "property_value_descriptor": ""}, "open circuit voltage": {}, "short circuit current": {}, "fill factor": {"entity_name": "FF", "entity_start": 260, "entity_end": 260, "property_value_start": 263, "property_value_end": 264, "property_numeric_value": 75.6,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</si>
  <si>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10.1039/c9ta07361b</t>
  </si>
  <si>
    <t xml:space="preserve">{"power conversion efficiency": {"entity_name": "power conversion efficiencies", "entity_start": 268, "entity_end": 270, "property_value_start": 273, "property_value_end": 274,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</si>
  <si>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10.1039/c5ta06966a</t>
  </si>
  <si>
    <t xml:space="preserve">{"power conversion efficiency": {"entity_name": "power conversion efficiencies", "entity_start": 229, "entity_end": 231, "property_value_start": 236, "property_value_end": 237, "property_numeric_value": 8.78,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</si>
  <si>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10.1039/c6ta05886h</t>
  </si>
  <si>
    <t xml:space="preserve">PtDAA</t>
  </si>
  <si>
    <t xml:space="preserve">[*]c9ccc(c8cc(CC(CC)CCCC)c(c7nc6sc(c5sc(c4ccc(c2sc([*])c3c(=O)c1c(CC(CC)CCCC)sc(C(CC)CCCC)c1c(=O)c23)s4)cc5CC(CC)CCCC)nc6s7)s8)s9</t>
  </si>
  <si>
    <t xml:space="preserve">['PtDAA']</t>
  </si>
  <si>
    <t xml:space="preserve">{"power conversion efficiency": {"entity_name": "PCE", "entity_start": 142, "entity_end": 142, "property_value_start": 144, "property_value_end": 145, "property_numeric_value": 3.4, "property_unit": "%", "property_value_descriptor": ""}, "open circuit voltage": {}, "short circuit current": {}, "fill factor": {"entity_name": "FF", "entity_start": 147, "entity_end": 147, "property_value_start": 149, "property_value_end": 149, "property_numeric_value": 55.00000000000001,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</si>
  <si>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10.1039/c9ta05023j</t>
  </si>
  <si>
    <t xml:space="preserve">BSFTR</t>
  </si>
  <si>
    <t xml:space="preserve">['BSFTR']</t>
  </si>
  <si>
    <t xml:space="preserve">NBDTP-F_{out}</t>
  </si>
  <si>
    <t xml:space="preserve">['NBDTP-F_{out}']</t>
  </si>
  <si>
    <t xml:space="preserve">{"power conversion efficiency": {"entity_name": "PCE", "entity_start": 120, "entity_end": 120, "property_value_start": 122, "property_value_end": 123, "property_numeric_value": 12.3,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</si>
  <si>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10.1039/d0ta00520g</t>
  </si>
  <si>
    <t xml:space="preserve">FPIC6</t>
  </si>
  <si>
    <t xml:space="preserve">['FPIC6']</t>
  </si>
  <si>
    <t xml:space="preserve">{"power conversion efficiency": {}, "open circuit voltage": {}, "short circuit current": {}, "fill factor": {}, "highest occupied molecular orbital": {}, "lowest unoccupied molecular orbital": {}, "bandgap": {"entity_name": "bandgap", "entity_start": 166, "entity_end": 166, "property_value_start": 171, "property_value_end": 172, "property_numeric_value": 1.63, "property_unit": "eV", "property_value_descriptor": ""}, "hole mobility": {}, "electron mobility": {}, "external quantum efficiency": {}}</t>
  </si>
  <si>
    <t xml:space="preserve">FPIC5</t>
  </si>
  <si>
    <t xml:space="preserve">['FPIC5']</t>
  </si>
  <si>
    <t xml:space="preserve">{"power conversion efficiency": {"entity_name": "PCE", "entity_start": 182, "entity_end": 182, "property_value_start": 196, "property_value_end": 197, "property_numeric_value": 11.55,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</si>
  <si>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10.1039/c9ta08960h</t>
  </si>
  <si>
    <t xml:space="preserve">PNTz4T</t>
  </si>
  <si>
    <t xml:space="preserve">[*]c8ccc(c7ccc(c6sc(c4cc2c(cc(c1cc(CC(CCCCCCCCCC)CCCCCCCCCCCC)c([*])s1)c3nsnc23)c5nsnc45)cc6CC(CCCCCCCCCC)CCCCCCCCCCCC)s7)s8</t>
  </si>
  <si>
    <t xml:space="preserve">['PNTz4T', 'PNTz4T-2F', 'PNTz4T-4F', 'PNTz4T-1F', 'PNTz4 T']</t>
  </si>
  <si>
    <t xml:space="preserve">{"power conversion efficiency": {"entity_name": "PCE", "entity_start": 143, "entity_end": 143, "property_value_start": 145, "property_value_end": 146, "property_numeric_value": 11.77,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</si>
  <si>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10.1039/c8ta09042d</t>
  </si>
  <si>
    <t xml:space="preserve">PTB7-Th; F8IC</t>
  </si>
  <si>
    <t xml:space="preserve">{"power conversion efficiency": {"entity_name": "power conversion efficiency", "entity_start": 47, "entity_end": 49, "property_value_start": 76, "property_value_end": 77, "property_numeric_value": 7.31,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</si>
  <si>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10.1039/c8ta00783g</t>
  </si>
  <si>
    <t xml:space="preserve">IDT2Se-4F</t>
  </si>
  <si>
    <t xml:space="preserve">['IDT2Se-4F']</t>
  </si>
  <si>
    <t xml:space="preserve">{"power conversion efficiency": {"entity_name": "PCE", "entity_start": 218, "entity_end": 218, "property_value_start": 220, "property_value_end": 221, "property_numeric_value": 9.36, "property_unit": "%", "property_value_descriptor": ""}, "open circuit voltage": {"entity_name": "V_{oc}", "entity_start": 175, "entity_end": 176, "property_value_start": 179, "property_value_end": 180, "property_numeric_value": 0.79, "property_unit": "V", "property_value_descriptor": ""}, "short circuit current": {"entity_name": "J_{sc}", "entity_start": 189, "entity_end": 191, "property_value_start": 193, "property_value_end": 196, "property_numeric_value": 21.49, "property_unit": "mA cm^{-2}", "property_value_descriptor": ""}, "fill factor": {"entity_name": "FF", "entity_start": 202, "entity_end": 202, "property_value_start": 205, "property_value_end": 206, "property_numeric_value": 65.9, "property_unit": "%", "property_value_descriptor": ""}, "highest occupied molecular orbital": {}, "lowest unoccupied molecular orbital": {}, "bandgap": {"entity_name": "E^{opt}_{g}", "entity_start": 48, "entity_end": 50, "property_value_start": 52, "property_value_end": 55, "property_numeric_value": 1.42, "property_unit": "eV", "property_value_descriptor": "and"}, "hole mobility": {}, "electron mobility": {}, "external quantum efficiency": {}}</t>
  </si>
  <si>
    <t xml:space="preserve">10.1039/c7ta10262c</t>
  </si>
  <si>
    <t xml:space="preserve">TTFQx-T1</t>
  </si>
  <si>
    <t xml:space="preserve">['TTFQx-T1']</t>
  </si>
  <si>
    <t xml:space="preserve">{"power conversion efficiency": {"entity_name": "PCE", "entity_start": 54, "entity_end": 54, "property_value_start": 57, "property_value_end": 58, "property_numeric_value": 8.47,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</si>
  <si>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TTFQx-T2</t>
  </si>
  <si>
    <t xml:space="preserve">['TTFQx-T2']</t>
  </si>
  <si>
    <t xml:space="preserve">{"power conversion efficiency": {"entity_name": "PCE", "entity_start": 234, "entity_end": 234, "property_value_start": 236, "property_value_end": 237, "property_numeric_value": 9.21,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</si>
  <si>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10.1039/d0ta01636e</t>
  </si>
  <si>
    <t xml:space="preserve">- inden-1-ylidene)malononitril</t>
  </si>
  <si>
    <t xml:space="preserve">{"power conversion efficiency": {"entity_name": "PCE", "entity_start": 182, "entity_end": 182, "property_value_start": 184, "property_value_end": 185, "property_numeric_value": 15.4, "property_unit": "%", "property_value_descriptor": ""}, "open circuit voltage": {}, "short circuit current": {"entity_name": "J_{sc}", "entity_start": 189, "entity_end": 190, "property_value_start": 192, "property_value_end": 195, "property_numeric_value": 24.37,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</si>
  <si>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10.1039/d0ta01425g</t>
  </si>
  <si>
    <t xml:space="preserve">PBNP-S</t>
  </si>
  <si>
    <t xml:space="preserve">[*]c%10ccc(c8sc(c6ccc(c5cc4c(c1ccc(SCC(CC)CCCC)cc1)c2sc([*])cc2c(c3ccc(SCC(CC)CCCC)cc3)c4s5)s6)c9c(=O)c7cc(SCC(CC)CCCC)c(SCC(CC)CCCC)cc7c(=O)c89)s%10</t>
  </si>
  <si>
    <t xml:space="preserve">['PBNP-S']</t>
  </si>
  <si>
    <t xml:space="preserve">{"power conversion efficiency": {"entity_name": "PCE", "entity_start": 219, "entity_end": 219, "property_value_start": 221, "property_value_end": 222, "property_numeric_value": 11.86, "property_unit": "%", "property_value_descriptor": ""}, "open circuit voltage": {}, "short circuit current": {}, "fill factor": {"entity_name": "FF", "entity_start": 191, "entity_end": 191, "property_value_start": 193, "property_value_end": 193, "property_numeric_value": 60.5,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</si>
  <si>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PBNT-S</t>
  </si>
  <si>
    <t xml:space="preserve">[*]c%10ccc(c8sc(c6ccc(c5cc4c(c1ccc(SCC(CC)CCCC)s1)c2sc([*])cc2c(c3ccc(SCC(CC)CCCC)s3)c4s5)s6)c9c(=O)c7cc(SCC(CC)CCCC)c(SCC(CC)CCCC)cc7c(=O)c89)s%10</t>
  </si>
  <si>
    <t xml:space="preserve">['PBNT-S']</t>
  </si>
  <si>
    <t xml:space="preserve">{"power conversion efficiency": {"entity_name": "PCE", "entity_start": 183, "entity_end": 183, "property_value_start": 185, "property_value_end": 186, "property_numeric_value": 11.1, "property_unit": "%", "property_value_descriptor": ""}, "open circuit voltage": {}, "short circuit current": {}, "fill factor": {"entity_name": "FF", "entity_start": 157, "entity_end": 157, "property_value_start": 160, "property_value_end": 160, "property_numeric_value": 69.39999999999999,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</si>
  <si>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10.1039/c6ta03709g</t>
  </si>
  <si>
    <t xml:space="preserve">{"power conversion efficiency": {"entity_name": "PCE", "entity_start": 185, "entity_end": 185, "property_value_start": 187, "property_value_end": 188, "property_numeric_value": 9.02,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</si>
  <si>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10.1039/c7ta02486j</t>
  </si>
  <si>
    <t xml:space="preserve">2,6-bis(trimethyltin)-4,8-bis(5-(2-ethylhexyl)thiophene-2-yl)benzo[1,2-b:4,5-b']dithiophene</t>
  </si>
  <si>
    <t xml:space="preserve">2-(6-oxo-5,6-dihydro-4H-cyclopenta[c]thiophen-4-ylidene)malononitrile</t>
  </si>
  <si>
    <t xml:space="preserve">{"power conversion efficiency": {"entity_name": "PCE", "entity_start": 127, "entity_end": 127, "property_value_start": 129, "property_value_end": 130, "property_numeric_value": 10.4,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</si>
  <si>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10.1039/c9ta00114j</t>
  </si>
  <si>
    <t xml:space="preserve">PBDS-T</t>
  </si>
  <si>
    <t xml:space="preserve">[*]c%10ccc(c8sc(c6ccc(c5cc4c(c1ccc([Si](CCC)(CCC)CCC)s1)c2sc([*])cc2c(c3ccc([Si](CCC)(CCC)CCC)s3)c4s5)s6)c9c(=O)c7c(CC(CC)CCCC)sc(CC(CC)CCCC)c7c(=O)c89)s%10</t>
  </si>
  <si>
    <t xml:space="preserve">['PBDS-T']</t>
  </si>
  <si>
    <t xml:space="preserve">ITIC-Th1</t>
  </si>
  <si>
    <t xml:space="preserve">['ITIC', 'ITIC-Th1']</t>
  </si>
  <si>
    <t xml:space="preserve">{"power conversion efficiency": {"entity_name": "PCE", "entity_start": 245, "entity_end": 245, "property_value_start": 247, "property_value_end": 248, "property_numeric_value": 12.04,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</si>
  <si>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10.1039/c3ta13875e</t>
  </si>
  <si>
    <t xml:space="preserve">['[6,6]-phenyl-C71-butyric acid methyl ester', 'PCBM']</t>
  </si>
  <si>
    <t xml:space="preserve">{"power conversion efficiency": {"entity_name": "PCE", "entity_start": 301, "entity_end": 301, "property_value_start": 304, "property_value_end": 305, "property_numeric_value": 3.04, "property_unit": "%", "property_value_descriptor": "~"}, "open circuit voltage": {"entity_name": "open circuit voltage", "entity_start": 264, "entity_end": 266, "property_value_start": 268, "property_value_end": 269, "property_numeric_value": 0.65, "property_unit": "V", "property_value_descriptor": ""}, "short circuit current": {"entity_name": "short-circuit current density", "entity_start": 279, "entity_end": 283, "property_value_start": 285, "property_value_end": 287, "property_numeric_value": 10.2, "property_unit": "mA cm^{-2}", "property_value_descriptor": ""}, "fill factor": {"entity_name": "fill factor", "entity_start": 272, "entity_end": 273, "property_value_start": 275, "property_value_end": 275, "property_numeric_value": 52.0,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</si>
  <si>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10.1039/c3ta13579a</t>
  </si>
  <si>
    <t xml:space="preserve">{"power conversion efficiency": {"entity_name": "power conversion efficiency", "entity_start": 200, "entity_end": 202, "property_value_start": 205, "property_value_end": 206, "property_numeric_value": 4.15,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</si>
  <si>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10.1039/c9ta12313j</t>
  </si>
  <si>
    <t xml:space="preserve">polythiophene-fullerene</t>
  </si>
  <si>
    <t xml:space="preserve">['polythiophene-fullerene', 'P3HT-PCBM']</t>
  </si>
  <si>
    <t xml:space="preserve">{"power conversion efficiency": {"entity_name": "power conversion efficiency", "entity_start": 86, "entity_end": 88, "property_value_start": 90, "property_value_end": 91, "property_numeric_value": 5.2,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</si>
  <si>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10.1039/c8ta05800h</t>
  </si>
  <si>
    <t xml:space="preserve">ITIC5</t>
  </si>
  <si>
    <t xml:space="preserve">['ITIC5']</t>
  </si>
  <si>
    <t xml:space="preserve">{"power conversion efficiency": {"entity_name": "power conversion efficiency", "entity_start": 123, "entity_end": 125, "property_value_start": 127, "property_value_end": 128, "property_numeric_value": 12.5, "property_unit": "%", "property_value_descriptor": ""}, "open circuit voltage": {}, "short circuit current": {}, "fill factor": {"entity_name": "fill factor", "entity_start": 115, "entity_end": 116, "property_value_start": 118, "property_value_end": 119, "property_numeric_value": 75.5,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</si>
  <si>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10.1039/c9ta02447f</t>
  </si>
  <si>
    <t xml:space="preserve">{"power conversion efficiency": {"entity_name": "PCE", "entity_start": 218, "entity_end": 218, "property_value_start": 228, "property_value_end": 229, "property_numeric_value": 2.47,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</si>
  <si>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10.1039/c8ta01509k</t>
  </si>
  <si>
    <t xml:space="preserve">POIT</t>
  </si>
  <si>
    <t xml:space="preserve">['POIT']</t>
  </si>
  <si>
    <t xml:space="preserve">{"power conversion efficiency": {"entity_name": "PCEs", "entity_start": 257, "entity_end": 257, "property_value_start": 290, "property_value_end": 291, "property_numeric_value": 9.7, "property_unit": "%", "property_value_descriptor": ""}, "open circuit voltage": {"entity_name": "V_{oc}", "entity_start": 215, "entity_end": 216, "property_value_start": 218, "property_value_end": 219, "property_numeric_value": 0.96, "property_unit": "V", "property_value_descriptor": ""}, "short circuit current": {"entity_name": "J_{sc}", "entity_start": 222, "entity_end": 223, "property_value_start": 225, "property_value_end": 228, "property_numeric_value": 17.5, "property_unit": "mA cm^{-2}", "property_value_descriptor": ""}, "fill factor": {"entity_name": "FF", "entity_start": 231, "entity_end": 231, "property_value_start": 233, "property_value_end": 234, "property_numeric_value": 68.8,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</si>
  <si>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10.1039/c9ta09268d</t>
  </si>
  <si>
    <t xml:space="preserve">C8-SF</t>
  </si>
  <si>
    <t xml:space="preserve">['C8-SF']</t>
  </si>
  <si>
    <t xml:space="preserve">{"power conversion efficiency": {"entity_name": "PCE", "entity_start": 202, "entity_end": 202, "property_value_start": 204, "property_value_end": 205, "property_numeric_value": 13.39, "property_unit": "%", "property_value_descriptor": ""}, "open circuit voltage": {"entity_name": "V_{oc}", "entity_start": 210, "entity_end": 211, "property_value_start": 213, "property_value_end": 214, "property_numeric_value": 0.845, "property_unit": "V", "property_value_descriptor": ""}, "short circuit current": {"entity_name": "J_{sc}", "entity_start": 217, "entity_end": 218, "property_value_start": 220, "property_value_end": 223, "property_numeric_value": 20.88, "property_unit": "mA cm^{-2}", "property_value_descriptor": ""}, "fill factor": {"entity_name": "FF", "entity_start": 226, "entity_end": 226, "property_value_start": 228, "property_value_end": 229, "property_numeric_value": 75.87,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</si>
  <si>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10.1039/c3ta01525d</t>
  </si>
  <si>
    <t xml:space="preserve">{"power conversion efficiency": {"entity_name": "PCE", "entity_start": 267, "entity_end": 267, "property_value_start": 296, "property_value_end": 297, "property_numeric_value": 1.72,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</si>
  <si>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10.1039/c9ta10174h</t>
  </si>
  <si>
    <t xml:space="preserve">FPDI; fBT-FPDI; BT-FPDI</t>
  </si>
  <si>
    <t xml:space="preserve">{"power conversion efficiency": {"entity_name": "PCE", "entity_start": 215, "entity_end": 215, "property_value_start": 218, "property_value_end": 219, "property_numeric_value": 5.89, "property_unit": "%", "property_value_descriptor": ""}, "open circuit voltage": {"entity_name": "V_{oc}", "entity_start": 156, "entity_end": 157, "property_value_start": 160, "property_value_end": 161, "property_numeric_value": 0.81, "property_unit": "V", "property_value_descriptor": ""}, "short circuit current": {"entity_name": "J_{sc}", "entity_start": 224, "entity_end": 225, "property_value_start": 227, "property_value_end": 229, "property_numeric_value": 12.3,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</si>
  <si>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10.1039/d0ta00599a</t>
  </si>
  <si>
    <t xml:space="preserve">BDT-PY</t>
  </si>
  <si>
    <t xml:space="preserve">['BDT-FPY', 'BDT-PY']</t>
  </si>
  <si>
    <t xml:space="preserve">BDT-FPY</t>
  </si>
  <si>
    <t xml:space="preserve">{"power conversion efficiency": {"entity_name": "PCE", "entity_start": 120, "entity_end": 120, "property_value_start": 129, "property_value_end": 130, "property_numeric_value": 10.2,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</si>
  <si>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10.1039/d0ta03791e</t>
  </si>
  <si>
    <t xml:space="preserve">F13</t>
  </si>
  <si>
    <t xml:space="preserve">[*]c9cc8c(c1cc(F)c(CC(CC)CCCC)c(F)c1)c6oc(c5ccc(c3c(F)c(F)c(c2ccc([*])s2)c4nn(CC(CCCCCC)CCCCCCCC)nc34)s5)cc6c(c7cc(F)c(CC(CC)CCCC)c(F)c7)c8o9</t>
  </si>
  <si>
    <t xml:space="preserve">['F13']</t>
  </si>
  <si>
    <t xml:space="preserve">{"power conversion efficiency": {"entity_name": "PCE", "entity_start": 113, "entity_end": 113, "property_value_start": 117, "property_value_end": 118, "property_numeric_value": 13.34, "property_unit": "%", "property_value_descriptor": ""}, "open circuit voltage": {"entity_name": "V_{oc}", "entity_start": 81, "entity_end": 82, "property_value_start": 84, "property_value_end": 85, "property_numeric_value": 0.8, "property_unit": "V", "property_value_descriptor": ""}, "short circuit current": {"entity_name": "J_{sc}", "entity_start": 88, "entity_end": 89, "property_value_start": 91, "property_value_end": 94, "property_numeric_value": 22.61, "property_unit": "mA cm^{-2}", "property_value_descriptor": ""}, "fill factor": {"entity_name": "FF", "entity_start": 97, "entity_end": 97, "property_value_start": 99, "property_value_end": 100, "property_numeric_value": 70.28, "property_unit": "%", "property_value_descriptor": ""}, "highest occupied molecular orbital": {"entity_name": "HOMO level", "entity_start": 43, "entity_end": 44, "property_value_start": 46, "property_value_end": 47, "property_numeric_value": -5.54, "property_unit": "eV", "property_value_descriptor": ""}, "lowest unoccupied molecular orbital": {}, "bandgap": {"entity_name": "bandgap", "entity_start": 24, "entity_end": 24, "property_value_start": 26, "property_value_end": 27, "property_numeric_value": 1.93, "property_unit": "eV", "property_value_descriptor": ""}, "hole mobility": {}, "electron mobility": {}, "external quantum efficiency": {}}</t>
  </si>
  <si>
    <t xml:space="preserve">10.1039/c8ta11972d</t>
  </si>
  <si>
    <t xml:space="preserve">m-IDTIDT-FIC</t>
  </si>
  <si>
    <t xml:space="preserve">['m-IDTIDT', 'm-IDTIDT-FIC']</t>
  </si>
  <si>
    <t xml:space="preserve">{"power conversion efficiency": {"entity_name": "PCE", "entity_start": 221, "entity_end": 221, "property_value_start": 223, "property_value_end": 224, "property_numeric_value": 11.32,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</si>
  <si>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p-IDTIDT-IC</t>
  </si>
  <si>
    <t xml:space="preserve">['p-IDTIDT-IC']</t>
  </si>
  <si>
    <t xml:space="preserve">{"power conversion efficiency": {"entity_name": "PCE", "entity_start": 113, "entity_end": 113, "property_value_start": 130, "property_value_end": 131, "property_numeric_value": 6.48, "property_unit": "%", "property_value_descriptor": ""}, "open circuit voltage": {"entity_name": "V_{oc}", "entity_start": 232, "entity_end": 233, "property_value_start": 236, "property_value_end": 237, "property_numeric_value": 0.92, "property_unit": "V", "property_value_descriptor": ""}, "short circuit current": {}, "fill factor": {"entity_name": "FF", "entity_start": 259, "entity_end": 259, "property_value_start": 262, "property_value_end": 263, "property_numeric_value": 68.3,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</si>
  <si>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{}, "short circuit current": {"entity_name": "J_{sc}", "entity_start": 245, "entity_end": 247, "property_value_start": 249, "property_value_end": 252, "property_numeric_value": 18.01,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</si>
  <si>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10.1039/c9ta00597h</t>
  </si>
  <si>
    <t xml:space="preserve">BTTIC-0 M</t>
  </si>
  <si>
    <t xml:space="preserve">['BTTIC-0 M', 'BTTIC-2 M', 'BTTIC-4 M', 'BTTIC-2M']</t>
  </si>
  <si>
    <t xml:space="preserve">{"power conversion efficiency": {"entity_name": "PCE", "entity_start": 220, "entity_end": 220, "property_value_start": 225, "property_value_end": 226, "property_numeric_value": 13.15,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</si>
  <si>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10.1039/c9ta02544h</t>
  </si>
  <si>
    <t xml:space="preserve">PBDB-T; DBTTC</t>
  </si>
  <si>
    <t xml:space="preserve">{"power conversion efficiency": {"entity_name": "PCEs", "entity_start": 119, "entity_end": 119, "property_value_start": 124, "property_value_end": 125, "property_numeric_value": 6.81,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</si>
  <si>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10.1039/c7ta01554b</t>
  </si>
  <si>
    <t xml:space="preserve">PBDB-T1</t>
  </si>
  <si>
    <t xml:space="preserve">['PBDB-T1']</t>
  </si>
  <si>
    <t xml:space="preserve">['ITTIC', 'ITIC']</t>
  </si>
  <si>
    <t xml:space="preserve">{"power conversion efficiency": {"entity_name": "power conversion efficiency", "entity_start": 86, "entity_end": 88, "property_value_start": 90, "property_value_end": 91, "property_numeric_value": 9.12,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</si>
  <si>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10.1039/c9ta06362e</t>
  </si>
  <si>
    <t xml:space="preserve">benzo[b]benzo[4,5]thieno[2,3-d]thiophene</t>
  </si>
  <si>
    <t xml:space="preserve">{"power conversion efficiency": {"entity_name": "PCE", "entity_start": 144, "entity_end": 144, "property_value_start": 156, "property_value_end": 157, "property_numeric_value": 11.5,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mobilities", "entity_start": 67, "entity_end": 68, "property_value_start": 70, "property_value_end": 80, "property_numeric_value": 0.90017, "property_unit": "cm^{2} V^{-1} s^{-1}", "property_value_descriptor": "-"}, "external quantum efficiency": {}}</t>
  </si>
  <si>
    <t xml:space="preserve">10.1039/c3tc31284d</t>
  </si>
  <si>
    <t xml:space="preserve">{"power conversion efficiency": {"entity_name": "power conversion efficiency", "entity_start": 248, "entity_end": 250, "property_value_start": 252, "property_value_end": 253, "property_numeric_value": 2.3,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</si>
  <si>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10.1039/c6tc00031b</t>
  </si>
  <si>
    <t xml:space="preserve">TVT</t>
  </si>
  <si>
    <t xml:space="preserve">NDI; PNDI-TT-TVT</t>
  </si>
  <si>
    <t xml:space="preserve">{"power conversion efficiency": {"entity_name": "power conversion efficiency", "entity_start": 81, "entity_end": 83, "property_value_start": 85, "property_value_end": 86, "property_numeric_value": 4.86,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</si>
  <si>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10.1039/c8tc01988f</t>
  </si>
  <si>
    <t xml:space="preserve">S-SubPc-PDI</t>
  </si>
  <si>
    <t xml:space="preserve">['S-SubPc-PDI']</t>
  </si>
  <si>
    <t xml:space="preserve">{"power conversion efficiency": {"entity_name": "PCE", "entity_start": 243, "entity_end": 243, "property_value_start": 266, "property_value_end": 267, "property_numeric_value": 1.78, "property_unit": "%", "property_value_descriptor": ""}, "open circuit voltage": {}, "short circuit current": {}, "fill factor": {}, "highest occupied molecular orbital": {}, "lowest unoccupied molecular orbital": {}, "bandgap": {"entity_name": "optical bandgaps", "entity_start": 108, "entity_end": 109, "property_value_start": 111, "property_value_end": 112, "property_numeric_value": 1.9, "property_unit": "eV", "property_value_descriptor": ""}, "hole mobility": {}, "electron mobility": {}, "external quantum efficiency": {}}</t>
  </si>
  <si>
    <t xml:space="preserve">10.1039/c4tc00340c</t>
  </si>
  <si>
    <t xml:space="preserve">PDOSiF-DTDFBT</t>
  </si>
  <si>
    <t xml:space="preserve">['PDOSiF-DTDFBT']</t>
  </si>
  <si>
    <t xml:space="preserve">{"power conversion efficiency": {"entity_name": "PCE", "entity_start": 194, "entity_end": 194, "property_value_start": 197, "property_value_end": 198, "property_numeric_value": 4.03, "property_unit": "%", "property_value_descriptor": ""}, "open circuit voltage": {"entity_name": "V_{oc}", "entity_start": 205, "entity_end": 206, "property_value_start": 209, "property_value_end": 210, "property_numeric_value": 0.73, "property_unit": "V", "property_value_descriptor": ""}, "short circuit current": {"entity_name": "J_{sc}", "entity_start": 217, "entity_end": 218, "property_value_start": 221, "property_value_end": 224, "property_numeric_value": 8.55, "property_unit": "mA cm^{-2}", "property_value_descriptor": ""}, "fill factor": {"entity_name": "FF", "entity_start": 231, "entity_end": 231, "property_value_start": 234, "property_value_end": 234, "property_numeric_value": 65.0, "property_unit": "%", "property_value_descriptor": ""}, "highest occupied molecular orbital": {"entity_name": "HOMO level", "entity_start": 99, "entity_end": 100, "property_value_start": 102, "property_value_end": 103, "property_numeric_value": -5.37, "property_unit": "eV", "property_value_descriptor": ""}, "lowest unoccupied molecular orbital": {}, "bandgap": {"entity_name": "band gap", "entity_start": 92, "entity_end": 93, "property_value_start": 95, "property_value_end": 96, "property_numeric_value": 1.86, "property_unit": "eV", "property_value_descriptor": ""}, "hole mobility": {"entity_name": "hole mobility", "entity_start": 122, "entity_end": 123, "property_value_start": 126, "property_value_end": 135, "property_numeric_value": 0.033100000000000004, "property_unit": "cm^{2} V^{-1} s^{-1}", "property_value_descriptor": ""}, "electron mobility": {}, "external quantum efficiency": {}}</t>
  </si>
  <si>
    <t xml:space="preserve">10.1039/c6tc04308a</t>
  </si>
  <si>
    <t xml:space="preserve">pDPP5T-2</t>
  </si>
  <si>
    <t xml:space="preserve">['pDPP5T-2']</t>
  </si>
  <si>
    <t xml:space="preserve">['[6,6]-phenyl-C_{61}-butyric acid methyl ester', 'PC_{61}BM']</t>
  </si>
  <si>
    <t xml:space="preserve">{"power conversion efficiency": {"entity_name": "PCE", "entity_start": 57, "entity_end": 57, "property_value_start": 67, "property_value_end": 68, "property_numeric_value": 5.11,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</si>
  <si>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10.1039/c8tc03963a</t>
  </si>
  <si>
    <t xml:space="preserve">BTA103</t>
  </si>
  <si>
    <t xml:space="preserve">['BTA100', 'BTA103']</t>
  </si>
  <si>
    <t xml:space="preserve">{"power conversion efficiency": {"entity_name": "PCE", "entity_start": 225, "entity_end": 225, "property_value_start": 227, "property_value_end": 228, "property_numeric_value": 5.31, "property_unit": "%", "property_value_descriptor": ""}, "open circuit voltage": {}, "short circuit current": {"entity_name": "J_{SC}", "entity_start": 238, "entity_end": 239, "property_value_start": 241, "property_value_end": 244, "property_numeric_value": 8.56, "property_unit": "mA cm^{-2}", "property_value_descriptor": ""}, "fill factor": {"entity_name": "FF", "entity_start": 247, "entity_end": 247, "property_value_start": 249, "property_value_end": 249, "property_numeric_value": 66.0,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</si>
  <si>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BTA100</t>
  </si>
  <si>
    <t xml:space="preserve">{"power conversion efficiency": {}, "open circuit voltage": {"entity_name": "V_{OC}", "entity_start": 260, "entity_end": 261, "property_value_start": 269, "property_value_end": 270, "property_numeric_value": 1.34,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</si>
  <si>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10.1039/c7tc01909b</t>
  </si>
  <si>
    <t xml:space="preserve">IDTT</t>
  </si>
  <si>
    <t xml:space="preserve">IDT-T1; T1</t>
  </si>
  <si>
    <t xml:space="preserve">{"power conversion efficiency": {}, "open circuit voltage": {}, "short circuit current": {}, "fill factor": {}, "highest occupied molecular orbital": {}, "lowest unoccupied molecular orbital": {}, "bandgap": {"entity_name": "bandgap", "entity_start": 58, "entity_end": 58, "property_value_start": 61, "property_value_end": 62, "property_numeric_value": 1.9, "property_unit": "eV", "property_value_descriptor": ""}, "hole mobility": {}, "electron mobility": {}, "external quantum efficiency": {}}</t>
  </si>
  <si>
    <t xml:space="preserve">IDTT-T1</t>
  </si>
  <si>
    <t xml:space="preserve">['IDTT-T1']</t>
  </si>
  <si>
    <t xml:space="preserve">{"power conversion efficiency": {"entity_name": "PCE", "entity_start": 147, "entity_end": 147, "property_value_start": 149, "property_value_end": 150, "property_numeric_value": 6.26,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</si>
  <si>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10.1039/c7tc00720e</t>
  </si>
  <si>
    <t xml:space="preserve">2,2-bithiophene</t>
  </si>
  <si>
    <t xml:space="preserve">{"power conversion efficiency": {"entity_name": "PCE", "entity_start": 230, "entity_end": 230, "property_value_start": 231, "property_value_end": 232, "property_numeric_value": 3.92, "property_unit": "%", "property_value_descriptor": ""}, "open circuit voltage": {"entity_name": "V_{OC}", "entity_start": 186, "entity_end": 187, "property_value_start": 190, "property_value_end": 191, "property_numeric_value": 0.86, "property_unit": "V", "property_value_descriptor": ""}, "short circuit current": {"entity_name": "J_{SC}", "entity_start": 199, "entity_end": 201, "property_value_start": 203, "property_value_end": 206, "property_numeric_value": 11.06, "property_unit": "mA cm^{-2}", "property_value_descriptor": ""}, "fill factor": {"entity_name": "FF", "entity_start": 213, "entity_end": 213, "property_value_start": 216, "property_value_end": 217, "property_numeric_value": 72.9,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</si>
  <si>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10.1039/c8tc05653f</t>
  </si>
  <si>
    <t xml:space="preserve">{"power conversion efficiency": {"entity_name": "power conversion efficiency", "entity_start": 188, "entity_end": 190, "property_value_start": 192, "property_value_end": 193, "property_numeric_value": 10.67,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</si>
  <si>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10.1039/c6tc00929h</t>
  </si>
  <si>
    <t xml:space="preserve">PTITBT</t>
  </si>
  <si>
    <t xml:space="preserve">['PTITBT']</t>
  </si>
  <si>
    <t xml:space="preserve">{"power conversion efficiency": {"entity_name": "PCE", "entity_start": 155, "entity_end": 155, "property_value_start": 157, "property_value_end": 158, "property_numeric_value": 5.83, "property_unit": "%", "property_value_descriptor": ""}, "open circuit voltage": {"entity_name": "V_{oc}", "entity_start": 160, "entity_end": 161, "property_value_start": 163, "property_value_end": 164, "property_numeric_value": 0.69, "property_unit": "V", "property_value_descriptor": ""}, "short circuit current": {"entity_name": "J_{sc}", "entity_start": 195, "entity_end": 196, "property_value_start": 198, "property_value_end": 201, "property_numeric_value": 13.92, "property_unit": "mA cm^{-2}", "property_value_descriptor": ""}, "fill factor": {"entity_name": "FF", "entity_start": 174, "entity_end": 174, "property_value_start": 176, "property_value_end": 177, "property_numeric_value": 61.8,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</si>
  <si>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10.1039/c2tc00327a</t>
  </si>
  <si>
    <t xml:space="preserve">['FTQ', 'TQ']</t>
  </si>
  <si>
    <t xml:space="preserve">{"power conversion efficiency": {"entity_name": "power conversion efficiency", "entity_start": 138, "entity_end": 140, "property_value_start": 142, "property_value_end": 143, "property_numeric_value": 5.3, "property_unit": "%", "property_value_descriptor": ""}, "open circuit voltage": {"entity_name": "V_{OC}", "entity_start": 102, "entity_end": 103, "property_value_start": 105, "property_value_end": 106, "property_numeric_value": 0.95,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</si>
  <si>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10.1039/c6tc04366f</t>
  </si>
  <si>
    <t xml:space="preserve">{"power conversion efficiency": {"entity_name": "PCEs", "entity_start": 114, "entity_end": 114, "property_value_start": 128, "property_value_end": 129, "property_numeric_value": 8.69,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</si>
  <si>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"PCEs", "entity_start": 114, "entity_end": 114, "property_value_start": 131, "property_value_end": 132, "property_numeric_value": 6.37,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</si>
  <si>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10.1039/c4tc00066h</t>
  </si>
  <si>
    <t xml:space="preserve">{"power conversion efficiency": {"entity_name": "power conversion efficiency", "entity_start": 308, "entity_end": 310, "property_value_start": 313, "property_value_end": 314, "property_numeric_value": 4.03,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</si>
  <si>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10.1039/c8tc05318a</t>
  </si>
  <si>
    <t xml:space="preserve">{"power conversion efficiency": {"entity_name": "power conversion efficiencies", "entity_start": 173, "entity_end": 175, "property_value_start": 195, "property_value_end": 196, "property_numeric_value": 5.89,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</si>
  <si>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10.1039/c8tc05288c</t>
  </si>
  <si>
    <t xml:space="preserve">P_{3}</t>
  </si>
  <si>
    <t xml:space="preserve">['P_{3}']</t>
  </si>
  <si>
    <t xml:space="preserve">{"power conversion efficiency": {"entity_name": "PCE", "entity_start": 181, "entity_end": 181, "property_value_start": 184, "property_value_end": 185, "property_numeric_value": 2.23, "property_unit": "%", "property_value_descriptor": ""}, "open circuit voltage": {"entity_name": "V_{oc}", "entity_start": 187, "entity_end": 188, "property_value_start": 190, "property_value_end": 191, "property_numeric_value": 0.55, "property_unit": "V", "property_value_descriptor": ""}, "short circuit current": {"entity_name": "J_{sc}", "entity_start": 193, "entity_end": 194, "property_value_start": 196, "property_value_end": 199, "property_numeric_value": 7.86, "property_unit": "mA cm^{-2}", "property_value_descriptor": ""}, "fill factor": {"entity_name": "FF", "entity_start": 201, "entity_end": 201, "property_value_start": 203, "property_value_end": 204, "property_numeric_value": 52.0, "property_unit": "%", "property_value_descriptor": ""}, "highest occupied molecular orbital": {}, "lowest unoccupied molecular orbital": {}, "bandgap": {"entity_name": "E^{opt}_{g}", "entity_start": 126, "entity_end": 128, "property_value_start": 136, "property_value_end": 137, "property_numeric_value": 1.24, "property_unit": "eV", "property_value_descriptor": ""}, "hole mobility": {}, "electron mobility": {}, "external quantum efficiency": {}}</t>
  </si>
  <si>
    <t xml:space="preserve">10.1039/c8tc05971c</t>
  </si>
  <si>
    <t xml:space="preserve">{"power conversion efficiency": {"entity_name": "PCE", "entity_start": 138, "entity_end": 138, "property_value_start": 140, "property_value_end": 141,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</si>
  <si>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10.1039/c9tc00403c</t>
  </si>
  <si>
    <t xml:space="preserve">PFBTZNT</t>
  </si>
  <si>
    <t xml:space="preserve">[*]c%11ccc(c9cc7c(cc(c6ccc(c5cc4c(c1cc(F)c(CC(CC)CCCC)s1)c2sc([*])cc2c(c3cc(F)c(CC(CC)CCCC)s3)c4s5)s6)c8nn(CC(CCCC)CCCCCC)nc78)c%10nn(CC(CCCC)CCCCCC)nc9%10)s%11</t>
  </si>
  <si>
    <t xml:space="preserve">['PFBTZNT']</t>
  </si>
  <si>
    <t xml:space="preserve">{"power conversion efficiency": {"entity_name": "power conversion efficiency", "entity_start": 149, "entity_end": 151, "property_value_start": 155, "property_value_end": 156, "property_numeric_value": 11.02,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</si>
  <si>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10.1039/c7tc02098h</t>
  </si>
  <si>
    <t xml:space="preserve">{"power conversion efficiency": {"entity_name": "power conversion efficiency", "entity_start": 240, "entity_end": 242, "property_value_start": 244, "property_value_end": 245, "property_numeric_value": 7.14, "property_unit": "%", "property_value_descriptor": ""}, "open circuit voltage": {}, "short circuit current": {"entity_name": "J_{sc}", "entity_start": 249, "entity_end": 250, "property_value_start": 252, "property_value_end": 257, "property_numeric_value": 14.11, "property_unit": "mA cm^{-2}", "property_value_descriptor": ""}, "fill factor": {"entity_name": "fill factor", "entity_start": 260, "entity_end": 261, "property_value_start": 263, "property_value_end": 266, "property_numeric_value": 63.41,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</si>
  <si>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10.1039/c6tc03346f</t>
  </si>
  <si>
    <t xml:space="preserve">PBDTBP-DTffBT</t>
  </si>
  <si>
    <t xml:space="preserve">['PBDTBP-DTffBT', 'PBDTP-DTffBT']</t>
  </si>
  <si>
    <t xml:space="preserve">PBDTBP-DTffBT; DTffBT</t>
  </si>
  <si>
    <t xml:space="preserve">{"power conversion efficiency": {"entity_name": "PCE", "entity_start": 134, "entity_end": 134, "property_value_start": 144, "property_value_end": 145, "property_numeric_value": 4.91, "property_unit": "%", "property_value_descriptor": ""}, "open circuit voltage": {"entity_name": "V_{oc}", "entity_start": 97, "entity_end": 98, "property_value_start": 100, "property_value_end": 101, "property_numeric_value": 0.85, "property_unit": "V", "property_value_descriptor": ""}, "short circuit current": {}, "fill factor": {}, "highest occupied molecular orbital": {}, "lowest unoccupied molecular orbital": {}, "bandgap": {}, "hole mobility": {"entity_name": "hole mobility", "entity_start": 148, "entity_end": 149, "property_value_start": 151, "property_value_end": 159, "property_numeric_value": 1.7e-05, "property_unit": "cm^{2} V^{-1} s^{-1}", "property_value_descriptor": ""}, "electron mobility": {}, "external quantum efficiency": {}}</t>
  </si>
  <si>
    <t xml:space="preserve">BDTBP</t>
  </si>
  <si>
    <t xml:space="preserve">{"power conversion efficiency": {}, "open circuit voltage": {}, "short circuit current": {"entity_name": "J_{sc}", "entity_start": 103, "entity_end": 104, "property_value_start": 106, "property_value_end": 109, "property_numeric_value": 12.72, "property_unit": "mA cm^{-2}", "property_value_descriptor": ""}, "fill factor": {"entity_name": "FF", "entity_start": 111, "entity_end": 111, "property_value_start": 113, "property_value_end": 114, "property_numeric_value": 62.14, "property_unit": "%", "property_value_descriptor": ""}, "highest occupied molecular orbital": {}, "lowest unoccupied molecular orbital": {}, "bandgap": {}, "hole mobility": {"entity_name": "hole mobility", "entity_start": 118, "entity_end": 119, "property_value_start": 121, "property_value_end": 130, "property_numeric_value": 0.00034500000000000004, "property_unit": "cm^{2} V^{-1} s^{-1}", "property_value_descriptor": ""}, "electron mobility": {}, "external quantum efficiency": {}}</t>
  </si>
  <si>
    <t xml:space="preserve">10.1039/c6tc02915a</t>
  </si>
  <si>
    <t xml:space="preserve">PBDT-S1</t>
  </si>
  <si>
    <t xml:space="preserve">['PBDT-S1']</t>
  </si>
  <si>
    <t xml:space="preserve">{"power conversion efficiency": {"entity_name": "PCE", "entity_start": 164, "entity_end": 164, "property_value_start": 167, "property_value_end": 168, "property_numeric_value": 9.0, "property_unit": "%", "property_value_descriptor": ""}, "open circuit voltage": {"entity_name": "V_{oc}", "entity_start": 177, "entity_end": 178, "property_value_start": 181, "property_value_end": 182, "property_numeric_value": 0.91, "property_unit": "V", "property_value_descriptor": ""}, "short circuit current": {"entity_name": "J_{sc}", "entity_start": 190, "entity_end": 191, "property_value_start": 194, "property_value_end": 197, "property_numeric_value": 12.99, "property_unit": "mA cm^{-2}", "property_value_descriptor": ""}, "fill factor": {"entity_name": "FF", "entity_start": 205, "entity_end": 205, "property_value_start": 208, "property_value_end": 209, "property_numeric_value": 74.9,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</si>
  <si>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10.1039/c9tc01922g</t>
  </si>
  <si>
    <t xml:space="preserve">N2200-based</t>
  </si>
  <si>
    <t xml:space="preserve">{"power conversion efficiency": {"entity_name": "PCE", "entity_start": 184, "entity_end": 184, "property_value_start": 186, "property_value_end": 187, "property_numeric_value": 5.85, "property_unit": "%", "property_value_descriptor": ""}, "open circuit voltage": {"entity_name": "V_{oc}", "entity_start": 190, "entity_end": 191, "property_value_start": 193, "property_value_end": 194, "property_numeric_value": 0.812,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</si>
  <si>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10.1039/c6tc03652j</t>
  </si>
  <si>
    <t xml:space="preserve">['poly[(ethylhexyl-oxy)-benzodithiophene-(ethylhexyl)-thienothiophene]', 'PTB7']</t>
  </si>
  <si>
    <t xml:space="preserve">poly[(ethylhexyl-oxy)-benzodithiophene-(ethylhexyl)-thienothiophene]; P-BNBP-DPP</t>
  </si>
  <si>
    <t xml:space="preserve">{"power conversion efficiency": {"entity_name": "power conversion efficiency", "entity_start": 195, "entity_end": 197, "property_value_start": 199, "property_value_end": 200, "property_numeric_value": 2.69, "property_unit": "%", "property_value_descriptor": ""}, "open circuit voltage": {}, "short circuit current": {}, "fill factor": {}, "highest occupied molecular orbital": {}, "lowest unoccupied molecular orbital": {}, "bandgap": {"entity_name": "optical bandgap", "entity_start": 127, "entity_end": 128, "property_value_start": 130, "property_value_end": 131, "property_numeric_value": 1.56, "property_unit": "eV", "property_value_descriptor": ""}, "hole mobility": {}, "electron mobility": {"entity_name": "electron mobility", "entity_start": 155, "entity_end": 156, "property_value_start": 158, "property_value_end": 166, "property_numeric_value": 0.00021, "property_unit": "cm^{2} V^{-1} s^{-1}", "property_value_descriptor": ""}, "external quantum efficiency": {}}</t>
  </si>
  <si>
    <t xml:space="preserve">10.1039/c9tc02781e</t>
  </si>
  <si>
    <t xml:space="preserve">PBDBT</t>
  </si>
  <si>
    <t xml:space="preserve">['PBDBT']</t>
  </si>
  <si>
    <t xml:space="preserve">{"power conversion efficiency": {"entity_name": "power conversion efficiency", "entity_start": 57, "entity_end": 59, "property_value_start": 80, "property_value_end": 81, "property_numeric_value": 11.14,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</si>
  <si>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10.1039/c9tc04111g</t>
  </si>
  <si>
    <t xml:space="preserve">MBTCBA</t>
  </si>
  <si>
    <t xml:space="preserve">['adduct', '2-(4-methoxybenzyl)thiophene-C_{60} bis-adduct', 'MBTCBA', 'BTCBA']</t>
  </si>
  <si>
    <t xml:space="preserve">{"power conversion efficiency": {"entity_name": "PCE", "entity_start": 167, "entity_end": 167, "property_value_start": 170, "property_value_end": 171, "property_numeric_value": 5.29, "property_unit": "%", "property_value_descriptor": ""}, "open circuit voltage": {"entity_name": "V_{OC}", "entity_start": 179, "entity_end": 180, "property_value_start": 183, "property_value_end": 184, "property_numeric_value": 0.81,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</si>
  <si>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10.1039/c7tc00428a</t>
  </si>
  <si>
    <t xml:space="preserve">FBT-DTh_{DT}-1 T</t>
  </si>
  <si>
    <t xml:space="preserve">['FBT-DTh_{DT}-1 T']</t>
  </si>
  <si>
    <t xml:space="preserve">{"power conversion efficiency": {"entity_name": "PCE", "entity_start": 120, "entity_end": 120, "property_value_start": 123, "property_value_end": 124, "property_numeric_value": 0.91,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</si>
  <si>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FBT-DTh_{DT}-TT-L</t>
  </si>
  <si>
    <t xml:space="preserve">['FBT-DTh_{DT}-TT-L']</t>
  </si>
  <si>
    <t xml:space="preserve">{"power conversion efficiency": {"entity_name": "PCE", "entity_start": 273, "entity_end": 273, "property_value_start": 275, "property_value_end": 276, "property_numeric_value": 3.47,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</si>
  <si>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FBT-DTh_{DT}-TT</t>
  </si>
  <si>
    <t xml:space="preserve">['FBT-DTh_{DT}-TT', 'FBT-DTh_{DT}-TT -']</t>
  </si>
  <si>
    <t xml:space="preserve">{"power conversion efficiency": {"entity_name": "PCE", "entity_start": 297, "entity_end": 297, "property_value_start": 300, "property_value_end": 301, "property_numeric_value": 7.78,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</si>
  <si>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10.1039/c7tc00083a</t>
  </si>
  <si>
    <t xml:space="preserve">BDTT</t>
  </si>
  <si>
    <t xml:space="preserve">["benzo[1,2-b:4,5-b']dithiophene", 'BDTT']</t>
  </si>
  <si>
    <t xml:space="preserve">{"power conversion efficiency": {"entity_name": "PCE", "entity_start": 337, "entity_end": 337, "property_value_start": 347, "property_value_end": 348, "property_numeric_value": 6.16, "property_unit": "%", "property_value_descriptor": ""}, "open circuit voltage": {}, "short circuit current": {"entity_name": "short circuit current density", "entity_start": 306, "entity_end": 309, "property_value_start": 311, "property_value_end": 314, "property_numeric_value": 14.41,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</si>
  <si>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10.1039/c7tc01621b</t>
  </si>
  <si>
    <t xml:space="preserve">rrP3HT</t>
  </si>
  <si>
    <t xml:space="preserve">['rrP3HT']</t>
  </si>
  <si>
    <t xml:space="preserve">{"power conversion efficiency": {"entity_name": "PCE(\u03b7)", "entity_start": 351, "entity_end": 354, "property_value_start": 356, "property_value_end": 357, "property_numeric_value": 5.65, "property_unit": "%", "property_value_descriptor": ""}, "open circuit voltage": {"entity_name": "V_{oc}", "entity_start": 367, "entity_end": 368, "property_value_start": 370, "property_value_end": 371, "property_numeric_value": 0.58, "property_unit": "V", "property_value_descriptor": ""}, "short circuit current": {"entity_name": "J_{sc}", "entity_start": 359, "entity_end": 360, "property_value_start": 362, "property_value_end": 365, "property_numeric_value": 16.1, "property_unit": "mA cm^{-2}", "property_value_descriptor": ""}, "fill factor": {"entity_name": "FF", "entity_start": 373, "entity_end": 373, "property_value_start": 375, "property_value_end": 376, "property_numeric_value": 61.0,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</si>
  <si>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10.1039/c7tc02912h</t>
  </si>
  <si>
    <t xml:space="preserve">PIDTI-BT</t>
  </si>
  <si>
    <t xml:space="preserve">[*]c1cc3c(s1)c2cc5c(cc2n3CC(CCCCCCCCCC)CCCCCCCCCCCC)c4cc9c(cc4C5(c6ccc(OCCCCCCCC)cc6)c7ccc(OCCCCCCCC)cc7)c8cc%15c(cc8C9(c%10ccc(OCCCCCCCC)cc%10)c%11ccc(OCCCCCCCC)cc%11)c%14sc(c%12ccc([*])c%13nsnc%12%13)cc%14n%15CC(CCCCCCCCCC)CCCCCCCCCCCC</t>
  </si>
  <si>
    <t xml:space="preserve">['PIDTI-BT']</t>
  </si>
  <si>
    <t xml:space="preserve">{"power conversion efficiency": {"entity_name": "PCE", "entity_start": 168, "entity_end": 168, "property_value_start": 170, "property_value_end": 171, "property_numeric_value": 4.02, "property_unit": "%", "property_value_descriptor": ""}, "open circuit voltage": {"entity_name": "V_{oc}", "entity_start": 174, "entity_end": 175, "property_value_start": 177, "property_value_end": 178, "property_numeric_value": 0.82, "property_unit": "V", "property_value_descriptor": ""}, "short circuit current": {"entity_name": "J_{sc}", "entity_start": 181, "entity_end": 182, "property_value_start": 184, "property_value_end": 187, "property_numeric_value": 8.99, "property_unit": "mA cm^{-2}", "property_value_descriptor": ""}, "fill factor": {"entity_name": "FF", "entity_start": 190, "entity_end": 190, "property_value_start": 192, "property_value_end": 193, "property_numeric_value": 54.6,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</si>
  <si>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10.1039/c8tc00502h</t>
  </si>
  <si>
    <t xml:space="preserve">{"power conversion efficiency": {"entity_name": "power conversion efficiency", "entity_start": 161, "entity_end": 163, "property_value_start": 205, "property_value_end": 206, "property_numeric_value": 5.37,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</si>
  <si>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10.1039/c3tc31933d</t>
  </si>
  <si>
    <t xml:space="preserve">['PSS', ' PSS']</t>
  </si>
  <si>
    <t xml:space="preserve"> PSS</t>
  </si>
  <si>
    <t xml:space="preserve">{"power conversion efficiency": {"entity_name": "power conversion efficiency", "entity_start": 239, "entity_end": 241, "property_value_start": 254, "property_value_end": 255, "property_numeric_value": 4.8,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</si>
  <si>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10.1039/c8tc00823j</t>
  </si>
  <si>
    <t xml:space="preserve">['BT']</t>
  </si>
  <si>
    <t xml:space="preserve">{"power conversion efficiency": {"entity_name": "power conversion efficiency", "entity_start": 227, "entity_end": 229, "property_value_start": 231, "property_value_end": 232, "property_numeric_value": 4.76, "property_unit": "%", "property_value_descriptor": ""}, "open circuit voltage": {"entity_name": "V_{oc}", "entity_start": 208, "entity_end": 210, "property_value_start": 212, "property_value_end": 213, "property_numeric_value": 0.74, "property_unit": "V", "property_value_descriptor": ""}, "short circuit current": {"entity_name": "J_{sc}", "entity_start": 193, "entity_end": 195, "property_value_start": 197, "property_value_end": 200, "property_numeric_value": 10.54, "property_unit": "mA cm^{-2}", "property_value_descriptor": ""}, "fill factor": {"entity_name": "FF", "entity_start": 221, "entity_end": 221, "property_value_start": 224, "property_value_end": 224, "property_numeric_value": 61.0,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</si>
  <si>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10.1039/c8tc06206d</t>
  </si>
  <si>
    <t xml:space="preserve">PDFQx-2TB</t>
  </si>
  <si>
    <t xml:space="preserve">['PDFQx', 'PDFQx-2 T', 'PDFQx-2 TB', 'PDFQx-2T2F', 'PDFQx-3 T', 'PDFQx-2 TB', 'PDFQx-2TB', 'PDFQx-2T', 'PDFQx-2T2F', 'PDFQx-2TB', 'PDFQx-3T']</t>
  </si>
  <si>
    <t xml:space="preserve">{"power conversion efficiency": {"entity_name": "PCEs", "entity_start": 90, "entity_end": 90, "property_value_start": 93, "property_value_end": 94, "property_numeric_value": 3.95,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</si>
  <si>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PDFQx-2T2F</t>
  </si>
  <si>
    <t xml:space="preserve">{"power conversion efficiency": {"entity_name": "PCEs", "entity_start": 90, "entity_end": 90, "property_value_start": 114, "property_value_end": 115, "property_numeric_value": 8.13,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</si>
  <si>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PDFQx-2T</t>
  </si>
  <si>
    <t xml:space="preserve">{"power conversion efficiency": {"entity_name": "PCEs", "entity_start": 90, "entity_end": 90, "property_value_start": 107, "property_value_end": 108, "property_numeric_value": 4.93,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</si>
  <si>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10.1039/c4tc00003j</t>
  </si>
  <si>
    <t xml:space="preserve">['phenyl-C61-butyric acid methyl ester', 'PCBM', 'PCB']</t>
  </si>
  <si>
    <t xml:space="preserve">{"power conversion efficiency": {"entity_name": "power conversion efficiency", "entity_start": 46, "entity_end": 48, "property_value_start": 50, "property_value_end": 51, "property_numeric_value": 4.24,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</si>
  <si>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efficiency", "entity_start": 46, "entity_end": 48, "property_value_start": 69, "property_value_end": 70, "property_numeric_value": 3.57,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</si>
  <si>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10.1039/c4tc01388c</t>
  </si>
  <si>
    <t xml:space="preserve">{"power conversion efficiency": {"entity_name": "PCE", "entity_start": 209, "entity_end": 209, "property_value_start": 211, "property_value_end": 212, "property_numeric_value": 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</si>
  <si>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10.1039/c4tc02107j</t>
  </si>
  <si>
    <t xml:space="preserve">TIPSBDT</t>
  </si>
  <si>
    <t xml:space="preserve">['TIPSBDT']</t>
  </si>
  <si>
    <t xml:space="preserve">{"power conversion efficiency": {"entity_name": "power conversion efficiency", "entity_start": 95, "entity_end": 97, "property_value_start": 99, "property_value_end": 100, "property_numeric_value": 5.46,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</si>
  <si>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10.1039/c4tc02432j</t>
  </si>
  <si>
    <t xml:space="preserve">P1-P5</t>
  </si>
  <si>
    <t xml:space="preserve">['P1-P5']</t>
  </si>
  <si>
    <t xml:space="preserve">{"power conversion efficiency": {"entity_name": "power conversion efficiencies", "entity_start": 163, "entity_end": 165, "property_value_start": 174, "property_value_end": 175, "property_numeric_value": 5.1, "property_unit": "%", "property_value_descriptor": ""}, "open circuit voltage": {}, "short circuit current": {}, "fill factor": {}, "highest occupied molecular orbital": {}, "lowest unoccupied molecular orbital": {}, "bandgap": {"entity_name": "optical band gaps", "entity_start": 50, "entity_end": 52, "property_value_start": 54, "property_value_end": 57, "property_numeric_value": 1.825, "property_unit": "eV", "property_value_descriptor": "and"}, "hole mobility": {}, "electron mobility": {}, "external quantum efficiency": {}}</t>
  </si>
  <si>
    <t xml:space="preserve">10.1039/c5tc00450k</t>
  </si>
  <si>
    <t xml:space="preserve">{"power conversion efficiency": {"entity_name": "PCE", "entity_start": 80, "entity_end": 80, "property_value_start": 83, "property_value_end": 84, "property_numeric_value": 3.54,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</si>
  <si>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10.1039/c5tc00398a</t>
  </si>
  <si>
    <t xml:space="preserve">PSBT</t>
  </si>
  <si>
    <t xml:space="preserve">[*]c1cc5c(s1)c4cc3sc2cc%12c(cc2c3cc4C5(c6ccc(CCCCCC)cc6)c7ccc(CCCCCC)cc7)C(c8ccc(CCCCCC)cc8)(c9ccc(CCCCCC)cc9)c%13cc(c%10c(OCCCCCC)c(OCCCCCC)c([*])c%11nsnc%10%11)sc%12%13</t>
  </si>
  <si>
    <t xml:space="preserve">['PSBT']</t>
  </si>
  <si>
    <t xml:space="preserve">{"power conversion efficiency": {"entity_name": "PCE", "entity_start": 291, "entity_end": 291, "property_value_start": 293, "property_value_end": 294, "property_numeric_value": 0.76, "property_unit": "%", "property_value_descriptor": ""}, "open circuit voltage": {"entity_name": "V_{oc}", "entity_start": 296, "entity_end": 297, "property_value_start": 299, "property_value_end": 300, "property_numeric_value": 0.64,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</si>
  <si>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10.1039/c6tc04271f</t>
  </si>
  <si>
    <t xml:space="preserve">PPyTDPP-BT</t>
  </si>
  <si>
    <t xml:space="preserve">['PPyTDPP-BT']</t>
  </si>
  <si>
    <t xml:space="preserve">{"power conversion efficiency": {"entity_name": "PCEs", "entity_start": 195, "entity_end": 195, "property_value_start": 221, "property_value_end": 222, "property_numeric_value": 0.82, "property_unit": "%", "property_value_descriptor": ""}, "open circuit voltage": {}, "short circuit current": {}, "fill factor": {}, "highest occupied molecular orbital": {}, "lowest unoccupied molecular orbital": {}, "bandgap": {"entity_name": "bandgaps", "entity_start": 65, "entity_end": 65, "property_value_start": 67, "property_value_end": 68, "property_numeric_value": 1.5, "property_unit": "eV", "property_value_descriptor": "~"}, "hole mobility": {}, "electron mobility": {}, "external quantum efficiency": {}}</t>
  </si>
  <si>
    <t xml:space="preserve">{"power conversion efficiency": {"entity_name": "PCEs", "entity_start": 195, "entity_end": 195, "property_value_start": 216, "property_value_end": 217, "property_numeric_value": 5.48,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</si>
  <si>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10.1039/c9tc03142a</t>
  </si>
  <si>
    <t xml:space="preserve">PNDI-BDT10</t>
  </si>
  <si>
    <t xml:space="preserve">{[*]c6ccc(c5ccc(c1cc3c(=O)n(CC(CCCCCCCC)CCCCCCCCCC)c(=O)c4c([*])cc2c(=O)n(CC(CCCCCCCC)CCCCCCCCCC)c(=O)c1c2c34)s5)s6, [*]c9cc8c(c1ccc(C(CC)CCCC)s1)c6sc(c2cc4c(=O)n(CC(CCCCCCCC)CCCCCCCCCC)c(=O)c5c([*])cc3c(=O)n(CC(CCCCCCCC)CCCCCCCCCC)c(=O)c2c3c45)cc6c(c7ccc(CC(CC)CCCC)s7)c8s9}</t>
  </si>
  <si>
    <t xml:space="preserve">['PNDI-BDT10']</t>
  </si>
  <si>
    <t xml:space="preserve">{"power conversion efficiency": {"entity_name": "PCEs", "entity_start": 164, "entity_end": 164, "property_value_start": 185, "property_value_end": 186, "property_numeric_value": 5.16,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</si>
  <si>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"PCEs", "entity_start": 164, "entity_end": 164, "property_value_start": 191, "property_value_end": 192, "property_numeric_value": 1.41,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</si>
  <si>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10.1039/c5tc00213c</t>
  </si>
  <si>
    <t xml:space="preserve">{"power conversion efficiency": {"entity_name": "PCE", "entity_start": 59, "entity_end": 59, "property_value_start": 62, "property_value_end": 63, "property_numeric_value": 6.29,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</si>
  <si>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10.1039/c9tc03506k</t>
  </si>
  <si>
    <t xml:space="preserve">IT-4F.</t>
  </si>
  <si>
    <t xml:space="preserve">['IT-4F.']</t>
  </si>
  <si>
    <t xml:space="preserve">{"power conversion efficiency": {"entity_name": "power conversion efficiency", "entity_start": 132, "entity_end": 134, "property_value_start": 139, "property_value_end": 140, "property_numeric_value": 11.03, "property_unit": "%", "property_value_descriptor": ""}, "open circuit voltage": {"entity_name": "V_{oc}", "entity_start": 280, "entity_end": 281, "property_value_start": 289, "property_value_end": 290, "property_numeric_value": 0.86,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</si>
  <si>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10.1039/c9tc03301g</t>
  </si>
  <si>
    <t xml:space="preserve">PTzTIBDTT</t>
  </si>
  <si>
    <t xml:space="preserve">[*]c%10cc(CCCCCCCCCCCC)c(c9nc8c(=O)n(CC(CCCCCC)CCCCCCCC)c(=O)c7cc(c6sc(c5cc4c(c1ccc(CC(CC)CCCC)s1)c2sc([*])cc2c(c3ccc(CC(CC)CCCC)s3)c4s5)cc6CCCCCCCCCCCC)sc7c8s9)s%10</t>
  </si>
  <si>
    <t xml:space="preserve">['PTzTIBDTT']</t>
  </si>
  <si>
    <t xml:space="preserve">{"power conversion efficiency": {"entity_name": "PCE", "entity_start": 156, "entity_end": 156, "property_value_start": 159, "property_value_end": 160, "property_numeric_value": 8.0, "property_unit": "%", "property_value_descriptor": ""}, "open circuit voltage": {"entity_name": "V_{oc}", "entity_start": 164, "entity_end": 165, "property_value_start": 167, "property_value_end": 168, "property_numeric_value": 0.9,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</si>
  <si>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10.1039/c4tc01302f</t>
  </si>
  <si>
    <t xml:space="preserve">{"power conversion efficiency": {"entity_name": "power conversion efficiency", "entity_start": 176, "entity_end": 178, "property_value_start": 197, "property_value_end": 198, "property_numeric_value": 6.3,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</si>
  <si>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10.1039/c8tc02243g</t>
  </si>
  <si>
    <t xml:space="preserve">indene</t>
  </si>
  <si>
    <t xml:space="preserve">['indene']</t>
  </si>
  <si>
    <t xml:space="preserve">{"power conversion efficiency": {"entity_name": "power conversion efficiency", "entity_start": 113, "entity_end": 115, "property_value_start": 146, "property_value_end": 147, "property_numeric_value": 5.04,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</si>
  <si>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10.1039/c8tc04421j</t>
  </si>
  <si>
    <t xml:space="preserve">PBD</t>
  </si>
  <si>
    <t xml:space="preserve">['PBD']</t>
  </si>
  <si>
    <t xml:space="preserve">{"power conversion efficiency": {"entity_name": "power conversion efficiency", "entity_start": 198, "entity_end": 200, "property_value_start": 202, "property_value_end": 203, "property_numeric_value": 8.4,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</si>
  <si>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10.1039/d0tc00779j</t>
  </si>
  <si>
    <t xml:space="preserve">["poly[4,4'-bis(2-butyloctoxycarbonyl-[2,2'-bithiophene]-5,5-diyl)-alt-(2,2'bithiophene-5,5'diyl)]", 'PDCBT']</t>
  </si>
  <si>
    <t xml:space="preserve">{"power conversion efficiency": {"entity_name": "PCE", "entity_start": 183, "entity_end": 183, "property_value_start": 196, "property_value_end": 197, "property_numeric_value": 6.17, "property_unit": "%", "property_value_descriptor": ""}, "open circuit voltage": {"entity_name": "open circuit voltage", "entity_start": 116, "entity_end": 118, "property_value_start": 120, "property_value_end": 121, "property_numeric_value": 0.92, "property_unit": "V", "property_value_descriptor": ""}, "short circuit current": {"entity_name": "short circuit current", "entity_start": 126, "entity_end": 128, "property_value_start": 132, "property_value_end": 135, "property_numeric_value": 11.14, "property_unit": "mA cm^{-2}", "property_value_descriptor": ""}, "fill factor": {"entity_name": "fill factor", "entity_start": 137, "entity_end": 138, "property_value_start": 142, "property_value_end": 142, "property_numeric_value": 61.0,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</si>
  <si>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10.1039/c9tc02237f</t>
  </si>
  <si>
    <t xml:space="preserve">IDT</t>
  </si>
  <si>
    <t xml:space="preserve">IDTV; IDTV-PhIC; m-IDTV-PhIC</t>
  </si>
  <si>
    <t xml:space="preserve">{"power conversion efficiency": {"entity_name": "PCE", "entity_start": 388, "entity_end": 388, "property_value_start": 390, "property_value_end": 391, "property_numeric_value": 5.85,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</si>
  <si>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IDTV-PhIC</t>
  </si>
  <si>
    <t xml:space="preserve">['IDTV-PhIC', 'IDT-PhIC']</t>
  </si>
  <si>
    <t xml:space="preserve">{"power conversion efficiency": {}, "open circuit voltage": {"entity_name": "V_{oc}", "entity_start": 396, "entity_end": 397, "property_value_start": 399, "property_value_end": 400, "property_numeric_value": 0.99,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</si>
  <si>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{}, "short circuit current": {"entity_name": "J_{sc}", "entity_start": 403, "entity_end": 404, "property_value_start": 406, "property_value_end": 409, "property_numeric_value": 11.58,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</si>
  <si>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10.1039/d0tc01313g</t>
  </si>
  <si>
    <t xml:space="preserve">HO</t>
  </si>
  <si>
    <t xml:space="preserve">['HO']</t>
  </si>
  <si>
    <t xml:space="preserve">{"power conversion efficiency": {"entity_name": "PCE", "entity_start": 239, "entity_end": 239, "property_value_start": 244, "property_value_end": 245, "property_numeric_value": 11.85,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</si>
  <si>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10.1039/c8tc01858h</t>
  </si>
  <si>
    <t xml:space="preserve">PThTD3</t>
  </si>
  <si>
    <t xml:space="preserve">[*]c8ccc(c1cc7c(s1)c6sc5c4sc3c2sc([*])cc2n(CC(CCCCCCCC)CCCCCCCCCC)c(=O)c3c4sc5c6c(=O)n7CC(CCCCCCCC)CCCCCCCCCC)s8</t>
  </si>
  <si>
    <t xml:space="preserve">['PThTD3']</t>
  </si>
  <si>
    <t xml:space="preserve">{"power conversion efficiency": {"entity_name": "PCE", "entity_start": 69, "entity_end": 69, "property_value_start": 71, "property_value_end": 72, "property_numeric_value": 7.25,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</si>
  <si>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10.1039/c5tc00785b</t>
  </si>
  <si>
    <t xml:space="preserve">{"power conversion efficiency": {"entity_name": "PCE", "entity_start": 226, "entity_end": 226, "property_value_start": 230, "property_value_end": 231, "property_numeric_value": 4.5, "property_unit": "%", "property_value_descriptor": ""}, "open circuit voltage": {"entity_name": "V_{oc}", "entity_start": 165, "entity_end": 166, "property_value_start": 168, "property_value_end": 169, "property_numeric_value": 0.75, "property_unit": "V", "property_value_descriptor": ""}, "short circuit current": {"entity_name": "J_{sc}", "entity_start": 172, "entity_end": 173, "property_value_start": 175, "property_value_end": 178, "property_numeric_value": 13.0, "property_unit": "mA cm^{-2}", "property_value_descriptor": ""}, "fill factor": {"entity_name": "FF", "entity_start": 181, "entity_end": 181, "property_value_start": 183, "property_value_end": 184, "property_numeric_value": 64.8,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</si>
  <si>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10.1039/c7tc05702d</t>
  </si>
  <si>
    <t xml:space="preserve">["poly[4,8-bis(5-(2-ethylhexyl)thiophen-2-yl)benzo[1,2-b:4,5-b'] dithiophene-co-3-fluorothieno[3,4-b]thiophene-2-carboxylate]:[6,6]-phenyl-C_{70}-butyric acid methyl ester", 'PTB7-Th']</t>
  </si>
  <si>
    <t xml:space="preserve">{"power conversion efficiency": {"entity_name": "PCE", "entity_start": 185, "entity_end": 185, "property_value_start": 200, "property_value_end": 201, "property_numeric_value": 8.52,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</si>
  <si>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10.1039/c3tc00063j</t>
  </si>
  <si>
    <t xml:space="preserve">poly(3-n-hexylthiophene-2,5-diyl)</t>
  </si>
  <si>
    <t xml:space="preserve">['poly(3-n-hexylthiophene-2,5-diyl)', 'P3HT', 'P3HT']</t>
  </si>
  <si>
    <t xml:space="preserve">{"power conversion efficiency": {"entity_name": "PCE", "entity_start": 201, "entity_end": 201, "property_value_start": 219, "property_value_end": 220, "property_numeric_value": 3.23,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</si>
  <si>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10.1039/c6tc00760k</t>
  </si>
  <si>
    <t xml:space="preserve">{"power conversion efficiency": {"entity_name": "PCE", "entity_start": 247, "entity_end": 247, "property_value_start": 249, "property_value_end": 250, "property_numeric_value": 7.5, "property_unit": "%", "property_value_descriptor": ""}, "open circuit voltage": {"entity_name": "V_{oc}", "entity_start": 64, "entity_end": 65, "property_value_start": 71, "property_value_end": 72, "property_numeric_value": 0.62,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</si>
  <si>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163, "entity_end": 163, "property_value_start": 200, "property_value_end": 201, "property_numeric_value": 3.2, "property_unit": "%", "property_value_descriptor": ""}, "open circuit voltage": {}, "short circuit current": {}, "fill factor": {"entity_name": "FF", "entity_start": 78, "entity_end": 78, "property_value_start": 83, "property_value_end": 83, "property_numeric_value": 67.0,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</si>
  <si>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10.1039/d0tc00822b</t>
  </si>
  <si>
    <t xml:space="preserve">{"power conversion efficiency": {"entity_name": "power conversion efficiency", "entity_start": 111, "entity_end": 113, "property_value_start": 116, "property_value_end": 117, "property_numeric_value": 9.0,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</si>
  <si>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10.1039/d0tc01707h</t>
  </si>
  <si>
    <t xml:space="preserve">['perylene diimide', 'PDI']</t>
  </si>
  <si>
    <t xml:space="preserve">PTB7-Th; PDI</t>
  </si>
  <si>
    <t xml:space="preserve">{"power conversion efficiency": {"entity_name": "PCE", "entity_start": 211, "entity_end": 211, "property_value_start": 213, "property_value_end": 214, "property_numeric_value": 9.05, "property_unit": "%", "property_value_descriptor": ""}, "open circuit voltage": {}, "short circuit current": {}, "fill factor": {"entity_name": "FF", "entity_start": 204, "entity_end": 204, "property_value_start": 206, "property_value_end": 207, "property_numeric_value": 66.9,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</si>
  <si>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"PCEs", "entity_start": 230, "entity_end": 230, "property_value_start": 232, "property_value_end": 233, "property_numeric_value": 9.0,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</si>
  <si>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10.1039/c9tc02013f</t>
  </si>
  <si>
    <t xml:space="preserve">Py-e-PDI</t>
  </si>
  <si>
    <t xml:space="preserve">['Py-e-PDI']</t>
  </si>
  <si>
    <t xml:space="preserve">Py-e-PDI; PDI)-base</t>
  </si>
  <si>
    <t xml:space="preserve">{"power conversion efficiency": {"entity_name": "power conversion efficiency", "entity_start": 127, "entity_end": 129, "property_value_start": 133, "property_value_end": 134, "property_numeric_value": 7.59,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</si>
  <si>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10.1039/d0tc00270d</t>
  </si>
  <si>
    <t xml:space="preserve">NTO-4F</t>
  </si>
  <si>
    <t xml:space="preserve">['NTO-4F']</t>
  </si>
  <si>
    <t xml:space="preserve">{"power conversion efficiency": {"entity_name": "PCE", "entity_start": 160, "entity_end": 160, "property_value_start": 163, "property_value_end": 164, "property_numeric_value": 11.5, "property_unit": "%", "property_value_descriptor": ""}, "open circuit voltage": {"entity_name": "V_{oc}", "entity_start": 173, "entity_end": 174, "property_value_start": 177, "property_value_end": 178, "property_numeric_value": 0.99, "property_unit": "V", "property_value_descriptor": ""}, "short circuit current": {"entity_name": "J_{sc}", "entity_start": 186, "entity_end": 187, "property_value_start": 190, "property_value_end": 193, "property_numeric_value": 19.1, "property_unit": "mA cm^{-2}", "property_value_descriptor": ""}, "fill factor": {}, "highest occupied molecular orbital": {}, "lowest unoccupied molecular orbital": {"entity_name": "LUMO", "entity_start": 115, "entity_end": 116, "property_value_start": 118, "property_value_end": 119, "property_numeric_value": -3.88, "property_unit": "eV", "property_value_descriptor": ""}, "bandgap": {"entity_name": "optical band gap", "entity_start": 95, "entity_end": 97, "property_value_start": 99, "property_value_end": 100, "property_numeric_value": 1.55, "property_unit": "eV", "property_value_descriptor": ""}, "hole mobility": {}, "electron mobility": {}, "external quantum efficiency": {}}</t>
  </si>
  <si>
    <t xml:space="preserve">10.1039/c9tc05601g</t>
  </si>
  <si>
    <t xml:space="preserve">P2TBT-BT</t>
  </si>
  <si>
    <t xml:space="preserve">['P2TBT-BT', 'P2TBT-BX']</t>
  </si>
  <si>
    <t xml:space="preserve">{"power conversion efficiency": {"entity_name": "PCE", "entity_start": 173, "entity_end": 173, "property_value_start": 176, "property_value_end": 177, "property_numeric_value": 8.8,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</si>
  <si>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10.1039/c9tc06018a</t>
  </si>
  <si>
    <t xml:space="preserve">F11</t>
  </si>
  <si>
    <t xml:space="preserve">['PFTBDF-FBTA', 'F10', 'F10-based', 'F11']</t>
  </si>
  <si>
    <t xml:space="preserve">{"power conversion efficiency": {"entity_name": "PCE", "entity_start": 221, "entity_end": 221, "property_value_start": 223, "property_value_end": 224, "property_numeric_value": 11.37, "property_unit": "%", "property_value_descriptor": ""}, "open circuit voltage": {"entity_name": "V_{oc}", "entity_start": 204, "entity_end": 205, "property_value_start": 207, "property_value_end": 208, "property_numeric_value": 0.921,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</si>
  <si>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10.1039/c9tc03407b</t>
  </si>
  <si>
    <t xml:space="preserve">FTTBT</t>
  </si>
  <si>
    <t xml:space="preserve">['FTTBT']</t>
  </si>
  <si>
    <t xml:space="preserve">FTBT</t>
  </si>
  <si>
    <t xml:space="preserve">['FTBT']</t>
  </si>
  <si>
    <t xml:space="preserve">{"power conversion efficiency": {"entity_name": "PCE", "entity_start": 58, "entity_end": 58, "property_value_start": 61, "property_value_end": 62, "property_numeric_value": 9.79, "property_unit": "%", "property_value_descriptor": ""}, "open circuit voltage": {"entity_name": "V_{oc}", "entity_start": 65, "entity_end": 66, "property_value_start": 68, "property_value_end": 69, "property_numeric_value": 0.934, "property_unit": "V", "property_value_descriptor": ""}, "short circuit current": {"entity_name": "J_{sc}", "entity_start": 72, "entity_end": 73, "property_value_start": 75, "property_value_end": 78, "property_numeric_value": 16.01, "property_unit": "mA cm^{-2}", "property_value_descriptor": ""}, "fill factor": {"entity_name": "FF", "entity_start": 81, "entity_end": 81, "property_value_start": 83, "property_value_end": 84, "property_numeric_value": 65.49,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</si>
  <si>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10.1039/c9tc06571g</t>
  </si>
  <si>
    <t xml:space="preserve">{"power conversion efficiency": {"entity_name": "PCE", "entity_start": 107, "entity_end": 107, "property_value_start": 110, "property_value_end": 111, "property_numeric_value": 9.43,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</si>
  <si>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10.1039/c9tc03487k</t>
  </si>
  <si>
    <t xml:space="preserve">['P4', 'P4^{+}.', 'Px^{+}.', 'Px', 'P4']</t>
  </si>
  <si>
    <t xml:space="preserve">{"power conversion efficiency": {"entity_name": "PCEs", "entity_start": 308, "entity_end": 308, "property_value_start": 311, "property_value_end": 312, "property_numeric_value": 7.36, "property_unit": "%", "property_value_descriptor": ""}, "open circuit voltage": {"entity_name": "V_{oc}", "entity_start": 324, "entity_end": 325, "property_value_start": 327, "property_value_end": 328, "property_numeric_value": 0.92, "property_unit": "V", "property_value_descriptor": ""}, "short circuit current": {"entity_name": "J_{sc}", "entity_start": 316, "entity_end": 317, "property_value_start": 319, "property_value_end": 322, "property_numeric_value": 12.94,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</si>
  <si>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10.1039/d0tc00269k</t>
  </si>
  <si>
    <t xml:space="preserve">{"power conversion efficiency": {"entity_name": "power conversion efficiency", "entity_start": 170, "entity_end": 172, "property_value_start": 174, "property_value_end": 175, "property_numeric_value": 10.74,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</si>
  <si>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10.1039/d0tc00435a</t>
  </si>
  <si>
    <t xml:space="preserve">O</t>
  </si>
  <si>
    <t xml:space="preserve">['O']</t>
  </si>
  <si>
    <t xml:space="preserve">{"power conversion efficiency": {"entity_name": "PCEs", "entity_start": 182, "entity_end": 182, "property_value_start": 188, "property_value_end": 191, "property_numeric_value": 5.85,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</si>
  <si>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10.1039/c8tc02838a</t>
  </si>
  <si>
    <t xml:space="preserve">{"power conversion efficiency": {"entity_name": "PCE", "entity_start": 130, "entity_end": 130, "property_value_start": 132, "property_value_end": 133, "property_numeric_value": 18.2,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</si>
  <si>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10.1039/c4tc01056f</t>
  </si>
  <si>
    <t xml:space="preserve">{"power conversion efficiency": {"entity_name": "power conversion efficiencies", "entity_start": 185, "entity_end": 187, "property_value_start": 191, "property_value_end": 192, "property_numeric_value": 3.65,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</si>
  <si>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10.1039/c7mh00559h</t>
  </si>
  <si>
    <t xml:space="preserve">{"power conversion efficiency": {"entity_name": "power conversion efficiencies", "entity_start": 163, "entity_end": 165, "property_value_start": 167, "property_value_end": 168, "property_numeric_value": 10.1, "property_unit": "%", "property_value_descriptor": ""}, "open circuit voltage": {"entity_name": "V_{OC}", "entity_start": 250, "entity_end": 251, "property_value_start": 255, "property_value_end": 256, "property_numeric_value": 11.6, "property_unit": "V", "property_value_descriptor": ""}, "short circuit current": {}, "fill factor": {"entity_name": "fill factor", "entity_start": 214, "entity_end": 215, "property_value_start": 217, "property_value_end": 217, "property_numeric_value": 71.0,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</si>
  <si>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{"entity_name": "V_{OC}", "entity_start": 205, "entity_end": 206, "property_value_start": 209, "property_value_end": 210, "property_numeric_value": 6.3,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</si>
  <si>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efficiency", "entity_start": 259, "entity_end": 261, "property_value_start": 263, "property_value_end": 264, "property_numeric_value": 6.3,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</si>
  <si>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10.1039/c2cc31752d</t>
  </si>
  <si>
    <t xml:space="preserve">PF-NDI</t>
  </si>
  <si>
    <t xml:space="preserve">['PF-NDI']</t>
  </si>
  <si>
    <t xml:space="preserve">{"power conversion efficiency": {"entity_name": "power conversion efficiency", "entity_start": 21, "entity_end": 23, "property_value_start": 38, "property_value_end": 39, "property_numeric_value": 1.63, "property_unit": "%", "property_value_descriptor": ""}, "open circuit voltage": {}, "short circuit current": {}, "fill factor": {"entity_name": "fill factor", "entity_start": 44, "entity_end": 45, "property_value_start": 47, "property_value_end": 47, "property_numeric_value": 66.0,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</si>
  <si>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10.1039/c3cc44536d</t>
  </si>
  <si>
    <t xml:space="preserve">{"power conversion efficiency": {"entity_name": "power conversion efficiencies", "entity_start": 32, "entity_end": 34, "property_value_start": 36, "property_value_end": 37,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</si>
  <si>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10.1039/c5cc08484a</t>
  </si>
  <si>
    <t xml:space="preserve">["poly[[4,8-bis[5-(2-ethylhexyl)thiophene-2-yl]benzo[1,2-b:4,5-b']dithiophene-2,6-diyl][3-fluoro-2-[(2-ethylhexyl)carbonyl]thieno[3,4-b]thiophenediyl]]", 'PTB7-Th']</t>
  </si>
  <si>
    <t xml:space="preserve">{"power conversion efficiency": {"entity_name": "PCE", "entity_start": 80, "entity_end": 80, "property_value_start": 83, "property_value_end": 84, "property_numeric_value": 5.34, "property_unit": "%", "property_value_descriptor": ""}, "open circuit voltage": {}, "short circuit current": {}, "fill factor": {}, "highest occupied molecular orbital": {}, "lowest unoccupied molecular orbital": {"entity_name": "LUMO energy level", "entity_start": 45, "entity_end": 47, "property_value_start": 49, "property_value_end": 50, "property_numeric_value": -4.11, "property_unit": "eV", "property_value_descriptor": ""}, "bandgap": {}, "hole mobility": {}, "electron mobility": {}, "external quantum efficiency": {}}</t>
  </si>
  <si>
    <t xml:space="preserve">10.1039/c1cc13690a</t>
  </si>
  <si>
    <t xml:space="preserve">PNB</t>
  </si>
  <si>
    <t xml:space="preserve">['PNB']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</si>
  <si>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bandgap", "entity_start": 13, "entity_end": 14, "property_value_start": 16, "property_value_end": 17, "property_numeric_value": 1.64, "property_unit": "eV", "property_value_descriptor": "~"}, "hole mobility": {}, "electron mobility": {}, "external quantum efficiency": {}}</t>
  </si>
  <si>
    <t xml:space="preserve">{"power conversion efficiency": {"entity_name": "power conversion efficiency", "entity_start": 33, "entity_end": 35, "property_value_start": 37, "property_value_end": 38, "property_numeric_value": 5.3,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{"entity_name": "external quantum efficiency", "entity_start": 40, "entity_end": 42, "property_value_start": 44, "property_value_end": 45, "property_numeric_value": 60.0, "property_unit": "%", "property_value_descriptor": ""}}</t>
  </si>
  <si>
    <t xml:space="preserve">10.1039/c1cc12789f</t>
  </si>
  <si>
    <t xml:space="preserve">{"power conversion efficiency": {"entity_name": "PCE", "entity_start": 41, "entity_end": 41, "property_value_start": 44, "property_value_end": 45,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</si>
  <si>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10.1039/c6ra06898g</t>
  </si>
  <si>
    <t xml:space="preserve">PhDMe(DPP)_{2}</t>
  </si>
  <si>
    <t xml:space="preserve">['DPP', 'Ph(DPP)_{3}', 'Ph(DPP)_{2}', 'PhDMe(DPP)_{2}']</t>
  </si>
  <si>
    <t xml:space="preserve">{"power conversion efficiency": {"entity_name": "PCEs", "entity_start": 169, "entity_end": 169, "property_value_start": 201, "property_value_end": 202, "property_numeric_value": 0.43,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</si>
  <si>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Ph(DPP)_{3}</t>
  </si>
  <si>
    <t xml:space="preserve">{"power conversion efficiency": {"entity_name": "PCEs", "entity_start": 102, "entity_end": 102, "property_value_start": 141, "property_value_end": 142, "property_numeric_value": 0.31, "property_unit": "%", "property_value_descriptor": ""}, "open circuit voltage": {"entity_name": "V_{oc}", "entity_start": 153, "entity_end": 154, "property_value_start": 158, "property_value_end": 159, "property_numeric_value": 1.0,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</si>
  <si>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Ph(DPP)_{2}</t>
  </si>
  <si>
    <t xml:space="preserve">{"power conversion efficiency": {"entity_name": "PCEs", "entity_start": 169, "entity_end": 169, "property_value_start": 213, "property_value_end": 214, "property_numeric_value": 0.04, "property_unit": "%", "property_value_descriptor": ""}, "open circuit voltage": {"entity_name": "V_{oc}", "entity_start": 219, "entity_end": 220, "property_value_start": 222, "property_value_end": 223, "property_numeric_value": 0.82,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</si>
  <si>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10.1039/c7ra01859b</t>
  </si>
  <si>
    <t xml:space="preserve">TPACN)_{2}Q</t>
  </si>
  <si>
    <t xml:space="preserve">['TPACN)_{2}Q']</t>
  </si>
  <si>
    <t xml:space="preserve">{"power conversion efficiency": {"entity_name": "PCE", "entity_start": 125, "entity_end": 125, "property_value_start": 128, "property_value_end": 129, "property_numeric_value": 6.25, "property_unit": "%", "property_value_descriptor": ""}, "open circuit voltage": {}, "short circuit current": {}, "fill factor": {}, "highest occupied molecular orbital": {}, "lowest unoccupied molecular orbital": {}, "bandgap": {"entity_name": "band-gap", "entity_start": 98, "entity_end": 100, "property_value_start": 102, "property_value_end": 103, "property_numeric_value": 1.88, "property_unit": "eV", "property_value_descriptor": ""}, "hole mobility": {}, "electron mobility": {}, "external quantum efficiency": {}}</t>
  </si>
  <si>
    <t xml:space="preserve">10.1039/c6ra28306c</t>
  </si>
  <si>
    <t xml:space="preserve">['PF12TBT']</t>
  </si>
  <si>
    <t xml:space="preserve">{"power conversion efficiency": {"entity_name": "PCE", "entity_start": 294, "entity_end": 294, "property_value_start": 297, "property_value_end": 298, "property_numeric_value": 8.09,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</si>
  <si>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294, "entity_end": 294, "property_value_start": 308, "property_value_end": 309, "property_numeric_value": 9.28,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</si>
  <si>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10.1039/c9ra01750j</t>
  </si>
  <si>
    <t xml:space="preserve">N-PTZ-BDP</t>
  </si>
  <si>
    <t xml:space="preserve">['N-PTZ-BDP']</t>
  </si>
  <si>
    <t xml:space="preserve">{"power conversion efficiency": {"entity_name": "PCE", "entity_start": 227, "entity_end": 227, "property_value_start": 229, "property_value_end": 230, "property_numeric_value": 1.62,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</si>
  <si>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10.1039/c7ra06511f</t>
  </si>
  <si>
    <t xml:space="preserve">{"power conversion efficiency": {"entity_name": "PCE", "entity_start": 163, "entity_end": 163, "property_value_start": 166, "property_value_end": 167, "property_numeric_value": 5.4,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</si>
  <si>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10.1039/c5ra27077d</t>
  </si>
  <si>
    <t xml:space="preserve">["poly[[4,8-bis[(2-ethylhexyl)oxy]benzo[1,2-b:4,5-b']dithiophene-2,6-diyl][3-fluoro-2-[(2-ethylhexyl)carbonyl]thieno[3,4-b]thiophenediyl]]:[6,6]-phenyl-C_{71}-butyric acid methyl-ester", 'PTB7']</t>
  </si>
  <si>
    <t xml:space="preserve">{"power conversion efficiency": {"entity_name": "PCE", "entity_start": 275, "entity_end": 275, "property_value_start": 277, "property_value_end": 278, "property_numeric_value": 7.89, "property_unit": "%", "property_value_descriptor": ""}, "open circuit voltage": {}, "short circuit current": {}, "fill factor": {"entity_name": "FF", "entity_start": 268, "entity_end": 268, "property_value_start": 270, "property_value_end": 271, "property_numeric_value": 63.2,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</si>
  <si>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304, "entity_end": 304, "property_value_start": 306, "property_value_end": 307, "property_numeric_value": 0.46, "property_unit": "%", "property_value_descriptor": ""}, "open circuit voltage": {"entity_name": "V_{OC}", "entity_start": 311, "entity_end": 312, "property_value_start": 314, "property_value_end": 315, "property_numeric_value": 0.197, "property_unit": "V", "property_value_descriptor": ""}, "short circuit current": {}, "fill factor": {"entity_name": "FF", "entity_start": 317, "entity_end": 317, "property_value_start": 319, "property_value_end": 320, "property_numeric_value": 34.3,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</si>
  <si>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10.1039/c5ra27596b</t>
  </si>
  <si>
    <t xml:space="preserve">{"power conversion efficiency": {"entity_name": "PCE", "entity_start": 122, "entity_end": 122, "property_value_start": 125, "property_value_end": 126, "property_numeric_value": 7.57,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</si>
  <si>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10.1039/c6ra05062j</t>
  </si>
  <si>
    <t xml:space="preserve">{"power conversion efficiency": {"entity_name": "PCE", "entity_start": 274, "entity_end": 274, "property_value_start": 286, "property_value_end": 287, "property_numeric_value": 3.62, "property_unit": "%", "property_value_descriptor": ""}, "open circuit voltage": {}, "short circuit current": {"entity_name": "J_{sc}", "entity_start": 267, "entity_end": 268, "property_value_start": 281, "property_value_end": 284, "property_numeric_value": 7.98, "property_unit": "mA cm^{-2}", "property_value_descriptor": ""}, "fill factor": {}, "highest occupied molecular orbital": {}, "lowest unoccupied molecular orbital": {}, "bandgap": {"entity_name": "band gaps", "entity_start": 124, "entity_end": 125, "property_value_start": 127, "property_value_end": 130, "property_numeric_value": 1.81, "property_unit": "eV", "property_value_descriptor": "and"}, "hole mobility": {}, "electron mobility": {}, "external quantum efficiency": {}}</t>
  </si>
  <si>
    <t xml:space="preserve">10.1039/c6ra19030h</t>
  </si>
  <si>
    <t xml:space="preserve">SB</t>
  </si>
  <si>
    <t xml:space="preserve">{"power conversion efficiency": {"entity_name": "power conversion efficiency", "entity_start": 160, "entity_end": 162, "property_value_start": 185, "property_value_end": 186, "property_numeric_value": 0.48,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</si>
  <si>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10.1039/c3ra41518j</t>
  </si>
  <si>
    <t xml:space="preserve">1,3-di(thiophene-2-yl)benzo[c]thiophene</t>
  </si>
  <si>
    <t xml:space="preserve">{"power conversion efficiency": {"entity_name": "power conversion efficiencies", "entity_start": 188, "entity_end": 190, "property_value_start": 195, "property_value_end": 196, "property_numeric_value": 1.98, "property_unit": "%", "property_value_descriptor": ""}, "open circuit voltage": {}, "short circuit current": {}, "fill factor": {}, "highest occupied molecular orbital": {"entity_name": "HOMO", "entity_start": 96, "entity_end": 96, "property_value_start": 111, "property_value_end": 114, "property_numeric_value": 0.020000000000000018, "property_unit": "eV", "property_value_descriptor": "to"}, "lowest unoccupied molecular orbital": {}, "bandgap": {"entity_name": "optical band gaps", "entity_start": 79, "entity_end": 81, "property_value_start": 84, "property_value_end": 85, "property_numeric_value": 1.86, "property_unit": "eV", "property_value_descriptor": ""}, "hole mobility": {}, "electron mobility": {}, "external quantum efficiency": {}}</t>
  </si>
  <si>
    <t xml:space="preserve">poly(2Z,2'Z)-2,2'-(2,5-bis(octyloxy)-1,4-phenylene)bis(3-(5-(3-(3-hexylthiophen-2-yl)benzo[c] thiophen-1-yl)thiophen-2-yl)acrylonitrile)</t>
  </si>
  <si>
    <t xml:space="preserve">["poly(2Z,2'Z)-2,2'-(2,5-bis(octyloxy)-1,4-phenylene)bis(3-(5-(3-(3-hexylthiophen-2-yl)benzo[c] thiophen-1-yl)thiophen-2-yl)acrylonitrile)", 'CN-PHTBTPB']</t>
  </si>
  <si>
    <t xml:space="preserve">{"power conversion efficiency": {}, "open circuit voltage": {}, "short circuit current": {}, "fill factor": {}, "highest occupied molecular orbital": {"entity_name": "HOMO", "entity_start": 96, "entity_end": 96, "property_value_start": 99, "property_value_end": 102, "property_numeric_value": 0.14000000000000012, "property_unit": "eV", "property_value_descriptor": "to"}, "lowest unoccupied molecular orbital": {}, "bandgap": {}, "hole mobility": {}, "electron mobility": {}, "external quantum efficiency": {}}</t>
  </si>
  <si>
    <t xml:space="preserve">10.1039/c7ra08522b</t>
  </si>
  <si>
    <t xml:space="preserve">PTBTfBTzSi</t>
  </si>
  <si>
    <t xml:space="preserve">[*]c%11ccc(c9ccc(c8ccc(c6c(F)cc(c1cc5c(s1)c4sc(c2cc(F)c([*])c3nn(CCCCCC)nc23)cc4[Si]5(CCCCCCCC)CCCCCCCC)c7nn(CCCCCC)nc67)s8)c%10nsnc9%10)s%11</t>
  </si>
  <si>
    <t xml:space="preserve">['PTBTfBTzSi']</t>
  </si>
  <si>
    <t xml:space="preserve">{"power conversion efficiency": {"entity_name": "PCE", "entity_start": 160, "entity_end": 160, "property_value_start": 162, "property_value_end": 163, "property_numeric_value": 8.91, "property_unit": "%", "property_value_descriptor": ""}, "open circuit voltage": {"entity_name": "open circuit voltage", "entity_start": 214, "entity_end": 216, "property_value_start": 218, "property_value_end": 219, "property_numeric_value": 0.98, "property_unit": "V", "property_value_descriptor": ""}, "short circuit current": {"entity_name": "short circuit current", "entity_start": 205, "entity_end": 207, "property_value_start": 209, "property_value_end": 212, "property_numeric_value": 9.53, "property_unit": "mA cm^{-2}", "property_value_descriptor": ""}, "fill factor": {"entity_name": "fill factor", "entity_start": 221, "entity_end": 222, "property_value_start": 224, "property_value_end": 224, "property_numeric_value": 53.0, "property_unit": "%", "property_value_descriptor": ""}, "highest occupied molecular orbital": {}, "lowest unoccupied molecular orbital": {}, "bandgap": {"entity_name": "optical bandgap", "entity_start": 17, "entity_end": 18, "property_value_start": 20, "property_value_end": 21, "property_numeric_value": 1.53, "property_unit": "eV", "property_value_descriptor": ""}, "hole mobility": {}, "electron mobility": {}, "external quantum efficiency": {}}</t>
  </si>
  <si>
    <t xml:space="preserve">10.1039/c7ra11191f</t>
  </si>
  <si>
    <t xml:space="preserve">{"power conversion efficiency": {"entity_name": "power conversion efficiency", "entity_start": 144, "entity_end": 146, "property_value_start": 184, "property_value_end": 185, "property_numeric_value": 2.37,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</si>
  <si>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10.1039/c3ra47098a</t>
  </si>
  <si>
    <t xml:space="preserve">PSeTPTI</t>
  </si>
  <si>
    <t xml:space="preserve">['TPTI', 'PSeTPTI']</t>
  </si>
  <si>
    <t xml:space="preserve">{"power conversion efficiency": {"entity_name": "PCE", "entity_start": 57, "entity_end": 57, "property_value_start": 59, "property_value_end": 60, "property_numeric_value": 6.04,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40, "entity_end": 41, "property_value_start": 43, "property_value_end": 48, "property_numeric_value": 0.26, "property_unit": "cm^{2} V^{-1} s^{-1}", "property_value_descriptor": ""}, "electron mobility": {}, "external quantum efficiency": {}}</t>
  </si>
  <si>
    <t xml:space="preserve">10.1039/c4ra02254h</t>
  </si>
  <si>
    <t xml:space="preserve">{"power conversion efficiency": {"entity_name": "PCE", "entity_start": 57, "entity_end": 57, "property_value_start": 80, "property_value_end": 81, "property_numeric_value": 7.75,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</si>
  <si>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10.1039/c4ra03941f</t>
  </si>
  <si>
    <t xml:space="preserve">ttbPcGaF</t>
  </si>
  <si>
    <t xml:space="preserve">['ttbPcGaF']</t>
  </si>
  <si>
    <t xml:space="preserve">{"power conversion efficiency": {"entity_name": "PCE", "entity_start": 148, "entity_end": 148, "property_value_start": 150, "property_value_end": 151, "property_numeric_value": 0.03,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</si>
  <si>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10.1039/c4ra06967f</t>
  </si>
  <si>
    <t xml:space="preserve">PIDT3 T</t>
  </si>
  <si>
    <t xml:space="preserve">['PIDT3 T']</t>
  </si>
  <si>
    <t xml:space="preserve">{"power conversion efficiency": {}, "open circuit voltage": {}, "short circuit current": {}, "fill factor": {}, "highest occupied molecular orbital": {"entity_name": "HOMO levels", "entity_start": 57, "entity_end": 58, "property_value_start": 63, "property_value_end": 64, "property_numeric_value": -5.3, "property_unit": "eV", "property_value_descriptor": ""}, "lowest unoccupied molecular orbital": {}, "bandgap": {"entity_name": "band gaps", "entity_start": 46, "entity_end": 47, "property_value_start": 52, "property_value_end": 53, "property_numeric_value": 1.75, "property_unit": "eV", "property_value_descriptor": ""}, "hole mobility": {}, "electron mobility": {}, "external quantum efficiency": {}}</t>
  </si>
  <si>
    <t xml:space="preserve">{"power conversion efficiency": {"entity_name": "PCE", "entity_start": 184, "entity_end": 184, "property_value_start": 187, "property_value_end": 188, "property_numeric_value": 4.52,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</si>
  <si>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10.1039/c4ra08214a</t>
  </si>
  <si>
    <t xml:space="preserve">PBDTBBT</t>
  </si>
  <si>
    <t xml:space="preserve">['PBDTBBT']</t>
  </si>
  <si>
    <t xml:space="preserve">{"power conversion efficiency": {"entity_name": "power conversion efficiency", "entity_start": 130, "entity_end": 132, "property_value_start": 134, "property_value_end": 135, "property_numeric_value": 0.67, "property_unit": "%", "property_value_descriptor": ""}, "open circuit voltage": {"entity_name": "open-circuit voltage", "entity_start": 150, "entity_end": 153, "property_value_start": 155, "property_value_end": 156, "property_numeric_value": 0.54, "property_unit": "V", "property_value_descriptor": ""}, "short circuit current": {"entity_name": "short circuit current density", "entity_start": 139, "entity_end": 142, "property_value_start": 144, "property_value_end": 147, "property_numeric_value": 4.9, "property_unit": "mA cm^{-2}", "property_value_descriptor": ""}, "fill factor": {"entity_name": "fill factor", "entity_start": 159, "entity_end": 160, "property_value_start": 162, "property_value_end": 163, "property_numeric_value": 25.0, "property_unit": "%", "property_value_descriptor": ""}, "highest occupied molecular orbital": {"entity_name": "HOMO", "entity_start": 93, "entity_end": 93, "property_value_start": 97, "property_value_end": 98, "property_numeric_value": -4.06, "property_unit": "eV", "property_value_descriptor": ""}, "lowest unoccupied molecular orbital": {}, "bandgap": {"entity_name": "optical band gap", "entity_start": 63, "entity_end": 65, "property_value_start": 76, "property_value_end": 77, "property_numeric_value": 1.1, "property_unit": "eV", "property_value_descriptor": "~"}, "hole mobility": {}, "electron mobility": {}, "external quantum efficiency": {}}</t>
  </si>
  <si>
    <t xml:space="preserve">10.1039/c4ra08904a</t>
  </si>
  <si>
    <t xml:space="preserve">{"power conversion efficiency": {"entity_name": "power conversion efficiency", "entity_start": 1, "entity_end": 3, "property_value_start": 14, "property_value_end": 15, "property_numeric_value": 9.1,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</si>
  <si>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10.1039/c4ra07644c</t>
  </si>
  <si>
    <t xml:space="preserve">PBTTDTBTQx</t>
  </si>
  <si>
    <t xml:space="preserve">['PBTTDTBTQx']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</si>
  <si>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bandgap", "entity_start": 58, "entity_end": 59, "property_value_start": 64, "property_value_end": 65, "property_numeric_value": 1.2, "property_unit": "eV", "property_value_descriptor": ""}, "hole mobility": {}, "electron mobility": {}, "external quantum efficiency": {}}</t>
  </si>
  <si>
    <t xml:space="preserve">PBTTDPP</t>
  </si>
  <si>
    <t xml:space="preserve">['PBTTDPP']</t>
  </si>
  <si>
    <t xml:space="preserve">{"power conversion efficiency": {"entity_name": "PCE", "entity_start": 87, "entity_end": 87, "property_value_start": 89, "property_value_end": 90, "property_numeric_value": 1.39, "property_unit": "%", "property_value_descriptor": ""}, "open circuit voltage": {"entity_name": "open-circuit voltage", "entity_start": 104, "entity_end": 107, "property_value_start": 109, "property_value_end": 110, "property_numeric_value": 0.51, "property_unit": "V", "property_value_descriptor": ""}, "short circuit current": {"entity_name": "short circuit current", "entity_start": 94, "entity_end": 96, "property_value_start": 98, "property_value_end": 101, "property_numeric_value": 5.46, "property_unit": "mA cm^{-2}", "property_value_descriptor": ""}, "fill factor": {"entity_name": "fill factor", "entity_start": 113, "entity_end": 114, "property_value_start": 116, "property_value_end": 116, "property_numeric_value": 50.0,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</si>
  <si>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10.1039/c4ra15235b</t>
  </si>
  <si>
    <t xml:space="preserve">{"power conversion efficiency": {"entity_name": "PCE", "entity_start": 186, "entity_end": 186, "property_value_start": 188, "property_value_end": 189, "property_numeric_value": 3.1,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</si>
  <si>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10.1039/c5ra08137h</t>
  </si>
  <si>
    <t xml:space="preserve">PSBTBT</t>
  </si>
  <si>
    <t xml:space="preserve">['PSBTBT']</t>
  </si>
  <si>
    <t xml:space="preserve">{"power conversion efficiency": {"entity_name": "PCE", "entity_start": 172, "entity_end": 172, "property_value_start": 178, "property_value_end": 179, "property_numeric_value": 4.01,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</si>
  <si>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10.1039/c5ra07362f</t>
  </si>
  <si>
    <t xml:space="preserve">{"power conversion efficiency": {"entity_name": "PCE", "entity_start": 206, "entity_end": 206, "property_value_start": 209, "property_value_end": 210, "property_numeric_value": 3.17,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</si>
  <si>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10.1039/c5ra13381e</t>
  </si>
  <si>
    <t xml:space="preserve">TTS</t>
  </si>
  <si>
    <t xml:space="preserve">{"power conversion efficiency": {"entity_name": "PCE", "entity_start": 203, "entity_end": 203, "property_value_start": 205, "property_value_end": 206, "property_numeric_value": 5.8, "property_unit": "%", "property_value_descriptor": ""}, "open circuit voltage": {"entity_name": "V_{OC}", "entity_start": 209, "entity_end": 210, "property_value_start": 212, "property_value_end": 213, "property_numeric_value": 0.7, "property_unit": "V", "property_value_descriptor": ""}, "short circuit current": {"entity_name": "J_{SC}", "entity_start": 216, "entity_end": 217, "property_value_start": 219, "property_value_end": 222, "property_numeric_value": 14.6, "property_unit": "mA cm^{-2}", "property_value_descriptor": ""}, "fill factor": {"entity_name": "FF", "entity_start": 226, "entity_end": 226, "property_value_start": 228, "property_value_end": 229, "property_numeric_value": 56.7,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</si>
  <si>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10.1039/c5ra19676k</t>
  </si>
  <si>
    <t xml:space="preserve">{"power conversion efficiency": {"entity_name": "PCE", "entity_start": 360, "entity_end": 360, "property_value_start": 363, "property_value_end": 364, "property_numeric_value": 5.19,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mobilities", "entity_start": 198, "entity_end": 199, "property_value_start": 212, "property_value_end": 221, "property_numeric_value": 3.18e-07, "property_unit": "cm^{2} V^{-1} s^{-1}", "property_value_descriptor": ""}, "electron mobility": {}, "external quantum efficiency": {}}</t>
  </si>
  <si>
    <t xml:space="preserve">10.1039/c5ra19850j</t>
  </si>
  <si>
    <t xml:space="preserve">{"power conversion efficiency": {"entity_name": "PCE", "entity_start": 112, "entity_end": 112, "property_value_start": 115, "property_value_end": 116,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</si>
  <si>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10.1039/c5ra20927g</t>
  </si>
  <si>
    <t xml:space="preserve">PTAT2BT-8</t>
  </si>
  <si>
    <t xml:space="preserve">[*]c9ccc8c(C#C[Si](C(C)C)(C(C)C)C(C)C)c7cc(c6ccc(c5ccc(c3c(OCCCCCCCC)c(OCCCCCCCC)c(c2ccc(c1ccc([*])s1)s2)c4nsnc34)s5)s6)ccc7c(C#C[Si](C(C)C)(C(C)C)C(C)C)c8c9</t>
  </si>
  <si>
    <t xml:space="preserve">['PTAT2BT-8']</t>
  </si>
  <si>
    <t xml:space="preserve">{"power conversion efficiency": {"entity_name": "power conversion efficiencies", "entity_start": 150, "entity_end": 152, "property_value_start": 157, "property_value_end": 158, "property_numeric_value": 3.15, "property_unit": "%", "property_value_descriptor": ""}, "open circuit voltage": {}, "short circuit current": {}, "fill factor": {}, "highest occupied molecular orbital": {"entity_name": "HOMO", "entity_start": 55, "entity_end": 55, "property_value_start": 60, "property_value_end": 61, "property_numeric_value": -5.32, "property_unit": "eV", "property_value_descriptor": ""}, "lowest unoccupied molecular orbital": {}, "bandgap": {}, "hole mobility": {}, "electron mobility": {}, "external quantum efficiency": {}}</t>
  </si>
  <si>
    <t xml:space="preserve">10.1039/c5ra06076a</t>
  </si>
  <si>
    <t xml:space="preserve">poly(2,7-fluorene-alt-dithienylbenzothiadiazole)</t>
  </si>
  <si>
    <t xml:space="preserve">['poly(2,7-fluorene-alt-dithienylbenzothiadiazole)', 'PFO-DBT']</t>
  </si>
  <si>
    <t xml:space="preserve">{"power conversion efficiency": {"entity_name": "PCE", "entity_start": 223, "entity_end": 223, "property_value_start": 225, "property_value_end": 226, "property_numeric_value": 4.4, "property_unit": "%", "property_value_descriptor": ""}, "open circuit voltage": {}, "short circuit current": {}, "fill factor": {}, "highest occupied molecular orbital": {}, "lowest unoccupied molecular orbital": {}, "bandgap": {"entity_name": "optical band gaps", "entity_start": 100, "entity_end": 102, "property_value_start": 104, "property_value_end": 107, "property_numeric_value": 1.9, "property_unit": "eV", "property_value_descriptor": "and"}, "hole mobility": {}, "electron mobility": {}, "external quantum efficiency": {}}</t>
  </si>
  <si>
    <t xml:space="preserve">10.1039/c6ra13595a</t>
  </si>
  <si>
    <t xml:space="preserve">DTBT</t>
  </si>
  <si>
    <t xml:space="preserve">{"power conversion efficiency": {}, "open circuit voltage": {"entity_name": "V_{oc}", "entity_start": 214, "entity_end": 215, "property_value_start": 218, "property_value_end": 219, "property_numeric_value": 0.8, "property_unit": "V", "property_value_descriptor": ""}, "short circuit current": {"entity_name": "J_{sc}", "entity_start": 227, "entity_end": 228, "property_value_start": 231, "property_value_end": 234, "property_numeric_value": 14.7, "property_unit": "mA cm^{-2}", "property_value_descriptor": ""}, "fill factor": {"entity_name": "FF", "entity_start": 240, "entity_end": 240, "property_value_start": 243, "property_value_end": 244, "property_numeric_value": 71.9,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</si>
  <si>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10.1039/c9ra03188j</t>
  </si>
  <si>
    <t xml:space="preserve">{"power conversion efficiency": {}, "open circuit voltage": {"entity_name": "V_{OC}", "entity_start": 122, "entity_end": 123, "property_value_start": 125, "property_value_end": 126, "property_numeric_value": 1.0, "property_unit": "V", "property_value_descriptor": ""}, "short circuit current": {"entity_name": "J_{SC}", "entity_start": 129, "entity_end": 130, "property_value_start": 133, "property_value_end": 136, "property_numeric_value": 8.23, "property_unit": "mA cm^{-2}", "property_value_descriptor": ""}, "fill factor": {"entity_name": "FF", "entity_start": 140, "entity_end": 140, "property_value_start": 143, "property_value_end": 144, "property_numeric_value": 49.0,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</si>
  <si>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10.1039/c6cp06304g</t>
  </si>
  <si>
    <t xml:space="preserve">ICT3</t>
  </si>
  <si>
    <t xml:space="preserve">['ICT3']</t>
  </si>
  <si>
    <t xml:space="preserve">{"power conversion efficiency": {"entity_name": "PCE", "entity_start": 285, "entity_end": 285, "property_value_start": 287, "property_value_end": 288, "property_numeric_value": 6.53, "property_unit": "%", "property_value_descriptor": ""}, "open circuit voltage": {"entity_name": "V_{OC}", "entity_start": 237, "entity_end": 238, "property_value_start": 240, "property_value_end": 241, "property_numeric_value": 0.86, "property_unit": "V", "property_value_descriptor": ""}, "short circuit current": {"entity_name": "J_{SC}", "entity_start": 229, "entity_end": 230, "property_value_start": 232, "property_value_end": 235, "property_numeric_value": 8.22, "property_unit": "mA cm^{-2}", "property_value_descriptor": ""}, "fill factor": {"entity_name": "FF", "entity_start": 243, "entity_end": 243, "property_value_start": 245, "property_value_end": 245, "property_numeric_value": 43.0,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</si>
  <si>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10.1039/c2cp43125d</t>
  </si>
  <si>
    <t xml:space="preserve">{"power conversion efficiency": {"entity_name": "power conversion efficiency", "entity_start": 228, "entity_end": 230, "property_value_start": 256, "property_value_end": 257, "property_numeric_value": 6.35,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</si>
  <si>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10.1039/c7cp04238h</t>
  </si>
  <si>
    <t xml:space="preserve">P6TI</t>
  </si>
  <si>
    <t xml:space="preserve">['P3TI', 'P6TI']</t>
  </si>
  <si>
    <t xml:space="preserve">{"power conversion efficiency": {"entity_name": "power conversion efficiency", "entity_start": 288, "entity_end": 290, "property_value_start": 301, "property_value_end": 302, "property_numeric_value": 7.04,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</si>
  <si>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10.1039/c4cp03727h</t>
  </si>
  <si>
    <t xml:space="preserve">6,6'-(5,5'-(9,9-dioctyl-9H-fluorene-2,7-diyl)bis(thiophene-5,2-diyl))bis(2,5-bis(2-ethylhexyl)-3-(thiophen-2-yl)pyrrolo[3,4-c]pyrrole-1,4(2H,5H)-dione); DPP1</t>
  </si>
  <si>
    <t xml:space="preserve">{"power conversion efficiency": {"entity_name": "power conversion efficiency", "entity_start": 70, "entity_end": 72, "property_value_start": 74, "property_value_end": 75, "property_numeric_value": 1.2, "property_unit": "%", "property_value_descriptor": ""}, "open circuit voltage": {"entity_name": "open-circuit voltage", "entity_start": 79, "entity_end": 82, "property_value_start": 84, "property_value_end": 85, "property_numeric_value": 1.1,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</si>
  <si>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10.1039/c4cp03382e</t>
  </si>
  <si>
    <t xml:space="preserve">PBTTTV-h</t>
  </si>
  <si>
    <t xml:space="preserve">[*]c6ccc(c5cc(/C=C/c2cc(c1cc(CC(CC)CCCC)cs1)sc2c3cc(CC(CC)CCCC)cs3)c(c4ccc([*])s4)s5)s6</t>
  </si>
  <si>
    <t xml:space="preserve">['PBTTTV-h', 'PBTTTV-v']</t>
  </si>
  <si>
    <t xml:space="preserve">{"power conversion efficiency": {}, "open circuit voltage": {}, "short circuit current": {}, "fill factor": {}, "highest occupied molecular orbital": {"entity_name": "HOMO energy level", "entity_start": 127, "entity_end": 129, "property_value_start": 139, "property_value_end": 140, "property_numeric_value": -5.4, "property_unit": "eV", "property_value_descriptor": ""}, "lowest unoccupied molecular orbital": {}, "bandgap": {}, "hole mobility": {}, "electron mobility": {}, "external quantum efficiency": {}}</t>
  </si>
  <si>
    <t xml:space="preserve">polythiophenes</t>
  </si>
  <si>
    <t xml:space="preserve">['polythiophenes']</t>
  </si>
  <si>
    <t xml:space="preserve">{"power conversion efficiency": {"entity_name": "power conversion efficiencies", "entity_start": 161, "entity_end": 163, "property_value_start": 168, "property_value_end": 169, "property_numeric_value": 4.0, "property_unit": "%", "property_value_descriptor": ""}, "open circuit voltage": {"entity_name": "V_{oc}", "entity_start": 174, "entity_end": 175, "property_value_start": 178, "property_value_end": 181, "property_numeric_value": 0.765, "property_unit": "V", "property_value_descriptor": "and"},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</si>
  <si>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10.1039/c4cp04295f</t>
  </si>
  <si>
    <t xml:space="preserve">{"power conversion efficiency": {"entity_name": "PCE", "entity_start": 205, "entity_end": 205, "property_value_start": 207, "property_value_end": 208, "property_numeric_value": 8.2,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</si>
  <si>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160, "entity_end": 160, "property_value_start": 165, "property_value_end": 166, "property_numeric_value": 7.6,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</si>
  <si>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10.1039/c5cp02127h</t>
  </si>
  <si>
    <t xml:space="preserve">PTBFP-BT</t>
  </si>
  <si>
    <t xml:space="preserve">['PTBFP-BT']</t>
  </si>
  <si>
    <t xml:space="preserve">{"power conversion efficiency": {"entity_name": "PCE", "entity_start": 225, "entity_end": 225, "property_value_start": 228, "property_value_end": 229, "property_numeric_value": 6.0, "property_unit": "%", "property_value_descriptor": ""}, "open circuit voltage": {}, "short circuit current": {}, "fill factor": {"entity_name": "FF", "entity_start": 249, "entity_end": 249, "property_value_start": 252, "property_value_end": 252, "property_numeric_value": 69.0, "property_unit": "%", "property_value_descriptor": ""}, "highest occupied molecular orbital": {"entity_name": "HOMO) energy level", "entity_start": 97, "entity_end": 100, "property_value_start": 102, "property_value_end": 105, "property_numeric_value": -5.54, "property_unit": "eV", "property_value_descriptor": "and"}, "lowest unoccupied molecular orbital": {}, "bandgap": {}, "hole mobility": {}, "electron mobility": {"entity_name": "electron mobility", "entity_start": 135, "entity_end": 136, "property_value_start": 149, "property_value_end": 158, "property_numeric_value": 0.0009119999999999999, "property_unit": "cm^{2} V^{-1} s^{-1}", "property_value_descriptor": ""}, "external quantum efficiency": {}}</t>
  </si>
  <si>
    <t xml:space="preserve">10.1039/c5cp05471k</t>
  </si>
  <si>
    <t xml:space="preserve">{"power conversion efficiency": {"entity_name": "PCE", "entity_start": 96, "entity_end": 96, "property_value_start": 111, "property_value_end": 112, "property_numeric_value": 5.97,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</si>
  <si>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10.1039/c3cp51477c</t>
  </si>
  <si>
    <t xml:space="preserve">{"power conversion efficiency": {"entity_name": "power conversion efficiencies", "entity_start": 135, "entity_end": 137, "property_value_start": 152, "property_value_end": 153, "property_numeric_value": 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</si>
  <si>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10.1039/c2cp41465a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</si>
  <si>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98, "entity_end": 99, "property_value_start": 101, "property_value_end": 110, "property_numeric_value": 0.0013000000000000002, "property_unit": "cm^{2} V^{-1} s^{-1}", "property_value_descriptor": ""}, "electron mobility": {}, "external quantum efficiency": {}}</t>
  </si>
  <si>
    <t xml:space="preserve">{"power conversion efficiency": {"entity_name": "power conversion efficiency", "entity_start": 121, "entity_end": 123, "property_value_start": 141, "property_value_end": 142, "property_numeric_value": 6.08,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</si>
  <si>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10.1039/c4cp04128c</t>
  </si>
  <si>
    <t xml:space="preserve">P3HT-PCBM</t>
  </si>
  <si>
    <t xml:space="preserve">['P3HT-PCBM']</t>
  </si>
  <si>
    <t xml:space="preserve">{"power conversion efficiency": {"entity_name": "PCE", "entity_start": 230, "entity_end": 230, "property_value_start": 233, "property_value_end": 234, "property_numeric_value": 2.4,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</si>
  <si>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10.1039/c3cp53283f</t>
  </si>
  <si>
    <t xml:space="preserve">{"power conversion efficiency": {"entity_name": "power conversion efficiencies", "entity_start": 109, "entity_end": 111, "property_value_start": 116, "property_value_end": 117, "property_numeric_value": 6.82,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</si>
  <si>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10.1007/s11664-014-3187-1</t>
  </si>
  <si>
    <t xml:space="preserve">{"power conversion efficiency": {"entity_name": "PCE", "entity_start": 125, "entity_end": 125, "property_value_start": 134, "property_value_end": 135, "property_numeric_value": 2.38, "property_unit": "%", "property_value_descriptor": ""}, "open circuit voltage": {}, "short circuit current": {"entity_name": "J_{sc}", "entity_start": 147, "entity_end": 148, "property_value_start": 157, "property_value_end": 160, "property_numeric_value": 6.25,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</si>
  <si>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10.1007/s11664-016-4956-9</t>
  </si>
  <si>
    <t xml:space="preserve">{"power conversion efficiency": {"entity_name": "PCE", "entity_start": 243, "entity_end": 243, "property_value_start": 262, "property_value_end": 263, "property_numeric_value": 3.48,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</si>
  <si>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10.1007/s11664-019-07866-4</t>
  </si>
  <si>
    <t xml:space="preserve">{"power conversion efficiency": {"entity_name": "PCEs", "entity_start": 163, "entity_end": 163, "property_value_start": 177, "property_value_end": 178, "property_numeric_value": 1.64,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</si>
  <si>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10.1007/s10853-012-7096-5</t>
  </si>
  <si>
    <t xml:space="preserve">PC-DTBTz</t>
  </si>
  <si>
    <t xml:space="preserve">[*]c7ccc6c5ccc(c4ccc(c2ccc(c1ccc([*])s1)c3nn(CC(CC)CCCC)nc23)s4)cc5n(CCCCCCCC)c6c7</t>
  </si>
  <si>
    <t xml:space="preserve">['PC-DTBTz']</t>
  </si>
  <si>
    <t xml:space="preserve">{"power conversion efficiency": {"entity_name": "PCEs", "entity_start": 120, "entity_end": 120, "property_value_start": 150, "property_value_end": 151, "property_numeric_value": 1.33, "property_unit": "%", "property_value_descriptor": ""}, "open circuit voltage": {}, "short circuit current": {}, "fill factor": {}, "highest occupied molecular orbital": {"entity_name": "HOMO energy", "entity_start": 83, "entity_end": 84, "property_value_start": 87, "property_value_end": 88, "property_numeric_value": -5.34, "property_unit": "eV", "property_value_descriptor": ""}, "lowest unoccupied molecular orbital": {}, "bandgap": {}, "hole mobility": {}, "electron mobility": {}, "external quantum efficiency": {}}</t>
  </si>
  <si>
    <t xml:space="preserve">{"power conversion efficiency": {"entity_name": "PCEs", "entity_start": 120, "entity_end": 120, "property_value_start": 148, "property_value_end": 148, "property_numeric_value": 1.55, "property_unit": "%", "property_value_descriptor": ""}, "open circuit voltage": {"entity_name": "V_{oc}", "entity_start": 106, "entity_end": 107, "property_value_start": 110, "property_value_end": 111, "property_numeric_value": 0.73,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</si>
  <si>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10.1007/s10853-018-2081-2</t>
  </si>
  <si>
    <t xml:space="preserve">P3HT-PC_{61}BM</t>
  </si>
  <si>
    <t xml:space="preserve">['P3HT-PC_{61}BM']</t>
  </si>
  <si>
    <t xml:space="preserve">{"power conversion efficiency": {"entity_name": "PCE", "entity_start": 146, "entity_end": 146, "property_value_start": 162, "property_value_end": 163, "property_numeric_value": 3.7,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</si>
  <si>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10.1007/s10853-014-8644-y</t>
  </si>
  <si>
    <t xml:space="preserve">{"power conversion efficiency": {"entity_name": "power conversion efficiency", "entity_start": 82, "entity_end": 84, "property_value_start": 86, "property_value_end": 87, "property_numeric_value": 3.31,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</si>
  <si>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10.1007/s10853-014-8789-8</t>
  </si>
  <si>
    <t xml:space="preserve">{"power conversion efficiency": {"entity_name": "PCEs", "entity_start": 183, "entity_end": 183, "property_value_start": 191, "property_value_end": 192, "property_numeric_value": 2.0, "property_unit": "%", "property_value_descriptor": ""}, "open circuit voltage": {}, "short circuit current": {}, "fill factor": {}, "highest occupied molecular orbital": {}, "lowest unoccupied molecular orbital": {}, "bandgap": {"entity_name": "optical band gap", "entity_start": 38, "entity_end": 40, "property_value_start": 42, "property_value_end": 43, "property_numeric_value": 2.2, "property_unit": "eV", "property_value_descriptor": ""}, "hole mobility": {}, "electron mobility": {}, "external quantum efficiency": {}}</t>
  </si>
  <si>
    <t xml:space="preserve">10.1007/s10853-015-9111-0</t>
  </si>
  <si>
    <t xml:space="preserve">{"power conversion efficiency": {"entity_name": "power conversion efficiency", "entity_start": 179, "entity_end": 181, "property_value_start": 185, "property_value_end": 186, "property_numeric_value": 3.34,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</si>
  <si>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10.1007/s10853-010-4339-1</t>
  </si>
  <si>
    <t xml:space="preserve">{"power conversion efficiency": {"entity_name": "power conversion efficiency", "entity_start": 218, "entity_end": 220, "property_value_start": 222, "property_value_end": 226, "property_numeric_value": 2e-05,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</si>
  <si>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10.1007/s10853-005-0568-0</t>
  </si>
  <si>
    <t xml:space="preserve">{"power conversion efficiency": {"entity_name": "power conversion efficiency", "entity_start": 142, "entity_end": 144, "property_value_start": 166, "property_value_end": 167, "property_numeric_value": 1.4,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</si>
  <si>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10.1007/s10853-012-6458-3</t>
  </si>
  <si>
    <t xml:space="preserve">6,6]-phenyl-C_{61}-butyric acid</t>
  </si>
  <si>
    <t xml:space="preserve">{"power conversion efficiency": {"entity_name": "power conversion efficiency", "entity_start": 133, "entity_end": 135, "property_value_start": 137, "property_value_end": 138, "property_numeric_value": 1.11,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</si>
  <si>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10.1007/s10854-018-9961-8</t>
  </si>
  <si>
    <t xml:space="preserve">{"power conversion efficiency": {"entity_name": "power conversion efficiency", "entity_start": 186, "entity_end": 188, "property_value_start": 190, "property_value_end": 191, "property_numeric_value": 10.8,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</si>
  <si>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10.1007/s10854-019-01744-9</t>
  </si>
  <si>
    <t xml:space="preserve">{"power conversion efficiency": {"entity_name": "power conversion efficiencies", "entity_start": 210, "entity_end": 212, "property_value_start": 218, "property_value_end": 219, "property_numeric_value": 1.2,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</si>
  <si>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10.1007/s10854-016-6201-y</t>
  </si>
  <si>
    <t xml:space="preserve">poly[4,8-bis(5-(2-ethylhexyl)thiophen-2-yl)benzo[1,2-b:4,5-b']dithiophene-co-3-fluorothieno[3,4-b]thiophene-2-carboxylate]</t>
  </si>
  <si>
    <t xml:space="preserve">["poly[4,8-bis(5-(2-ethylhexyl)thiophen-2-yl)benzo[1,2-b:4,5-b']dithiophene-co-3-fluorothieno[3,4-b]thiophene-2-carboxylate]"]</t>
  </si>
  <si>
    <t xml:space="preserve">poly[4,8-bis(5-(2-ethylhexyl)thiophen-2-yl)benzo[1,2-b:4,5-b']dithiophene-co-3-fluorothieno[3,4-b]thiophene-2-carboxylate]; PNDI-TVT-xOD</t>
  </si>
  <si>
    <t xml:space="preserve">{"power conversion efficiency": {"entity_name": "power conversion efficiency", "entity_start": 110, "entity_end": 112, "property_value_start": 114, "property_value_end": 115, "property_numeric_value": 4.55,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</si>
  <si>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10.1007/s10854-017-8041-9</t>
  </si>
  <si>
    <t xml:space="preserve">{"power conversion efficiency": {"entity_name": "power conversion efficiency", "entity_start": 112, "entity_end": 114, "property_value_start": 120, "property_value_end": 121, "property_numeric_value": 2.71,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</si>
  <si>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10.1007/s10854-018-8645-8</t>
  </si>
  <si>
    <t xml:space="preserve">poly(3,4-ethylenedioxythio phene)</t>
  </si>
  <si>
    <t xml:space="preserve">['poly(3,4-ethylenedioxythio phene)']</t>
  </si>
  <si>
    <t xml:space="preserve">{"power conversion efficiency": {"entity_name": "PCE", "entity_start": 116, "entity_end": 116, "property_value_start": 134, "property_value_end": 137, "property_numeric_value": 4.1,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</si>
  <si>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10.1007/s10854-013-1563-x</t>
  </si>
  <si>
    <t xml:space="preserve">{"power conversion efficiency": {"entity_name": "power conversion efficiency", "entity_start": 83, "entity_end": 85, "property_value_start": 90, "property_value_end": 91, "property_numeric_value": 2.65, "property_unit": "%", "property_value_descriptor": ""}, "open circuit voltage": {}, "short circuit current": {"entity_name": "short-circuit current density", "entity_start": 66, "entity_end": 70, "property_value_start": 76, "property_value_end": 80, "property_numeric_value": 11.36,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</si>
  <si>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10.1007/s10854-014-2515-9</t>
  </si>
  <si>
    <t xml:space="preserve">{"power conversion efficiency": {"entity_name": "power conversion efficiency", "entity_start": 42, "entity_end": 44, "property_value_start": 47, "property_value_end": 48, "property_numeric_value": 0.56,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</si>
  <si>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10.1007/s10854-015-3900-8</t>
  </si>
  <si>
    <t xml:space="preserve">[6,6]-phenyl-C_{61}-butyric acid methylester</t>
  </si>
  <si>
    <t xml:space="preserve">{"power conversion efficiency": {"entity_name": "PCE", "entity_start": 117, "entity_end": 117, "property_value_start": 119, "property_value_end": 120, "property_numeric_value": 2.24,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</si>
  <si>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10.1007/s10854-018-9484-3</t>
  </si>
  <si>
    <t xml:space="preserve">{"power conversion efficiency": {"entity_name": "PCE", "entity_start": 215, "entity_end": 215, "property_value_start": 217, "property_value_end": 218, "property_numeric_value": 4.88,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</si>
  <si>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10.1007/s10854-015-4076-y</t>
  </si>
  <si>
    <t xml:space="preserve">{"power conversion efficiency": {"entity_name": "power conversion efficiency", "entity_start": 146, "entity_end": 148, "property_value_start": 152, "property_value_end": 153, "property_numeric_value": 3.51,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</si>
  <si>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10.1007/s10854-017-6836-3</t>
  </si>
  <si>
    <t xml:space="preserve">{"power conversion efficiency": {}, "open circuit voltage": {}, "short circuit current": {}, "fill factor": {"entity_name": "FF s", "entity_start": 221, "entity_end": 222, "property_value_start": 224, "property_value_end": 225, "property_numeric_value": 69.0, "property_unit": "%", "property_value_descriptor": "~"}, "highest occupied molecular orbital": {}, "lowest unoccupied molecular orbital": {}, "bandgap": {}, "hole mobility": {}, "electron mobility": {}, "external quantum efficiency": {}}</t>
  </si>
  <si>
    <t xml:space="preserve">10.1007/s10854-019-01448-0</t>
  </si>
  <si>
    <t xml:space="preserve">{"power conversion efficiency": {"entity_name": "power conversion efficiency", "entity_start": 64, "entity_end": 66, "property_value_start": 84, "property_value_end": 85, "property_numeric_value": 4.31,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</si>
  <si>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10.1007/s10854-015-4191-9</t>
  </si>
  <si>
    <t xml:space="preserve">{"power conversion efficiency": {"entity_name": "PCE", "entity_start": 199, "entity_end": 199, "property_value_start": 237, "property_value_end": 238, "property_numeric_value": 3.8,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</si>
  <si>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10.1007/s10854-019-02482-8</t>
  </si>
  <si>
    <t xml:space="preserve">{"power conversion efficiency": {"entity_name": "PCE", "entity_start": 279, "entity_end": 279, "property_value_start": 294, "property_value_end": 295, "property_numeric_value": 2.94,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</si>
  <si>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10.1007/s10854-020-03226-9</t>
  </si>
  <si>
    <t xml:space="preserve">{"power conversion efficiency": {"entity_name": "power conversion efficiency", "entity_start": 171, "entity_end": 173, "property_value_start": 175, "property_value_end": 176, "property_numeric_value": 6.03, "property_unit": "%", "property_value_descriptor": ""}, "open circuit voltage": {}, "short circuit current": {"entity_name": "short current density", "entity_start": 154, "entity_end": 156, "property_value_start": 163, "property_value_end": 167, "property_numeric_value": 13.98,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</si>
  <si>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10.1002/app.42121</t>
  </si>
  <si>
    <t xml:space="preserve">{"power conversion efficiency": {"entity_name": "power conversion efficiency", "entity_start": 133, "entity_end": 135, "property_value_start": 146, "property_value_end": 147,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</si>
  <si>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10.1002/app.49527</t>
  </si>
  <si>
    <t xml:space="preserve">{"power conversion efficiency": {"entity_name": "PCEs", "entity_start": 208, "entity_end": 208, "property_value_start": 210, "property_value_end": 213, "property_numeric_value": 9.65, "property_unit": "%", "property_value_descriptor": "and"},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</si>
  <si>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10.1016/j.cplett.2006.03.027</t>
  </si>
  <si>
    <t xml:space="preserve">PBEHTB</t>
  </si>
  <si>
    <t xml:space="preserve">[*]c4sc(c2ccc(c1sc([*])c(OCC(CC)CCCC)c1OCC(CC)CCCC)c3nsnc23)c(OCC(CC)CCCC)c4OCC(CC)CCCC</t>
  </si>
  <si>
    <t xml:space="preserve">['PBEHTB']</t>
  </si>
  <si>
    <t xml:space="preserve">{"power conversion efficiency": {"entity_name": "power conversion efficiency", "entity_start": 120, "entity_end": 122, "property_value_start": 124, "property_value_end": 125, "property_numeric_value": 0.9, "property_unit": "%", "property_value_descriptor": ""}, "open circuit voltage": {"entity_name": "open circuit voltage", "entity_start": 100, "entity_end": 102, "property_value_start": 104, "property_value_end": 105, "property_numeric_value": 0.77, "property_unit": "V", "property_value_descriptor": ""}, "short circuit current": {"entity_name": "short circuit current", "entity_start": 108, "entity_end": 110, "property_value_start": 112, "property_value_end": 116, "property_numeric_value": 2.8,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</si>
  <si>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10.1021/ja305358z</t>
  </si>
  <si>
    <t xml:space="preserve">{"power conversion efficiency": {"entity_name": "power conversion efficiencies", "entity_start": 128, "entity_end": 130, "property_value_start": 132, "property_value_end": 133, "property_numeric_value": 5.8, "property_unit": "%", "property_value_descriptor": ""}, "open circuit voltage": {}, "short circuit current": {"entity_name": "short-circuit current densities", "entity_start": 108, "entity_end": 112, "property_value_start": 116, "property_value_end": 119, "property_numeric_value": 16.0,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</si>
  <si>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10.1021/ja909111p</t>
  </si>
  <si>
    <t xml:space="preserve">['- p-phenylene']</t>
  </si>
  <si>
    <t xml:space="preserve">{"power conversion efficiency": {"entity_name": "PCE", "entity_start": 262, "entity_end": 262, "property_value_start": 264, "property_value_end": 265, "property_numeric_value": 4.5, "property_unit": "%", "property_value_descriptor": ""}, "open circuit voltage": {"entity_name": "open-circuit voltage", "entity_start": 204, "entity_end": 207, "property_value_start": 209, "property_value_end": 210, "property_numeric_value": 1.06,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</si>
  <si>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10.1021/ja4101003</t>
  </si>
  <si>
    <t xml:space="preserve">DT-DPP</t>
  </si>
  <si>
    <t xml:space="preserve">['DT-DPP']</t>
  </si>
  <si>
    <t xml:space="preserve">{"power conversion efficiency": {"entity_name": "power conversion efficiencies", "entity_start": 170, "entity_end": 172, "property_value_start": 174, "property_value_end": 175, "property_numeric_value": 7.1,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{"entity_name": "EQEs", "entity_start": 164, "entity_end": 164, "property_value_start": 166, "property_value_end": 167, "property_numeric_value": 60.0, "property_unit": "%", "property_value_descriptor": ""}}</t>
  </si>
  <si>
    <t xml:space="preserve">10.1021/ja201837e</t>
  </si>
  <si>
    <t xml:space="preserve">{"power conversion efficiency": {"entity_name": "power conversion efficiency", "entity_start": 340, "entity_end": 342, "property_value_start": 349, "property_value_end": 350,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</si>
  <si>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10.1021/jacs.5b06462</t>
  </si>
  <si>
    <t xml:space="preserve">PTPDnT</t>
  </si>
  <si>
    <t xml:space="preserve">['PTPDnT', 'PTPD3T']</t>
  </si>
  <si>
    <t xml:space="preserve">BTI; PTPDnT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</si>
  <si>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mobilities", "entity_start": 201, "entity_end": 202, "property_value_start": 204, "property_value_end": 207, "property_numeric_value": 0.1, "property_unit": "cm^{2}(V s)", "property_value_descriptor": ""}, "electron mobility": {}, "external quantum efficiency": {}}</t>
  </si>
  <si>
    <t xml:space="preserve">BTI</t>
  </si>
  <si>
    <t xml:space="preserve">{"power conversion efficiency": {"entity_name": "PCE", "entity_start": 226, "entity_end": 226, "property_value_start": 228, "property_value_end": 229, "property_numeric_value": 7.7,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</si>
  <si>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10.1021/jacs.5b06414</t>
  </si>
  <si>
    <t xml:space="preserve">SdiPBI-S</t>
  </si>
  <si>
    <t xml:space="preserve">['SdiPBI-S']</t>
  </si>
  <si>
    <t xml:space="preserve">{"power conversion efficiency": {"entity_name": "PCE", "entity_start": 52, "entity_end": 52, "property_value_start": 55, "property_value_end": 56, "property_numeric_value": 7.16, "property_unit": "%", "property_value_descriptor": ""}, "open circuit voltage": {"entity_name": "open-circuit voltage", "entity_start": 60, "entity_end": 63, "property_value_start": 65, "property_value_end": 66, "property_numeric_value": 0.9, "property_unit": "V", "property_value_descriptor": ""}, "short circuit current": {"entity_name": "short-circuit current density", "entity_start": 70, "entity_end": 74, "property_value_start": 76, "property_value_end": 80, "property_numeric_value": 11.98, "property_unit": "mA/cm^{2}", "property_value_descriptor": ""}, "fill factor": {"entity_name": "fill factor", "entity_start": 85, "entity_end": 86, "property_value_start": 88, "property_value_end": 89, "property_numeric_value": 66.1,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</si>
  <si>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10.1021/ja505574a</t>
  </si>
  <si>
    <t xml:space="preserve">PDPPTPT</t>
  </si>
  <si>
    <t xml:space="preserve">[*]c5ccc(c4ccc(c3c2c(=O)n(CC(CCCCCC)CCCCCCCC)c(c1ccc([*])s1)c2c(=O)n3CC(CCCCCC)CCCCCCCC)s4)cc5</t>
  </si>
  <si>
    <t xml:space="preserve">{"power conversion efficiency": {"entity_name": "power conversion efficiency", "entity_start": 174, "entity_end": 176, "property_value_start": 186, "property_value_end": 189, "property_numeric_value": 5.05,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</si>
  <si>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10.1021/ja302935n</t>
  </si>
  <si>
    <t xml:space="preserve">{"power conversion efficiency": {"entity_name": "power conversion efficiencies", "entity_start": 219, "entity_end": 221, "property_value_start": 238, "property_value_end": 239, "property_numeric_value": 5.07, "property_unit": "%", "property_value_descriptor": ""}, "open circuit voltage": {}, "short circuit current": {}, "fill factor": {"entity_name": "FF", "entity_start": 171, "entity_end": 171, "property_value_start": 175, "property_value_end": 175, "property_numeric_value": 59.0,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</si>
  <si>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10.1021/ja508472j</t>
  </si>
  <si>
    <t xml:space="preserve">DBFI-T</t>
  </si>
  <si>
    <t xml:space="preserve">CCCCCCCCCCCCC(CCCCCCCCCC)Cn%19c(=O)c%20ccc%21c%18nc%17c(c1ccccc1)c3nc2c%23ccc%24c(=O)n(CC(CCCCCCCCCC)CCCCCCCCCCCC)c(=O)c%25ccc(c2nc3c(c%16ccc(c8c5nc4c%13ccc%15c(=O)n(CC(CCCCCCCCCC)CCCCCCCCCCCC)c(=O)c%14ccc(c4nc5c(c6ccccc6)c9nc7c%10ccc%11c(=O)n(CC(CCCCCCCCCC)CCCCCCCCCCCC)c(=O)c%12ccc(c7nc89)c%10c%11%12)c%13c%14%15)s%16)c%17nc%18c%22ccc(c%19=O)c%20c%21%22)c%23c%24%25</t>
  </si>
  <si>
    <t xml:space="preserve">['DBFI-T']</t>
  </si>
  <si>
    <t xml:space="preserve">{"power conversion efficiency": {"entity_name": "power conversion efficiency", "entity_start": 209, "entity_end": 211, "property_value_start": 213, "property_value_end": 214, "property_numeric_value": 5.0, "property_unit": "%", "property_value_descriptor": ""}, "open circuit voltage": {"entity_name": "open-circuit voltage", "entity_start": 198, "entity_end": 201, "property_value_start": 203, "property_value_end": 204, "property_numeric_value": 0.86, "property_unit": "V", "property_value_descriptor": ""}, "short circuit current": {"entity_name": "short-circuit current", "entity_start": 184, "entity_end": 187, "property_value_start": 189, "property_value_end": 193, "property_numeric_value": 10.14, "property_unit": "mA/cm^{2}", "property_value_descriptor": ""}, "fill factor": {}, "highest occupied molecular orbital": {}, "lowest unoccupied molecular orbital": {}, "bandgap": {}, "hole mobility": {}, "electron mobility": {}, "external quantum efficiency": {"entity_name": "external quantum efficiency", "entity_start": 217, "entity_end": 219, "property_value_start": 231, "property_value_end": 234, "property_numeric_value": 62.5, "property_unit": "%", "property_value_descriptor": "-"}}</t>
  </si>
  <si>
    <t xml:space="preserve">10.1021/jacs.9b03770</t>
  </si>
  <si>
    <t xml:space="preserve">benzothiadiazole</t>
  </si>
  <si>
    <t xml:space="preserve">['benzothiadiazole']</t>
  </si>
  <si>
    <t xml:space="preserve">PBTZF4-R</t>
  </si>
  <si>
    <t xml:space="preserve">['PBTZF4-R']</t>
  </si>
  <si>
    <t xml:space="preserve">{"power conversion efficiency": {"entity_name": "PCE", "entity_start": 120, "entity_end": 120, "property_value_start": 122, "property_value_end": 123, "property_numeric_value": 11.0,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</si>
  <si>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10.1021/ja108601g</t>
  </si>
  <si>
    <t xml:space="preserve">polythienothiophene-co-benzodithiophenes</t>
  </si>
  <si>
    <t xml:space="preserve">['polythienothiophene-co-benzodithiophenes', 'PTBFs']</t>
  </si>
  <si>
    <t xml:space="preserve">{"power conversion efficiency": {"entity_name": "power conversion efficiency", "entity_start": 77, "entity_end": 79, "property_value_start": 84, "property_value_end": 85, "property_numeric_value": 7.2, "property_unit": "%", "property_value_descriptor": ""}, "open circuit voltage": {}, "short circuit current": {}, "fill factor": {}, "highest occupied molecular orbital": {}, "lowest unoccupied molecular orbital": {}, "bandgap": {"entity_name": "energy bandgap", "entity_start": 48, "entity_end": 49, "property_value_start": 54, "property_value_end": 57, "property_numeric_value": 0.15000000000000002, "property_unit": "eV", "property_value_descriptor": "-"}, "hole mobility": {}, "electron mobility": {}, "external quantum efficiency": {}}</t>
  </si>
  <si>
    <t xml:space="preserve">10.1021/jacs.9b10935</t>
  </si>
  <si>
    <t xml:space="preserve">NDI)-base; PNDI-CBS x; PBDB-T</t>
  </si>
  <si>
    <t xml:space="preserve">{"power conversion efficiency": {"entity_name": "PCE", "entity_start": 221, "entity_end": 221, "property_value_start": 225, "property_value_end": 226, "property_numeric_value": 8.5,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</si>
  <si>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10.1021/ja204056m</t>
  </si>
  <si>
    <t xml:space="preserve">polyDTG-TPD</t>
  </si>
  <si>
    <t xml:space="preserve">['polyDTG-TPD']</t>
  </si>
  <si>
    <t xml:space="preserve">{"power conversion efficiency": {"entity_name": "power conversion efficiencies", "entity_start": 90, "entity_end": 92, "property_value_start": 99, "property_value_end": 100, "property_numeric_value": 6.6,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</si>
  <si>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10.1021/ja060141m</t>
  </si>
  <si>
    <t xml:space="preserve">{"power conversion efficiency": {"entity_name": "PCE", "entity_start": 231, "entity_end": 231, "property_value_start": 262, "property_value_end": 263, "property_numeric_value": 2.41,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</si>
  <si>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10.1021/ja908602j</t>
  </si>
  <si>
    <t xml:space="preserve">[6,6]-phenyl-C-61-butyric acid methyl ester</t>
  </si>
  <si>
    <t xml:space="preserve">{"power conversion efficiency": {"entity_name": "PCE", "entity_start": 151, "entity_end": 151, "property_value_start": 154, "property_value_end": 155, "property_numeric_value": 5.44, "property_unit": "%", "property_value_descriptor": ""}, "open circuit voltage": {"entity_name": "V_{oc}", "entity_start": 140, "entity_end": 141, "property_value_start": 143, "property_value_end": 144, "property_numeric_value": 0.84,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</si>
  <si>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10.1021/jacs.7b13239</t>
  </si>
  <si>
    <t xml:space="preserve">DTPC</t>
  </si>
  <si>
    <t xml:space="preserve">{"power conversion efficiency": {"entity_name": "power conversion efficiency", "entity_start": 97, "entity_end": 99, "property_value_start": 101, "property_value_end": 102, "property_numeric_value": 10.21,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</si>
  <si>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10.1021/jacs.9b09939</t>
  </si>
  <si>
    <t xml:space="preserve">PTQ11</t>
  </si>
  <si>
    <t xml:space="preserve">['PTQ11', 'PTQ10']</t>
  </si>
  <si>
    <t xml:space="preserve">TPT10</t>
  </si>
  <si>
    <t xml:space="preserve">['TPT10']</t>
  </si>
  <si>
    <t xml:space="preserve">{"power conversion efficiency": {"entity_name": "PCE", "entity_start": 240, "entity_end": 240, "property_value_start": 242, "property_value_end": 243, "property_numeric_value": 16.32, "property_unit": "%", "property_value_descriptor": ""}, "open circuit voltage": {}, "short circuit current": {}, "fill factor": {}, "highest occupied molecular orbital": {"entity_name": "E_{HOMO}", "entity_start": 149, "entity_end": 150, "property_value_start": 152, "property_value_end": 153, "property_numeric_value": -5.52, "property_unit": "eV", "property_value_descriptor": ""}, "lowest unoccupied molecular orbital": {"entity_name": "E_{LUMO}", "entity_start": 114, "entity_end": 116, "property_value_start": 118, "property_value_end": 119, "property_numeric_value": -3.99, "property_unit": "eV", "property_value_descriptor": ""}, "bandgap": {}, "hole mobility": {}, "electron mobility": {}, "external quantum efficiency": {}}</t>
  </si>
  <si>
    <t xml:space="preserve">{"power conversion efficiency": {}, "open circuit voltage": {"entity_name": "V_{oc}", "entity_start": 196, "entity_end": 197, "property_value_start": 199, "property_value_end": 200, "property_numeric_value": 0.88, "property_unit": "V", "property_value_descriptor": ""}, "short circuit current": {"entity_name": "J_{sc}", "entity_start": 204, "entity_end": 205, "property_value_start": 207, "property_value_end": 210, "property_numeric_value": 24.79, "property_unit": "mA cm^{-2}", "property_value_descriptor": ""}, "fill factor": {"entity_name": "FF", "entity_start": 215, "entity_end": 215, "property_value_start": 217, "property_value_end": 218, "property_numeric_value": 74.8,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</si>
  <si>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10.1038/s41598-018-21162-x</t>
  </si>
  <si>
    <t xml:space="preserve">{"power conversion efficiency": {"entity_name": "PCE", "entity_start": 92, "entity_end": 92, "property_value_start": 94, "property_value_end": 95, "property_numeric_value": 10.19,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</si>
  <si>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bis-PDI</t>
  </si>
  <si>
    <t xml:space="preserve">CCCCCCC(CCCCCC)n5c(=O)c6ccc7c9ccc%10c(=O)n(C(CCCCCC)CCCCCC)c(=O)c%11cc(c1cc4c(=O)n(C(CCCCCC)CCCCCC)c(=O)c3ccc2c(=O)n(C(CCCCCC)CCCCCC)c(=O)c1c2c34)c(c8ccc(c5=O)c6c78)c9c%10%11</t>
  </si>
  <si>
    <t xml:space="preserve">['bis-PDI']</t>
  </si>
  <si>
    <t xml:space="preserve">10.1038/srep45079</t>
  </si>
  <si>
    <t xml:space="preserve">poly(3-hexylthiohpene)</t>
  </si>
  <si>
    <t xml:space="preserve">['poly(3-hexylthiohpene)']</t>
  </si>
  <si>
    <t xml:space="preserve">[6,6]-phenyl</t>
  </si>
  <si>
    <t xml:space="preserve">['[6,6]-phenyl']</t>
  </si>
  <si>
    <t xml:space="preserve">{"power conversion efficiency": {"entity_name": "power conversion efficiency", "entity_start": 173, "entity_end": 175, "property_value_start": 189, "property_value_end": 190, "property_numeric_value": 3.49,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</si>
  <si>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10.1038/s41598-019-44232-0</t>
  </si>
  <si>
    <t xml:space="preserve">SMNFAs</t>
  </si>
  <si>
    <t xml:space="preserve">['SMNFAs']</t>
  </si>
  <si>
    <t xml:space="preserve">PTB7-Th; diathiafulvalene</t>
  </si>
  <si>
    <t xml:space="preserve">{"power conversion efficiency": {"entity_name": "power conversion efficiency", "entity_start": 172, "entity_end": 174, "property_value_start": 177, "property_value_end": 178,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</si>
  <si>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10.1038/srep04691</t>
  </si>
  <si>
    <t xml:space="preserve">{"power conversion efficiency": {"entity_name": "PCE", "entity_start": 118, "entity_end": 118, "property_value_start": 121, "property_value_end": 122, "property_numeric_value": 8.75,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</si>
  <si>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10.1039/c8ra08919a</t>
  </si>
  <si>
    <t xml:space="preserve">["poly[4,8-bis(5-(2-ethylhexyl)thiophen-2-yl)benzo[1,2-b;4,5-b']dithiophene-2,6-diyl-alt-(4-(2-ethylhexyl)-3-fluorothieno[3,4-b]thiophene-)-(2-carboxylate-2-6-diyl)]", 'PTB7-Th']</t>
  </si>
  <si>
    <t xml:space="preserve">['phenyl-C_{71}-butyric acid methyl ester', 'PCBM']</t>
  </si>
  <si>
    <t xml:space="preserve">{"power conversion efficiency": {"entity_name": "PCE", "entity_start": 119, "entity_end": 119, "property_value_start": 121, "property_value_end": 122, "property_numeric_value": 6.96,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</si>
  <si>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10.1039/c9ra06909g</t>
  </si>
  <si>
    <t xml:space="preserve">{"power conversion efficiency": {"entity_name": "PCE", "entity_start": 230, "entity_end": 230, "property_value_start": 233, "property_value_end": 234, "property_numeric_value": 0.92,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126, "entity_end": 127, "property_value_start": 131, "property_value_end": 140, "property_numeric_value": 0.0143, "property_unit": "cm^{2} V^{-1} s^{-1}", "property_value_descriptor": ""}, "electron mobility": {}, "external quantum efficiency": {}}</t>
  </si>
  <si>
    <t xml:space="preserve">10.1039/c4ra08613a</t>
  </si>
  <si>
    <t xml:space="preserve">{"power conversion efficiency": {"entity_name": "PCE", "entity_start": 99, "entity_end": 99, "property_value_start": 103, "property_value_end": 104, "property_numeric_value": 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</si>
  <si>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10.1039/c6ra21407j</t>
  </si>
  <si>
    <t xml:space="preserve">DTPa</t>
  </si>
  <si>
    <t xml:space="preserve">BT; ffBT</t>
  </si>
  <si>
    <t xml:space="preserve">{"power conversion efficiency": {"entity_name": "power conversion efficiency", "entity_start": 179, "entity_end": 181, "property_value_start": 199, "property_value_end": 200, "property_numeric_value": 5.26,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</si>
  <si>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10.1039/c3nr04418a</t>
  </si>
  <si>
    <t xml:space="preserve">{"power conversion efficiency": {"entity_name": "PCE", "entity_start": 148, "entity_end": 148, "property_value_start": 177, "property_value_end": 178, "property_numeric_value": 7.34,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</si>
  <si>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10.1039/c4nr02339k</t>
  </si>
  <si>
    <t xml:space="preserve">["poly[2,6-(4,4-bis-(2-ethylhexyl)-4H-cyclopenta[2,1-b;3,4-b']-dithiophene)-alt-4,7-(2,1,3-benzothiadiazole)]", 'PCPDTBT']</t>
  </si>
  <si>
    <t xml:space="preserve">{"power conversion efficiency": {"entity_name": "Power conversion efficiency", "entity_start": 48, "entity_end": 50, "property_value_start": 53, "property_value_end": 54,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</si>
  <si>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10.1039/c5nr04393j</t>
  </si>
  <si>
    <t xml:space="preserve">PDVF-8</t>
  </si>
  <si>
    <t xml:space="preserve">['poly{3,6-difuran-2-yl-2,5-di(2-octyldodecyl)-pyrrolo [3,4-c]pyrrole-1,4-dione-altthienylenevinylene}', 'PDVF-8']</t>
  </si>
  <si>
    <t xml:space="preserve">{"power conversion efficiency": {"entity_name": "PCE", "entity_start": 107, "entity_end": 107, "property_value_start": 115, "property_value_end": 116, "property_numeric_value": 4.69,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</si>
  <si>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10.1039/c6nr00080k</t>
  </si>
  <si>
    <t xml:space="preserve">{"power conversion efficiency": {"entity_name": "power conversion efficiency", "entity_start": 158, "entity_end": 160, "property_value_start": 162, "property_value_end": 163,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</si>
  <si>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10.1039/c5nr01508a</t>
  </si>
  <si>
    <t xml:space="preserve">A</t>
  </si>
  <si>
    <t xml:space="preserve">['A']</t>
  </si>
  <si>
    <t xml:space="preserve">{"power conversion efficiency": {"entity_name": "PCE", "entity_start": 164, "entity_end": 164, "property_value_start": 166, "property_value_end": 167, "property_numeric_value": 2.2,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</si>
  <si>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10.1039/c4nr02780a</t>
  </si>
  <si>
    <t xml:space="preserve">{"power conversion efficiency": {"entity_name": "PCE", "entity_start": 54, "entity_end": 54, "property_value_start": 67, "property_value_end": 68, "property_numeric_value": 7.67,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</si>
  <si>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10.1007/s10904-014-0108-y</t>
  </si>
  <si>
    <t xml:space="preserve">{"power conversion efficiency": {"entity_name": "PCE", "entity_start": 257, "entity_end": 257, "property_value_start": 259, "property_value_end": 260, "property_numeric_value": 2.6, "property_unit": "%", "property_value_descriptor": ""}, "open circuit voltage": {"entity_name": "V_{oc}", "entity_start": 226, "entity_end": 227, "property_value_start": 229, "property_value_end": 230, "property_numeric_value": 0.78, "property_unit": "V", "property_value_descriptor": ""}, "short circuit current": {"entity_name": "J_{sc}", "entity_start": 238, "entity_end": 239, "property_value_start": 242, "property_value_end": 246, "property_numeric_value": 5.69, "property_unit": "mA/cm^{2}", "property_value_descriptor": ""}, "fill factor": {"entity_name": "FF", "entity_start": 251, "entity_end": 251, "property_value_start": 254, "property_value_end": 255, "property_numeric_value": 58.09, "property_unit": "%", "property_value_descriptor": ""}, "highest occupied molecular orbital": {}, "lowest unoccupied molecular orbital": {}, "bandgap": {"entity_name": "bandgaps", "entity_start": 62, "entity_end": 62, "property_value_start": 75, "property_value_end": 76, "property_numeric_value": 1.37, "property_unit": "eV", "property_value_descriptor": ""}, "hole mobility": {}, "electron mobility": {}, "external quantum efficiency": {}}</t>
  </si>
  <si>
    <t xml:space="preserve">10.1002/smll.201902656</t>
  </si>
  <si>
    <t xml:space="preserve">BDT3TR-SF</t>
  </si>
  <si>
    <t xml:space="preserve">['BDT3TR-SF']</t>
  </si>
  <si>
    <t xml:space="preserve">NBDTP-M</t>
  </si>
  <si>
    <t xml:space="preserve">['NBDTP-M', 'NBDTTP-M']</t>
  </si>
  <si>
    <t xml:space="preserve">{"power conversion efficiency": {"entity_name": "PCE", "entity_start": 108, "entity_end": 108, "property_value_start": 113, "property_value_end": 114, "property_numeric_value": 10.23,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</si>
  <si>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10.1002/smll.201907681</t>
  </si>
  <si>
    <t xml:space="preserve">BT2FIDT-4Cl</t>
  </si>
  <si>
    <t xml:space="preserve">['BT2FIDT-4Cl']</t>
  </si>
  <si>
    <t xml:space="preserve">{"power conversion efficiency": {"entity_name": "PCE", "entity_start": 201, "entity_end": 201, "property_value_start": 203, "property_value_end": 204, "property_numeric_value": 12.5, "property_unit": "%", "property_value_descriptor": ""}, "open circuit voltage": {}, "short circuit current": {}, "fill factor": {}, "highest occupied molecular orbital": {}, "lowest unoccupied molecular orbital": {}, "bandgap": {"entity_name": "optical bandgap", "entity_start": 72, "entity_end": 73, "property_value_start": 75, "property_value_end": 76, "property_numeric_value": 1.56, "property_unit": "eV", "property_value_descriptor": ""}, "hole mobility": {}, "electron mobility": {}, "external quantum efficiency": {}}</t>
  </si>
  <si>
    <t xml:space="preserve">{"power conversion efficiency": {}, "open circuit voltage": {"entity_name": "V_{oc}", "entity_start": 132, "entity_end": 133, "property_value_start": 135, "property_value_end": 136, "property_numeric_value": 0.97,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</si>
  <si>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149, "entity_end": 149, "property_value_start": 151, "property_value_end": 152, "property_numeric_value": 10.4, "property_unit": "%", "property_value_descriptor": ""}, "open circuit voltage": {"entity_name": "V_{oc}", "entity_start": 221, "entity_end": 222, "property_value_start": 224, "property_value_end": 225, "property_numeric_value": 0.9,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</si>
  <si>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10.1002/smll.202000441</t>
  </si>
  <si>
    <t xml:space="preserve">IPTBO-4Cl; MF1</t>
  </si>
  <si>
    <t xml:space="preserve">{"power conversion efficiency": {"entity_name": "PCE", "entity_start": 125, "entity_end": 125, "property_value_start": 132, "property_value_end": 133, "property_numeric_value": 15.74, "property_unit": "%", "property_value_descriptor": ""}, "open circuit voltage": {"entity_name": "V_{OC}", "entity_start": 156, "entity_end": 157, "property_value_start": 159, "property_value_end": 160, "property_numeric_value": 0.897, "property_unit": "V", "property_value_descriptor": ""}, "short circuit current": {"entity_name": "J_{SC}", "entity_start": 148, "entity_end": 149, "property_value_start": 151, "property_value_end": 154, "property_numeric_value": 23.2, "property_unit": "mA cm^{-2}", "property_value_descriptor": ""}, "fill factor": {"entity_name": "FF", "entity_start": 163, "entity_end": 163, "property_value_start": 165, "property_value_end": 166, "property_numeric_value": 75.64,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</si>
  <si>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10.1007/s10118-020-2440-8</t>
  </si>
  <si>
    <t xml:space="preserve">benzo[1,2- b </t>
  </si>
  <si>
    <t xml:space="preserve">['benzo[1,2-', 'benzo[1,2- b ']</t>
  </si>
  <si>
    <t xml:space="preserve">4,5- b']</t>
  </si>
  <si>
    <t xml:space="preserve">{"power conversion efficiency": {"entity_name": "power conversion efficiency", "entity_start": 121, "entity_end": 123, "property_value_start": 125, "property_value_end": 126, "property_numeric_value": 12.1, "property_unit": "%", "property_value_descriptor": ""}, "open circuit voltage": {"entity_name": "open-circuit voltage", "entity_start": 140, "entity_end": 143, "property_value_start": 145, "property_value_end": 146, "property_numeric_value": 0.88, "property_unit": "V", "property_value_descriptor": ""}, "short circuit current": {"entity_name": "short-circuit current density", "entity_start": 129, "entity_end": 133, "property_value_start": 135, "property_value_end": 137, "property_numeric_value": 20.0, "property_unit": "mA*cm^{-2}", "property_value_descriptor": ""}, "fill factor": {}, "highest occupied molecular orbital": {}, "lowest unoccupied molecular orbital": {}, "bandgap": {"entity_name": "E^{opt}_{g}", "entity_start": 83, "entity_end": 84, "property_value_start": 87, "property_value_end": 88, "property_numeric_value": 1.38, "property_unit": "eV", "property_value_descriptor": ""}, "hole mobility": {}, "electron mobility": {}, "external quantum efficiency": {}}</t>
  </si>
  <si>
    <t xml:space="preserve">10.1007/s00289-020-03271-8</t>
  </si>
  <si>
    <t xml:space="preserve">['Poly(3-hexylthiophene-2,5-diyl)', 'P3HT']</t>
  </si>
  <si>
    <t xml:space="preserve">['6,6]-Phenyl C61 butyric acid methyl ester', 'PCBM']</t>
  </si>
  <si>
    <t xml:space="preserve">{"power conversion efficiency": {"entity_name": "PCE", "entity_start": 192, "entity_end": 192, "property_value_start": 197, "property_value_end": 198, "property_numeric_value": 3.49,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</si>
  <si>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10.1021/acsami.0c08442</t>
  </si>
  <si>
    <t xml:space="preserve">PIDIC2T2Cl</t>
  </si>
  <si>
    <t xml:space="preserve">[*]c%11ccc%10c(=C(C#N)C#N)c(=Cc2csc3c1cc9c(cc1C(CCCCCCCCCCCCCCCC)(CCCCCCCCCCCCCCCC)c23)c8sc(C=c7c(=O)c6cc(c5cc(Cl)c(c4sc([*])cc4Cl)s5)ccc6c7=C(C#N)C#N)cc8C9(CCCCCCCCCCCCCCCC)CCCCCCCCCCCCCCCC)c(=O)c%10c%11</t>
  </si>
  <si>
    <t xml:space="preserve">['PIDIC2T2Cl']</t>
  </si>
  <si>
    <t xml:space="preserve">{"power conversion efficiency": {"entity_name": "PCE", "entity_start": 176, "entity_end": 176, "property_value_start": 179, "property_value_end": 180, "property_numeric_value": 5.34, "property_unit": "%", "property_value_descriptor": ""}, "open circuit voltage": {}, "short circuit current": {}, "fill factor": {"entity_name": "FF", "entity_start": 234, "entity_end": 234, "property_value_start": 256, "property_value_end": 257, "property_numeric_value": 7.11,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</si>
  <si>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PIDIC2T2F</t>
  </si>
  <si>
    <t xml:space="preserve">[*]c%11ccc%10c(=C(C#N)C#N)c(=Cc2csc3c1cc9c(cc1C(CCCCCCCCCCCCCCCC)(CCCCCCCCCCCCCCCC)c23)c8sc(C=c7c(=O)c6cc(c5cc(F)c(c4sc([*])cc4F)s5)ccc6c7=C(C#N)C#N)cc8C9(CCCCCCCCCCCCCCCC)CCCCCCCCCCCCCCCC)c(=O)c%10c%11</t>
  </si>
  <si>
    <t xml:space="preserve">['PIDIC2T2F']</t>
  </si>
  <si>
    <t xml:space="preserve">{"power conversion efficiency": {}, "open circuit voltage": {}, "short circuit current": {}, "fill factor": {"entity_name": "FF", "entity_start": 234, "entity_end": 234, "property_value_start": 241, "property_value_end": 242, "property_numeric_value": 5.46,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</si>
  <si>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{}, "short circuit current": {}, "fill factor": {"entity_name": "FF", "entity_start": 234, "entity_end": 234, "property_value_start": 249, "property_value_end": 250, "property_numeric_value": 4.96,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</si>
  <si>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PIDIC2 T</t>
  </si>
  <si>
    <t xml:space="preserve">[*]c%11ccc%10c(=C(C#N)C#N)c(=Cc2csc3c1cc9c(cc1C(CCCCCCCCCCCCCCCC)(CCCCCCCCCCCCCCCC)c23)c8sc(C=c7c(=O)c6cc(c5ccc(c4ccc([*])s4)s5)ccc6c7=C(C#N)C#N)cc8C9(CCCCCCCCCCCCCCCC)CCCCCCCCCCCCCCCC)c(=O)c%10c%11</t>
  </si>
  <si>
    <t xml:space="preserve">['PIDIC2 T']</t>
  </si>
  <si>
    <t xml:space="preserve">10.1021/acsami.0c07720</t>
  </si>
  <si>
    <t xml:space="preserve">PE40</t>
  </si>
  <si>
    <t xml:space="preserve">[*]c%11cc%10c(c1ccc(OCC(CCCC)CCCCCC)cc1)c8sc(c7sc6cc(c4c(F)c(F)c(c3cc2sc([*])c(CCCCCC)c2s3)c5nn(CC(CCCCCC)CCCCCCCC)nc45)sc6c7CCCCCC)cc8c(c9ccc(OCC(CCCC)CCCCCC)cc9)c%10s%11</t>
  </si>
  <si>
    <t xml:space="preserve">['PE40']</t>
  </si>
  <si>
    <t xml:space="preserve">{"power conversion efficiency": {"entity_name": "PCE", "entity_start": 159, "entity_end": 159, "property_value_start": 164, "property_value_end": 165, "property_numeric_value": 7.07, "property_unit": "%", "property_value_descriptor": ""}, "open circuit voltage": {"entity_name": "V_{OC}", "entity_start": 253, "entity_end": 254, "property_value_start": 256, "property_value_end": 257, "property_numeric_value": 0.82, "property_unit": "V", "property_value_descriptor": ""}, "short circuit current": {}, "fill factor": {"entity_name": "FF", "entity_start": 228, "entity_end": 228, "property_value_start": 230, "property_value_end": 230, "property_numeric_value": 59.0,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</si>
  <si>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PE44</t>
  </si>
  <si>
    <t xml:space="preserve">[*]c%11cc%10c(c1cc(F)c(OCC(CCCC)CCCCCC)c(F)c1)c8sc(c7sc6cc(c4c(F)c(F)c(c3cc2sc([*])c(CCCCCC)c2s3)c5nn(CC(CCCCCC)CCCCCCCC)nc45)sc6c7CCCCCC)cc8c(c9cc(F)c(OCC(CCCC)CCCCCC)c(F)c9)c%10s%11</t>
  </si>
  <si>
    <t xml:space="preserve">['PE44']</t>
  </si>
  <si>
    <t xml:space="preserve">{"power conversion efficiency": {"entity_name": "PCE", "entity_start": 240, "entity_end": 240, "property_value_start": 242, "property_value_end": 243, "property_numeric_value": 13.62, "property_unit": "%", "property_value_descriptor": ""}, "open circuit voltage": {"entity_name": "V_{OC}", "entity_start": 221, "entity_end": 222, "property_value_start": 224, "property_value_end": 225, "property_numeric_value": 0.74, "property_unit": "V", "property_value_descriptor": ""}, "short circuit current": {"entity_name": "J_{SC}", "entity_start": 245, "entity_end": 246, "property_value_start": 248, "property_value_end": 251, "property_numeric_value": 25.29, "property_unit": "mA cm^{-2}", "property_value_descriptor": ""}, "fill factor": {"entity_name": "FF", "entity_start": 260, "entity_end": 260, "property_value_start": 262, "property_value_end": 262, "property_numeric_value": 66.0,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</si>
  <si>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PE42</t>
  </si>
  <si>
    <t xml:space="preserve">[*]c%11cc%10c(c1ccc(OCC(CCCC)CCCCCC)c(F)c1)c8sc(c7sc6cc(c4c(F)c(F)c(c3cc2sc([*])c(CCCCCC)c2s3)c5nn(CC(CCCCCC)CCCCCCCC)nc45)sc6c7CCCCCC)cc8c(c9ccc(OCC(CCCC)CCCCCC)c(F)c9)c%10s%11</t>
  </si>
  <si>
    <t xml:space="preserve">['PE42']</t>
  </si>
  <si>
    <t xml:space="preserve">{"power conversion efficiency": {"entity_name": "PCE", "entity_start": 208, "entity_end": 208, "property_value_start": 210, "property_value_end": 211, "property_numeric_value": 10.11,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</si>
  <si>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10.1021/acsami.0c11384</t>
  </si>
  <si>
    <t xml:space="preserve">{"power conversion efficiency": {"entity_name": "PCE", "entity_start": 213, "entity_end": 213, "property_value_start": 215, "property_value_end": 216, "property_numeric_value": 8.77,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</si>
  <si>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"PCEs", "entity_start": 277, "entity_end": 277, "property_value_start": 281, "property_value_end": 282, "property_numeric_value": 13.26,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</si>
  <si>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10.1021/acsenergylett.0c01010</t>
  </si>
  <si>
    <t xml:space="preserve">PBDB-T_{0.3}</t>
  </si>
  <si>
    <t xml:space="preserve">['PBDB-T_{0.3}']</t>
  </si>
  <si>
    <t xml:space="preserve">DCNBT-IDT_{0.8}</t>
  </si>
  <si>
    <t xml:space="preserve">['DCNBT-IDT_{0.8}']</t>
  </si>
  <si>
    <t xml:space="preserve">{"power conversion efficiency": {"entity_name": "power conversion efficiency", "entity_start": 142, "entity_end": 144, "property_value_start": 146, "property_value_end": 147, "property_numeric_value": 11.87,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</si>
  <si>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10.1021/nn2002695</t>
  </si>
  <si>
    <t xml:space="preserve">{"power conversion efficiency": {"entity_name": "power conversion efficiencies", "entity_start": 180, "entity_end": 182, "property_value_start": 184, "property_value_end": 185,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</si>
  <si>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10.1021/nn204675r</t>
  </si>
  <si>
    <t xml:space="preserve">{"power conversion efficiency": {"entity_name": "power conversion efficiencies", "entity_start": 213, "entity_end": 215, "property_value_start": 221, "property_value_end": 222, "property_numeric_value": 2.3,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</si>
  <si>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10.1021/nn4001963</t>
  </si>
  <si>
    <t xml:space="preserve">{"power conversion efficiency": {"entity_name": "PCE", "entity_start": 188, "entity_end": 188, "property_value_start": 190, "property_value_end": 191, "property_numeric_value": 3.89,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</si>
  <si>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10.1021/nn204589u</t>
  </si>
  <si>
    <t xml:space="preserve">poly(thiophene)</t>
  </si>
  <si>
    <t xml:space="preserve">['poly(thiophene)']</t>
  </si>
  <si>
    <t xml:space="preserve">{"power conversion efficiency": {"entity_name": "PCE", "entity_start": 297, "entity_end": 297, "property_value_start": 302, "property_value_end": 303, "property_numeric_value": 5.3,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</si>
  <si>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10.1021/nn500222q</t>
  </si>
  <si>
    <t xml:space="preserve">['poly[N-9-hepta-decanyl-2,7-carbazole-alt-5,5-(4,7-di-2-thienyl-2,1,3-benzothiadiazole)]', 'PCDTBT', 'PCDTBT']</t>
  </si>
  <si>
    <t xml:space="preserve">{"power conversion efficiency": {"entity_name": "power conversion efficiency", "entity_start": 99, "entity_end": 101, "property_value_start": 108, "property_value_end": 109, "property_numeric_value": 5.3,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</si>
  <si>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10.1021/acsnano.5b05732</t>
  </si>
  <si>
    <t xml:space="preserve">hexacarbonitrile</t>
  </si>
  <si>
    <t xml:space="preserve">['hexacarbonitrile']</t>
  </si>
  <si>
    <t xml:space="preserve">{"power conversion efficiency": {"entity_name": "PCE", "entity_start": 261, "entity_end": 261, "property_value_start": 263, "property_value_end": 264, "property_numeric_value": 14.14,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</si>
  <si>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10.1021/acs.chemmater.0c02133</t>
  </si>
  <si>
    <t xml:space="preserve">PffBT-DPP</t>
  </si>
  <si>
    <t xml:space="preserve">['PffBT-DPP']</t>
  </si>
  <si>
    <t xml:space="preserve">{"power conversion efficiency": {"entity_name": "PCE", "entity_start": 130, "entity_end": 130, "property_value_start": 132, "property_value_end": 133, "property_numeric_value": 9.0, "property_unit": "%", "property_value_descriptor": ""}, "open circuit voltage": {}, "short circuit current": {}, "fill factor": {}, "highest occupied molecular orbital": {}, "lowest unoccupied molecular orbital": {}, "bandgap": {"entity_name": "band gap", "entity_start": 69, "entity_end": 70, "property_value_start": 72, "property_value_end": 73, "property_numeric_value": 1.33, "property_unit": "eV", "property_value_descriptor": ""}, "hole mobility": {}, "electron mobility": {}, "external quantum efficiency": {}}</t>
  </si>
  <si>
    <t xml:space="preserve">{"power conversion efficiency": {"entity_name": "PCE", "entity_start": 115, "entity_end": 115, "property_value_start": 118, "property_value_end": 121, "property_numeric_value": 4.4, "property_unit": "%", "property_value_descriptor": "and"},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</si>
  <si>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['diketopyrrolopyrrole', 'DPP']</t>
  </si>
  <si>
    <t xml:space="preserve">{"power conversion efficiency": {}, "open circuit voltage": {}, "short circuit current": {}, "fill factor": {}, "highest occupied molecular orbital": {}, "lowest unoccupied molecular orbital": {}, "bandgap": {"entity_name": "band gap", "entity_start": 196, "entity_end": 197, "property_value_start": 200, "property_value_end": 201, "property_numeric_value": 1.4, "property_unit": "eV", "property_value_descriptor": ""}, "hole mobility": {}, "electron mobility": {}, "external quantum efficiency": {}}</t>
  </si>
  <si>
    <t xml:space="preserve">10.1021/acs.jpcc.0c05914</t>
  </si>
  <si>
    <t xml:space="preserve">P2F-EHp</t>
  </si>
  <si>
    <t xml:space="preserve">['P2F-EHp']</t>
  </si>
  <si>
    <t xml:space="preserve">BTA3-based</t>
  </si>
  <si>
    <t xml:space="preserve">['F', 'BTA3', 'BTA3-based']</t>
  </si>
  <si>
    <t xml:space="preserve">{"power conversion efficiency": {"entity_name": "PCE", "entity_start": 233, "entity_end": 233, "property_value_start": 235, "property_value_end": 236, "property_numeric_value": 8.38, "property_unit": "%", "property_value_descriptor": ""}, "open circuit voltage": {"entity_name": "V_{OC}", "entity_start": 127, "entity_end": 128, "property_value_start": 130, "property_value_end": 131, "property_numeric_value": 1.29,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</si>
  <si>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F-BTA3</t>
  </si>
  <si>
    <t xml:space="preserve">['F-BTA3']</t>
  </si>
  <si>
    <t xml:space="preserve">{"power conversion efficiency": {}, "open circuit voltage": {"entity_name": "V_{OC}", "entity_start": 256, "entity_end": 257, "property_value_start": 259, "property_value_end": 260, "property_numeric_value": 1.2,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</si>
  <si>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10.1063/1.4935870</t>
  </si>
  <si>
    <t xml:space="preserve">PBPT-12</t>
  </si>
  <si>
    <t xml:space="preserve">['PBPT-12']</t>
  </si>
  <si>
    <t xml:space="preserve">["Poly{[N,N'-bis(2-octyldodecyl)-naphthalene-1,4,5,8-bis(dicarboximide)-2,6-diyl]-alt-5,5'-(2,2'-bithiophene)}(P(NDI2OD-T2))", 'N2200']</t>
  </si>
  <si>
    <t xml:space="preserve">{"power conversion efficiency": {"entity_name": "PCEs", "entity_start": 117, "entity_end": 117, "property_value_start": 122, "property_value_end": 123, "property_numeric_value": 4.25,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</si>
  <si>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10.1063/1.4907986</t>
  </si>
  <si>
    <t xml:space="preserve">{"power conversion efficiency": {"entity_name": "PCE", "entity_start": 4, "entity_end": 4, "property_value_start": 18, "property_value_end": 19, "property_numeric_value": 10.0,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</si>
  <si>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10.1063/1.4937553</t>
  </si>
  <si>
    <t xml:space="preserve">{"power conversion efficiency": {"entity_name": "power conversion efficiency", "entity_start": 51, "entity_end": 53, "property_value_start": 55, "property_value_end": 56, "property_numeric_value": 3.7,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</si>
  <si>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10.1063/1.3499299</t>
  </si>
  <si>
    <t xml:space="preserve">phenyl- C61 -butyric acid methyl ester</t>
  </si>
  <si>
    <t xml:space="preserve">['phenyl- C61 -butyric acid methyl ester']</t>
  </si>
  <si>
    <t xml:space="preserve">{"power conversion efficiency": {"entity_name": "power conversion efficiency", "entity_start": 106, "entity_end": 108, "property_value_start": 110, "property_value_end": 111, "property_numeric_value": 1.8,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</si>
  <si>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10.1063/1.2945796</t>
  </si>
  <si>
    <t xml:space="preserve">APFO-3</t>
  </si>
  <si>
    <t xml:space="preserve">['APFO-3']</t>
  </si>
  <si>
    <t xml:space="preserve">{"power conversion efficiency": {"entity_name": "PCE", "entity_start": 75, "entity_end": 75, "property_value_start": 87, "property_value_end": 88, "property_numeric_value": 2.2,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</si>
  <si>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10.1063/1.4893787</t>
  </si>
  <si>
    <t xml:space="preserve">['poly[[9-(1-octylnonyl)-9H-carbazole-2,7-diyl]-2,5-thiophenediyl-2,1,3-benzothiadiazole-4,7-diyl-2,5-thiophenediyl]']</t>
  </si>
  <si>
    <t xml:space="preserve">{"power conversion efficiency": {"entity_name": "PCE", "entity_start": 66, "entity_end": 66, "property_value_start": 69, "property_value_end": 70, "property_numeric_value": 5.0,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</si>
  <si>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10.1063/1.2918983</t>
  </si>
  <si>
    <t xml:space="preserve">[6,6]-phenyl C61 butyric acid methyl ester</t>
  </si>
  <si>
    <t xml:space="preserve">['[6,6]-phenyl C61 butyric acid methyl ester']</t>
  </si>
  <si>
    <t xml:space="preserve">{"power conversion efficiency": {"entity_name": "power conversion efficiency", "entity_start": 41, "entity_end": 43, "property_value_start": 52, "property_value_end": 53, "property_numeric_value": 4.2, "property_unit": "%", "property_value_descriptor": ""}, "open circuit voltage": {"entity_name": "open-circuit voltage", "entity_start": 65, "entity_end": 68, "property_value_start": 70, "property_value_end": 70, "property_numeric_value": 0.59, "property_unit": "V", "property_value_descriptor": ""}, "short circuit current": {}, "fill factor": {"entity_name": "fill factor", "entity_start": 73, "entity_end": 74, "property_value_start": 76, "property_value_end": 77, "property_numeric_value": 63.0,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</si>
  <si>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10.1063/1.3687911</t>
  </si>
  <si>
    <t xml:space="preserve">poly[4,8-bis(1-pentylhexyloxy)benzo[1,2-b:4,5-b']dithiophene-2,6-diyl-alt-2,1,3-benzoxadiazole-4,7-diyl</t>
  </si>
  <si>
    <t xml:space="preserve">["poly[4,8-bis(1-pentylhexyloxy)benzo[1,2-b:4,5-b']dithiophene-2,6-diyl-alt-2,1,3-benzoxadiazole-4,7-diyl"]</t>
  </si>
  <si>
    <t xml:space="preserve">{"power conversion efficiency": {"entity_name": "power conversion efficiency", "entity_start": 93, "entity_end": 95, "property_value_start": 97, "property_value_end": 98, "property_numeric_value": 5.8,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</si>
  <si>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10.1063/1.4737877</t>
  </si>
  <si>
    <t xml:space="preserve">{"power conversion efficiency": {"entity_name": "PCE", "entity_start": 81, "entity_end": 81, "property_value_start": 83, "property_value_end": 84, "property_numeric_value": 5.12, "property_unit": "%", "property_value_descriptor": ""}, "open circuit voltage": {"entity_name": "V_{oc}", "entity_start": 96, "entity_end": 98, "property_value_start": 100, "property_value_end": 101, "property_numeric_value": 0.886, "property_unit": "V", "property_value_descriptor": ""}, "short circuit current": {"entity_name": "J_{sc}", "entity_start": 109, "entity_end": 111, "property_value_start": 113, "property_value_end": 117, "property_numeric_value": 8.21, "property_unit": "mA/cm^{2}", "property_value_descriptor": ""}, "fill factor": {"entity_name": "fill factor", "entity_start": 120, "entity_end": 121, "property_value_start": 123, "property_value_end": 124, "property_numeric_value": 70.4,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</si>
  <si>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10.1063/1.4913467</t>
  </si>
  <si>
    <t xml:space="preserve">{"power conversion efficiency": {"entity_name": "PCE", "entity_start": 107, "entity_end": 107, "property_value_start": 110, "property_value_end": 111, "property_numeric_value": 9.4,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</si>
  <si>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72, "entity_end": 72, "property_value_start": 91, "property_value_end": 92, "property_numeric_value": 7.48,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</si>
  <si>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10.1063/1.4761998</t>
  </si>
  <si>
    <t xml:space="preserve">{"power conversion efficiency": {"entity_name": "power conversion efficiencies", "entity_start": 107, "entity_end": 109, "property_value_start": 117, "property_value_end": 118, "property_numeric_value": 3.09,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</si>
  <si>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10.1063/1.4816786</t>
  </si>
  <si>
    <t xml:space="preserve">["poly[[4,8-bis[(2-ethylhexyl)oxy] benzo [1,2-b:4,5-b'] dithiophene-2,6-diyl][3-fluoro-2-[(2-ethylhexyl)carbonyl]thieno[3,4-b]thiophenediyl]]", 'PTB7']</t>
  </si>
  <si>
    <t xml:space="preserve">{"power conversion efficiency": {"entity_name": "power conversion efficiency", "entity_start": 125, "entity_end": 127, "property_value_start": 135, "property_value_end": 136, "property_numeric_value": 6.57,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</si>
  <si>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10.1063/1.1787158</t>
  </si>
  <si>
    <t xml:space="preserve">poly[2-methoxy-5-(3',7'-dimethyloctyloxy)-1,4-phenylene vinylene]</t>
  </si>
  <si>
    <t xml:space="preserve">["poly[2-methoxy-5-(3',7'-dimethyloctyloxy)-1,4-phenylene vinylene]"]</t>
  </si>
  <si>
    <t xml:space="preserve">[6,6]-phenyl- C61 -butyric acid methyl ester</t>
  </si>
  <si>
    <t xml:space="preserve">['[6,6]-phenyl- C61 -butyric acid methyl ester']</t>
  </si>
  <si>
    <t xml:space="preserve">{"power conversion efficiency": {"entity_name": "white-light power conversion efficiency", "entity_start": 32, "entity_end": 37, "property_value_start": 39, "property_value_end": 40,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</si>
  <si>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10.1063/1.4885216</t>
  </si>
  <si>
    <t xml:space="preserve">[6,6]-phenyl -</t>
  </si>
  <si>
    <t xml:space="preserve">['[6,6]-phenyl -']</t>
  </si>
  <si>
    <t xml:space="preserve">{"power conversion efficiency": {"entity_name": "power conversion efficiency", "entity_start": 77, "entity_end": 79, "property_value_start": 85, "property_value_end": 86, "property_numeric_value": 2.8, "property_unit": "%", "property_value_descriptor": ""}, "open circuit voltage": {}, "short circuit current": {"entity_name": "short circuit current density", "entity_start": 59, "entity_end": 62, "property_value_start": 70, "property_value_end": 74, "property_numeric_value": 8.0,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</si>
  <si>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10.1063/1.1929875</t>
  </si>
  <si>
    <t xml:space="preserve">{"power conversion efficiency": {"entity_name": "white light power conversion efficiency", "entity_start": 109, "entity_end": 113, "property_value_start": 121, "property_value_end": 122, "property_numeric_value": 3.4,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</si>
  <si>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10.1063/1.4928664</t>
  </si>
  <si>
    <t xml:space="preserve">["poly{[N,N'-bis(2-octyldodecyl)-naphthalene-1,4,5,8-bis(dicarboximide)-2,6-diyl]-alt-5,5'-(2,2'-bithiophene)}", 'P(NDI2OD-T2)']</t>
  </si>
  <si>
    <t xml:space="preserve">{"power conversion efficiency": {"entity_name": "power conversion efficiency", "entity_start": 53, "entity_end": 55, "property_value_start": 57, "property_value_end": 58, "property_numeric_value": 3.7,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</si>
  <si>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10.1063/1.4933270</t>
  </si>
  <si>
    <t xml:space="preserve">{"power conversion efficiency": {"entity_name": "power conversion efficiency", "entity_start": 176, "entity_end": 178, "property_value_start": 180, "property_value_end": 181, "property_numeric_value": 3.83,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</si>
  <si>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10.1063/1.2962986</t>
  </si>
  <si>
    <t xml:space="preserve">{"power conversion efficiency": {"entity_name": "power conversion efficiency", "entity_start": 132, "entity_end": 134, "property_value_start": 138, "property_value_end": 139, "property_numeric_value": 4.13,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</si>
  <si>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10.1063/1.3134490</t>
  </si>
  <si>
    <t xml:space="preserve">poly[3-(10- n -octyl-3-phenothiazine-vinylene)thiophene-co-2,5-thiophene]</t>
  </si>
  <si>
    <t xml:space="preserve">['poly[3-(10- n -octyl-3-phenothiazine-vinylene)thiophene-co-2,5-thiophene]']</t>
  </si>
  <si>
    <t xml:space="preserve">poly[1,4-dioctyloxyl- p -2,5-dicyanophenylenevinylene]</t>
  </si>
  <si>
    <t xml:space="preserve">['poly[1,4-dioctyloxyl- p -2,5-dicyanophenylenevinylene]']</t>
  </si>
  <si>
    <t xml:space="preserve">{"power conversion efficiency": {"entity_name": "power conversion efficiency", "entity_start": 55, "entity_end": 57, "property_value_start": 67, "property_value_end": 68, "property_numeric_value": 0.8,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</si>
  <si>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10.1063/1.3202393</t>
  </si>
  <si>
    <t xml:space="preserve">poly[2,7-(9,9-dioctylfluorene)-alt-5,5-(5',8'-di-2-thienyl- 2',3'-diphenylquinoxaline)]</t>
  </si>
  <si>
    <t xml:space="preserve">["poly[2,7-(9,9-dioctylfluorene)-alt-5,5-(5',8'-di-2-thienyl- 2',3'-diphenylquinoxaline)]", 'N-P7']</t>
  </si>
  <si>
    <t xml:space="preserve">C71</t>
  </si>
  <si>
    <t xml:space="preserve">{"power conversion efficiency": {}, "open circuit voltage": {}, "short circuit current": {}, "fill factor": {}, "highest occupied molecular orbital": {"entity_name": "highest occupied molecular orbital level", "entity_start": 49, "entity_end": 53, "property_value_start": 59, "property_value_end": 62, "property_numeric_value": -1.71, "property_unit": "eV", "property_value_descriptor": "and"}, "lowest unoccupied molecular orbital": {}, "bandgap": {}, "hole mobility": {}, "electron mobility": {}, "external quantum efficiency": {}}</t>
  </si>
  <si>
    <t xml:space="preserve">10.1063/1.3242006</t>
  </si>
  <si>
    <t xml:space="preserve">{"power conversion efficiency": {"entity_name": "power conversion efficiency", "entity_start": 122, "entity_end": 124, "property_value_start": 129, "property_value_end": 130, "property_numeric_value": 5.05,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</si>
  <si>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10.1063/1.3250176</t>
  </si>
  <si>
    <t xml:space="preserve">{"power conversion efficiency": {"entity_name": "power conversion efficiency", "entity_start": 114, "entity_end": 116, "property_value_start": 119, "property_value_end": 120, "property_numeric_value": 3.55,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</si>
  <si>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10.1063/1.3254234</t>
  </si>
  <si>
    <t xml:space="preserve">poly(2,5-bis(3'-dodecyl- 2,2'-bithiophen-5-yl)-3,6-dimethylthieno [3,2- b] thiophene)</t>
  </si>
  <si>
    <t xml:space="preserve">["poly(2,5-bis(3'-dodecyl- 2,2'-bithiophen-5-yl)-3,6-dimethylthieno [3,2- b] thiophene)"]</t>
  </si>
  <si>
    <t xml:space="preserve">[6,6]-phenyl- C61 -butric acid methyl ester</t>
  </si>
  <si>
    <t xml:space="preserve">['[6,6]-phenyl- C61 -butric acid methyl ester']</t>
  </si>
  <si>
    <t xml:space="preserve">{"power conversion efficiency": {"entity_name": "PCE", "entity_start": 40, "entity_end": 40, "property_value_start": 47, "property_value_end": 48, "property_numeric_value": 2.32,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</si>
  <si>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10.1063/1.3601474</t>
  </si>
  <si>
    <t xml:space="preserve">poly [N -heptadecanyl-2,7-carbazole-alt-5,5-(4',7'-di-2-thienyl- 2',1',3'-benzothiadiazole)]</t>
  </si>
  <si>
    <t xml:space="preserve">["poly [N -heptadecanyl-2,7-carbazole-alt-5,5-(4',7'-di-2-thienyl- 2',1',3'-benzothiadiazole)]", 'PCDTBT']</t>
  </si>
  <si>
    <t xml:space="preserve">{"power conversion efficiency": {"entity_name": "power conversion efficiency", "entity_start": 112, "entity_end": 114, "property_value_start": 120, "property_value_end": 121, "property_numeric_value": 7.1,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</si>
  <si>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10.1063/1.4818525</t>
  </si>
  <si>
    <t xml:space="preserve">{"power conversion efficiency": {"entity_name": "power conversion efficiency", "entity_start": 120, "entity_end": 122, "property_value_start": 124, "property_value_end": 125, "property_numeric_value": 3.66,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</si>
  <si>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10.1063/1.3646547</t>
  </si>
  <si>
    <t xml:space="preserve">poly(3-hexylthiopene)</t>
  </si>
  <si>
    <t xml:space="preserve">{"power conversion efficiency": {"entity_name": "power conversion efficiency", "entity_start": 83, "entity_end": 85, "property_value_start": 87, "property_value_end": 88, "property_numeric_value": 3.7,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</si>
  <si>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10.1063/1.3554381</t>
  </si>
  <si>
    <t xml:space="preserve">poly(3-hexylthiophene) </t>
  </si>
  <si>
    <t xml:space="preserve">['poly(3-hexylthiophene) ']</t>
  </si>
  <si>
    <t xml:space="preserve">{"power conversion efficiency": {"entity_name": "power conversion efficiency", "entity_start": 93, "entity_end": 95, "property_value_start": 97, "property_value_end": 98, "property_numeric_value": 2.15, "property_unit": "%", "property_value_descriptor": ""}, "open circuit voltage": {"entity_name": "open-circuit voltage", "entity_start": 113, "entity_end": 116, "property_value_start": 118, "property_value_end": 118, "property_numeric_value": 0.55, "property_unit": "V", "property_value_descriptor": ""}, "short circuit current": {}, "fill factor": {"entity_name": "fill factor", "entity_start": 122, "entity_end": 123, "property_value_start": 125, "property_value_end": 125, "property_numeric_value": 44.0,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</si>
  <si>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10.1063/1.2711657</t>
  </si>
  <si>
    <t xml:space="preserve">['P3HT', 'P3HT):1-(3-methoxycarbonyl)-propyl-1-phenyl-(6,6) C6']</t>
  </si>
  <si>
    <t xml:space="preserve">{"power conversion efficiency": {"entity_name": "PCE", "entity_start": 117, "entity_end": 117, "property_value_start": 119, "property_value_end": 120, "property_numeric_value": 1.7,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</si>
  <si>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10.1063/1.1825070</t>
  </si>
  <si>
    <t xml:space="preserve">APFO-Green1; - trifluoromethylphenyl)- 1'-(4-nitrophenyl)pyrazolino[60]fulleren</t>
  </si>
  <si>
    <t xml:space="preserve">{"power conversion efficiency": {"entity_name": "power conversion efficiency", "entity_start": 135, "entity_end": 137, "property_value_start": 139, "property_value_end": 140, "property_numeric_value": 0.3, "property_unit": "%", "property_value_descriptor": ""}, "open circuit voltage": {"entity_name": "open-circuit voltage", "entity_start": 127, "entity_end": 130, "property_value_start": 132, "property_value_end": 132, "property_numeric_value": 0.54,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{"entity_name": "external quantum efficiency", "entity_start": 90, "entity_end": 92, "property_value_start": 103, "property_value_end": 104, "property_numeric_value": 7.0, "property_unit": "%", "property_value_descriptor": ""}}</t>
  </si>
  <si>
    <t xml:space="preserve">10.1063/1.3600665</t>
  </si>
  <si>
    <t xml:space="preserve">{"power conversion efficiency": {"entity_name": "PCE", "entity_start": 97, "entity_end": 97, "property_value_start": 99, "property_value_end": 100, "property_numeric_value": 3.39,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</si>
  <si>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10.1063/1.2181635</t>
  </si>
  <si>
    <t xml:space="preserve">{"power conversion efficiency": {"entity_name": "power conversion efficiencies", "entity_start": 110, "entity_end": 112, "property_value_start": 114, "property_value_end": 115, "property_numeric_value": 11.0,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</si>
  <si>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10.1063/1.4719201</t>
  </si>
  <si>
    <t xml:space="preserve">[6-6]-phenyl C_{61} butryric acid</t>
  </si>
  <si>
    <t xml:space="preserve">['[6-6]-phenyl C_{61} butryric acid']</t>
  </si>
  <si>
    <t xml:space="preserve">{"power conversion efficiency": {"entity_name": "power conversion efficiency", "entity_start": 75, "entity_end": 77, "property_value_start": 79, "property_value_end": 80, "property_numeric_value": 4.17,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</si>
  <si>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10.1063/1.3374406</t>
  </si>
  <si>
    <t xml:space="preserve">{"power conversion efficiency": {"entity_name": "power conversion efficiency", "entity_start": 89, "entity_end": 91, "property_value_start": 93, "property_value_end": 94, "property_numeric_value": 4.3,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</si>
  <si>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10.1063/1.3039076</t>
  </si>
  <si>
    <t xml:space="preserve">(6,6)-phenyl C61 butyric acid methyl ester</t>
  </si>
  <si>
    <t xml:space="preserve">['(6,6)-phenyl C61 butyric acid methyl ester']</t>
  </si>
  <si>
    <t xml:space="preserve">{"power conversion efficiency": {"entity_name": "Power conversion efficiency", "entity_start": 134, "entity_end": 136, "property_value_start": 138, "property_value_end": 139, "property_numeric_value": 3.09,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</si>
  <si>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10.1063/1.4818726</t>
  </si>
  <si>
    <t xml:space="preserve">mix-PCBM</t>
  </si>
  <si>
    <t xml:space="preserve">['mix-PCBM']</t>
  </si>
  <si>
    <t xml:space="preserve">{"power conversion efficiency": {"entity_name": "PCE", "entity_start": 66, "entity_end": 66, "property_value_start": 69, "property_value_end": 70, "property_numeric_value": 3.34, "property_unit": "%", "property_value_descriptor": ""}, "open circuit voltage": {"entity_name": "open-circuit voltage", "entity_start": 72, "entity_end": 75, "property_value_start": 77, "property_value_end": 78, "property_numeric_value": 0.63, "property_unit": "V", "property_value_descriptor": ""}, "short circuit current": {"entity_name": "short-circuit current density", "entity_start": 80, "entity_end": 84, "property_value_start": 86, "property_value_end": 90, "property_numeric_value": 8.55,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</si>
  <si>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{}, "short circuit current": {}, "fill factor": {"entity_name": "fill factor", "entity_start": 93, "entity_end": 94, "property_value_start": 96, "property_value_end": 96, "property_numeric_value": 60.0,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</si>
  <si>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108, "entity_end": 108, "property_value_start": 110, "property_value_end": 111, "property_numeric_value": 3.27,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</si>
  <si>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10.1063/1.3662839</t>
  </si>
  <si>
    <t xml:space="preserve">{"power conversion efficiency": {"entity_name": "power conversion efficiency", "entity_start": 69, "entity_end": 71, "property_value_start": 77, "property_value_end": 78, "property_numeric_value": 0.8,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</si>
  <si>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10.1063/1.2132065</t>
  </si>
  <si>
    <t xml:space="preserve">poly(hexyl)thiophene-[6-6]phenyl- C61 -butyric acid methyl ester</t>
  </si>
  <si>
    <t xml:space="preserve">['poly(hexyl)thiophene-[6-6]phenyl- C61 -butyric acid methyl ester', 'P3HT-PCBM']</t>
  </si>
  <si>
    <t xml:space="preserve">{"power conversion efficiency": {"entity_name": "power conversion efficiency", "entity_start": 43, "entity_end": 45, "property_value_start": 47, "property_value_end": 48, "property_numeric_value": 1.0, "property_unit": "%", "property_value_descriptor": ""}, "open circuit voltage": {}, "short circuit current": {}, "fill factor": {"entity_name": "fill factor", "entity_start": 52, "entity_end": 53, "property_value_start": 55, "property_value_end": 55, "property_numeric_value": 30.0,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</si>
  <si>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10.1063/1.4794065</t>
  </si>
  <si>
    <t xml:space="preserve">Poly(amido amine)</t>
  </si>
  <si>
    <t xml:space="preserve">['Poly(amido amine)', 'PAMAM']</t>
  </si>
  <si>
    <t xml:space="preserve">{"power conversion efficiency": {"entity_name": "power conversion efficiency", "entity_start": 63, "entity_end": 65, "property_value_start": 67, "property_value_end": 68, "property_numeric_value": 3.53,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</si>
  <si>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10.1063/1.4801923</t>
  </si>
  <si>
    <t xml:space="preserve">{"power conversion efficiency": {"entity_name": "power conversion efficiencies", "entity_start": 77, "entity_end": 79, "property_value_start": 91, "property_value_end": 92, "property_numeric_value": 7.45,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</si>
  <si>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efficiencies", "entity_start": 77, "entity_end": 79, "property_value_start": 88, "property_value_end": 89, "property_numeric_value": 6.22,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</si>
  <si>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10.1063/1.4808047</t>
  </si>
  <si>
    <t xml:space="preserve">{"power conversion efficiency": {"entity_name": "Power conversion efficiency", "entity_start": 95, "entity_end": 97, "property_value_start": 121, "property_value_end": 122, "property_numeric_value": 3.84,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</si>
  <si>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10.1063/1.4869635</t>
  </si>
  <si>
    <t xml:space="preserve">['[6,6]-phenyl C_{71} butyric acid methyl ester', 'PCBM']</t>
  </si>
  <si>
    <t xml:space="preserve">{"power conversion efficiency": {"entity_name": "power conversion efficiency", "entity_start": 89, "entity_end": 91, "property_value_start": 93, "property_value_end": 94, "property_numeric_value": 2.51,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</si>
  <si>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10.1063/1.4880941</t>
  </si>
  <si>
    <t xml:space="preserve">PNDISS</t>
  </si>
  <si>
    <t xml:space="preserve">['PNDISS']</t>
  </si>
  <si>
    <t xml:space="preserve">{"power conversion efficiency": {"entity_name": "PCE", "entity_start": 55, "entity_end": 55, "property_value_start": 69, "property_value_end": 70, "property_numeric_value": 2.03,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</si>
  <si>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10.1063/1.4850215</t>
  </si>
  <si>
    <t xml:space="preserve">['60']</t>
  </si>
  <si>
    <t xml:space="preserve">{"power conversion efficiency": {}, "open circuit voltage": {"entity_name": "V_{oc}", "entity_start": 109, "entity_end": 111, "property_value_start": 113, "property_value_end": 114, "property_numeric_value": 0.727, "property_unit": "V", "property_value_descriptor": ""}, "short circuit current": {"entity_name": "J_{sc}", "entity_start": 95, "entity_end": 97, "property_value_start": 99, "property_value_end": 103, "property_numeric_value": 5.45,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</si>
  <si>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['p-DTS(FBTTh_{2})_{2', 'p-DTS(FBTTh_{2})_{2}']</t>
  </si>
  <si>
    <t xml:space="preserve">['40']</t>
  </si>
  <si>
    <t xml:space="preserve">{"power conversion efficiency": {"entity_name": "power conversion efficiency", "entity_start": 128, "entity_end": 130, "property_value_start": 132, "property_value_end": 133, "property_numeric_value": 2.02, "property_unit": "%", "property_value_descriptor": ""}, "open circuit voltage": {}, "short circuit current": {}, "fill factor": {"entity_name": "FF", "entity_start": 120, "entity_end": 120, "property_value_start": 123, "property_value_end": 124, "property_numeric_value": 51.0,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</si>
  <si>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10.1063/1.4884059</t>
  </si>
  <si>
    <t xml:space="preserve">{"power conversion efficiency": {"entity_name": "PCE", "entity_start": 104, "entity_end": 104, "property_value_start": 106, "property_value_end": 107, "property_numeric_value": 2.76,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</si>
  <si>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10.1063/1.4811355</t>
  </si>
  <si>
    <t xml:space="preserve">['PSS', 'PSS']</t>
  </si>
  <si>
    <t xml:space="preserve">(MeOH)</t>
  </si>
  <si>
    <t xml:space="preserve">['(MeOH)']</t>
  </si>
  <si>
    <t xml:space="preserve">{"power conversion efficiency": {"entity_name": "power conversion efficiency", "entity_start": 136, "entity_end": 138, "property_value_start": 140, "property_value_end": 141, "property_numeric_value": 11.23,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</si>
  <si>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10.1063/1.4958690</t>
  </si>
  <si>
    <t xml:space="preserve">{"power conversion efficiency": {"entity_name": "PCE", "entity_start": 164, "entity_end": 164, "property_value_start": 182, "property_value_end": 183, "property_numeric_value": 8.8,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</si>
  <si>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Sm^{3+}</t>
  </si>
  <si>
    <t xml:space="preserve">['Sm^{3+}']</t>
  </si>
  <si>
    <t xml:space="preserve">{"power conversion efficiency": {"entity_name": "PCE", "entity_start": 164, "entity_end": 164, "property_value_start": 185, "property_value_end": 186, "property_numeric_value": 7.2,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</si>
  <si>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10.1063/1.1861123</t>
  </si>
  <si>
    <t xml:space="preserve">{"power conversion efficiency": {"entity_name": "power conversion efficiency", "entity_start": 84, "entity_end": 86, "property_value_start": 88, "property_value_end": 89,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</si>
  <si>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10.1063/1.4890828</t>
  </si>
  <si>
    <t xml:space="preserve">PEO</t>
  </si>
  <si>
    <t xml:space="preserve">['poly(ethylene oxide)', 'PEO']</t>
  </si>
  <si>
    <t xml:space="preserve">{"power conversion efficiency": {"entity_name": "power conversion efficiency", "entity_start": 117, "entity_end": 119, "property_value_start": 121, "property_value_end": 122, "property_numeric_value": 2.82,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</si>
  <si>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10.1063/1.3478880</t>
  </si>
  <si>
    <t xml:space="preserve">['poly(3-hexylethiophene)', 'P3HT']</t>
  </si>
  <si>
    <t xml:space="preserve">{"power conversion efficiency": {"entity_name": "power conversion efficiency", "entity_start": 148, "entity_end": 150, "property_value_start": 152, "property_value_end": 153, "property_numeric_value": 1.21, "property_unit": "%", "property_value_descriptor": ""}, "open circuit voltage": {"entity_name": "open circuit voltage", "entity_start": 163, "entity_end": 165, "property_value_start": 167, "property_value_end": 168, "property_numeric_value": 0.445, "property_unit": "V", "property_value_descriptor": ""}, "short circuit current": {}, "fill factor": {"entity_name": "fill factor", "entity_start": 156, "entity_end": 157, "property_value_start": 159, "property_value_end": 159, "property_numeric_value": 46.0,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</si>
  <si>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10.1063/1.4821219</t>
  </si>
  <si>
    <t xml:space="preserve">{"power conversion efficiency": {"entity_name": "power conversion efficiency", "entity_start": 177, "entity_end": 179, "property_value_start": 181, "property_value_end": 182, "property_numeric_value": 3.05,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</si>
  <si>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10.1063/1.5012992</t>
  </si>
  <si>
    <t xml:space="preserve">{"power conversion efficiency": {"entity_name": "power conversion efficiency", "entity_start": 116, "entity_end": 118, "property_value_start": 120, "property_value_end": 121, "property_numeric_value": 13.0,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</si>
  <si>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10.1063/1.370205</t>
  </si>
  <si>
    <t xml:space="preserve">p-phenylene vinylene</t>
  </si>
  <si>
    <t xml:space="preserve">['p-phenylene vinylene', 'PPV', "poly [2-methoxy,5-(3',7'-dimethyl-octyloxy)]-p-phenylene vinylene"]</t>
  </si>
  <si>
    <t xml:space="preserve">{"power conversion efficiency": {"entity_name": "power conversion efficiency \u03b7e", "entity_start": 248, "entity_end": 251, "property_value_start": 267, "property_value_end": 268, "property_numeric_value": 1.5,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</si>
  <si>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10.1063/1.3665126</t>
  </si>
  <si>
    <t xml:space="preserve">Poly{[2,7-(9,9-bis-(2-ethylhexyl)-fluorene)]-alt-[5,5-(4,7-di-2'-thienyl-2,1,3-benzothiadiazole)]}</t>
  </si>
  <si>
    <t xml:space="preserve">["Poly{[2,7-(9,9-bis-(2-ethylhexyl)-fluorene)]-alt-[5,5-(4,7-di-2'-thienyl-2,1,3-benzothiadiazole)]}"]</t>
  </si>
  <si>
    <t xml:space="preserve">{"power conversion efficiency": {"entity_name": "power-conversion efficiency", "entity_start": 68, "entity_end": 71, "property_value_start": 73, "property_value_end": 74, "property_numeric_value": 2.57,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</si>
  <si>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10.1063/1.4887076</t>
  </si>
  <si>
    <t xml:space="preserve">BP2 T</t>
  </si>
  <si>
    <t xml:space="preserve">['BP2 T']</t>
  </si>
  <si>
    <t xml:space="preserve">{"power conversion efficiency": {"entity_name": "power conversion efficiency", "entity_start": 167, "entity_end": 169, "property_value_start": 173, "property_value_end": 174, "property_numeric_value": 2.6,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</si>
  <si>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10.1063/1.3272709</t>
  </si>
  <si>
    <t xml:space="preserve">{"power conversion efficiency": {"entity_name": "power conversion efficiency", "entity_start": 54, "entity_end": 56, "property_value_start": 62, "property_value_end": 63,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</si>
  <si>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10.1063/1.4985812</t>
  </si>
  <si>
    <t xml:space="preserve">poly(styrene sulfonate)(PEDOT</t>
  </si>
  <si>
    <t xml:space="preserve">['PEDOT', 'poly(styrene sulfonate)(PEDOT']</t>
  </si>
  <si>
    <t xml:space="preserve">{"power conversion efficiency": {"entity_name": "PCE", "entity_start": 182, "entity_end": 182, "property_value_start": 208, "property_value_end": 209, "property_numeric_value": 8.1, "property_unit": "%", "property_value_descriptor": ""}, "open circuit voltage": {"entity_name": "V_{OC}", "entity_start": 222, "entity_end": 223, "property_value_start": 225, "property_value_end": 226, "property_numeric_value": 0.573,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</si>
  <si>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{}, "short circuit current": {"entity_name": "J_{SC}", "entity_start": 212, "entity_end": 213, "property_value_start": 215, "property_value_end": 219, "property_numeric_value": 33.4, "property_unit": "mA/cm^{2}", "property_value_descriptor": ""}, "fill factor": {"entity_name": "FF", "entity_start": 230, "entity_end": 230, "property_value_start": 232, "property_value_end": 232, "property_numeric_value": 42.3,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</si>
  <si>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10.1063/1.4870470</t>
  </si>
  <si>
    <t xml:space="preserve">PSiF-DBT</t>
  </si>
  <si>
    <t xml:space="preserve">['poly[2,7-(9,9-bis(2-ethylhexyl)-dibenzosilole)-alt-4,7-bis(thiophen-2-yl)benzo-2,1,3-thiadiazole]', 'PSiF-DBT']</t>
  </si>
  <si>
    <t xml:space="preserve">{"power conversion efficiency": {"entity_name": "power conversion efficiency", "entity_start": 148, "entity_end": 150, "property_value_start": 153, "property_value_end": 154, "property_numeric_value": 1.58, "property_unit": "%", "property_value_descriptor": ""}, "open circuit voltage": {"entity_name": "open circuit voltage", "entity_start": 156, "entity_end": 158, "property_value_start": 160, "property_value_end": 161, "property_numeric_value": 0.51, "property_unit": "V", "property_value_descriptor": ""}, "short circuit current": {"entity_name": "short circuit current", "entity_start": 163, "entity_end": 165, "property_value_start": 167, "property_value_end": 171, "property_numeric_value": 8.71, "property_unit": "mA/cm^{2}", "property_value_descriptor": ""}, "fill factor": {"entity_name": "fill factor", "entity_start": 174, "entity_end": 175, "property_value_start": 177, "property_value_end": 178, "property_numeric_value": 35.0,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</si>
  <si>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10.1063/1.4827181</t>
  </si>
  <si>
    <t xml:space="preserve">{"power conversion efficiency": {"entity_name": "PCE", "entity_start": 135, "entity_end": 135, "property_value_start": 146, "property_value_end": 147, "property_numeric_value": 3.81,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</si>
  <si>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10.1063/1.4847515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</si>
  <si>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90, "entity_end": 91, "property_value_start": 100, "property_value_end": 102, "property_numeric_value": 1.85, "property_unit": "cm^{2}/V s", "property_value_descriptor": ""}, "electron mobility": {}, "external quantum efficiency": {}}</t>
  </si>
  <si>
    <t xml:space="preserve">{"power conversion efficiency": {"entity_name": "power conversion efficiency", "entity_start": 162, "entity_end": 164, "property_value_start": 166, "property_value_end": 167, "property_numeric_value": 11.04,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</si>
  <si>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10.1016/j.nanoen.2015.01.022</t>
  </si>
  <si>
    <t xml:space="preserve">PPP-P3HT</t>
  </si>
  <si>
    <t xml:space="preserve">['poly(2,5-dihexyloxy-p-phenylene)-b-poly(3-hexylthiophene)', 'PPP-P3HT']</t>
  </si>
  <si>
    <t xml:space="preserve">{"power conversion efficiency": {"entity_name": "PCE", "entity_start": 201, "entity_end": 201, "property_value_start": 209, "property_value_end": 210, "property_numeric_value": 2.77,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</si>
  <si>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10.1016/j.nanoen.2020.105106</t>
  </si>
  <si>
    <t xml:space="preserve">PNDI2OD-T2</t>
  </si>
  <si>
    <t xml:space="preserve">['PNDI2OD-T2']</t>
  </si>
  <si>
    <t xml:space="preserve">{"power conversion efficiency": {"entity_name": "PCEs", "entity_start": 189, "entity_end": 189, "property_value_start": 191, "property_value_end": 192, "property_numeric_value": 6.1,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</si>
  <si>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10.1016/j.nanoen.2018.01.012</t>
  </si>
  <si>
    <t xml:space="preserve">{"power conversion efficiency": {"entity_name": "PCE", "entity_start": 192, "entity_end": 192, "property_value_start": 195, "property_value_end": 196, "property_numeric_value": 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</si>
  <si>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10.1155/2018/4561320</t>
  </si>
  <si>
    <t xml:space="preserve">4,8-didodecyloxybenzo[1,2-b;4,5-b] dithiophene</t>
  </si>
  <si>
    <t xml:space="preserve">{"power conversion efficiency": {"entity_name": "power conversion efficiency", "entity_start": 107, "entity_end": 109, "property_value_start": 111, "property_value_end": 112, "property_numeric_value": 4.6, "property_unit": "%", "property_value_descriptor": ""}, "open circuit voltage": {}, "short circuit current": {}, "fill factor": {}, "highest occupied molecular orbital": {}, "lowest unoccupied molecular orbital": {}, "bandgap": {"entity_name": "band gap", "entity_start": 67, "entity_end": 68, "property_value_start": 71, "property_value_end": 72, "property_numeric_value": 2.2, "property_unit": "eV", "property_value_descriptor": ""}, "hole mobility": {}, "electron mobility": {}, "external quantum efficiency": {}}</t>
  </si>
  <si>
    <t xml:space="preserve">10.1155/2013/354035</t>
  </si>
  <si>
    <t xml:space="preserve">{"power conversion efficiency": {"entity_name": "PCE", "entity_start": 77, "entity_end": 77, "property_value_start": 86, "property_value_end": 87, "property_numeric_value": 3.38, "property_unit": "%", "property_value_descriptor": ""}, "open circuit voltage": {}, "short circuit current": {"entity_name": "short-circuit current density", "entity_start": 92, "entity_end": 96, "property_value_start": 100, "property_value_end": 104, "property_numeric_value": 9.48,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</si>
  <si>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10.1039/c6sc04461a</t>
  </si>
  <si>
    <t xml:space="preserve">{"power conversion efficiency": {"entity_name": "PCE", "entity_start": 137, "entity_end": 137, "property_value_start": 142, "property_value_end": 143, "property_numeric_value": 6.11, "property_unit": "%", "property_value_descriptor": ""}, "open circuit voltage": {"entity_name": "V_{oc}", "entity_start": 182, "entity_end": 183, "property_value_start": 194, "property_value_end": 195, "property_numeric_value": 1.06, "property_unit": "V", "property_value_descriptor": ""}, "short circuit current": {}, "fill factor": {}, "highest occupied molecular orbital": {}, "lowest unoccupied molecular orbital": {"entity_name": "LUMO level", "entity_start": 116, "entity_end": 117, "property_value_start": 119, "property_value_end": 120, "property_numeric_value": -3.33, "property_unit": "eV", "property_value_descriptor": ""}, "bandgap": {}, "hole mobility": {}, "electron mobility": {}, "external quantum efficiency": {}}</t>
  </si>
  <si>
    <t xml:space="preserve">{"power conversion efficiency": {"entity_name": "PCE", "entity_start": 137, "entity_end": 137, "property_value_start": 139, "property_value_end": 140, "property_numeric_value": 4.94, "property_unit": "%", "property_value_descriptor": ""}, "open circuit voltage": {"entity_name": "V_{oc}", "entity_start": 182, "entity_end": 183, "property_value_start": 197, "property_value_end": 198, "property_numeric_value": 1.02,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</si>
  <si>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10.1039/c6sc01791f</t>
  </si>
  <si>
    <t xml:space="preserve">PDTPO-IDT</t>
  </si>
  <si>
    <t xml:space="preserve">['PDTPO-IDT']</t>
  </si>
  <si>
    <t xml:space="preserve">{"power conversion efficiency": {"entity_name": "PCE", "entity_start": 187, "entity_end": 187, "property_value_start": 189, "property_value_end": 190, "property_numeric_value": 5.47, "property_unit": "%", "property_value_descriptor": ""}, "open circuit voltage": {"entity_name": "V_{oc}", "entity_start": 164, "entity_end": 165, "property_value_start": 168, "property_value_end": 169, "property_numeric_value": 0.97, "property_unit": "V", "property_value_descriptor": ""}, "short circuit current": {}, "fill factor": {}, "highest occupied molecular orbital": {}, "lowest unoccupied molecular orbital": {}, "bandgap": {"entity_name": "optical bandgap", "entity_start": 147, "entity_end": 148, "property_value_start": 150, "property_value_end": 151, "property_numeric_value": 2.0, "property_unit": "eV", "property_value_descriptor": ""}, "hole mobility": {"entity_name": "hole mobility", "entity_start": 79, "entity_end": 80, "property_value_start": 82, "property_value_end": 90, "property_numeric_value": 0.001, "property_unit": "cm^{2} V^{-1} s^{-1}", "property_value_descriptor": ""}, "electron mobility": {}, "external quantum efficiency": {}}</t>
  </si>
  <si>
    <t xml:space="preserve">10.1039/c6sc01756h</t>
  </si>
  <si>
    <t xml:space="preserve">['poly[(ethylhexyl-thiophenyl)-benzodithiophene-(ethylhexyl)-thienothiophene]', 'PTB7-Th']</t>
  </si>
  <si>
    <t xml:space="preserve">P-BNBP-T</t>
  </si>
  <si>
    <t xml:space="preserve">['P-BNBP-T']</t>
  </si>
  <si>
    <t xml:space="preserve">{"power conversion efficiency": {"entity_name": "PCE", "entity_start": 286, "entity_end": 286, "property_value_start": 290, "property_value_end": 291, "property_numeric_value": 4.26, "property_unit": "%", "property_value_descriptor": ""}, "open circuit voltage": {"entity_name": "V_{oc}", "entity_start": 321, "entity_end": 322, "property_value_start": 325, "property_value_end": 326, "property_numeric_value": 1.03,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</si>
  <si>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10.1039/c8dt01588k</t>
  </si>
  <si>
    <t xml:space="preserve">{"power conversion efficiency": {"entity_name": "PCE", "entity_start": 274, "entity_end": 274, "property_value_start": 276, "property_value_end": 277, "property_numeric_value": 40.0, "property_unit": "%", "property_value_descriptor": ""}, "open circuit voltage": {}, "short circuit current": {"entity_name": "J_{sc}", "entity_start": 244, "entity_end": 245, "property_value_start": 248, "property_value_end": 250, "property_numeric_value": 5.51, "property_unit": "mA cm^{-2}", "property_value_descriptor": ""}, "fill factor": {"entity_name": "FF", "entity_start": 232, "entity_end": 232, "property_value_start": 234, "property_value_end": 235, "property_numeric_value": 35.0,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</si>
  <si>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10.1039/d0ta03924a</t>
  </si>
  <si>
    <t xml:space="preserve">{"power conversion efficiency": {"entity_name": "PCE", "entity_start": 230, "entity_end": 230, "property_value_start": 246, "property_value_end": 247, "property_numeric_value": 10.09,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</si>
  <si>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10.1039/d0ta04734a</t>
  </si>
  <si>
    <t xml:space="preserve">PBB-Cl</t>
  </si>
  <si>
    <t xml:space="preserve">['PBB-Cl']</t>
  </si>
  <si>
    <t xml:space="preserve">benzobis(thiazole)</t>
  </si>
  <si>
    <t xml:space="preserve">{"power conversion efficiency": {"entity_name": "power conversion efficiency", "entity_start": 224, "entity_end": 226, "property_value_start": 228, "property_value_end": 229, "property_numeric_value": 14.8, "property_unit": "%", "property_value_descriptor": ""}, "open circuit voltage": {"entity_name": "V_{OC}", "entity_start": 244, "entity_end": 245, "property_value_start": 247, "property_value_end": 248, "property_numeric_value": 0.94, "property_unit": "V", "property_value_descriptor": ""}, "short circuit current": {"entity_name": "J_{SC}", "entity_start": 250, "entity_end": 251, "property_value_start": 253, "property_value_end": 256, "property_numeric_value": 21.8,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</si>
  <si>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10.1039/d0ta02859b</t>
  </si>
  <si>
    <t xml:space="preserve">PBTN-p</t>
  </si>
  <si>
    <t xml:space="preserve">['PBTN-p']</t>
  </si>
  <si>
    <t xml:space="preserve">CCCCCCCCCCCc3c(C=c2c(=O)c1cc(Cl)c(Cl)cc1c2=C(C#N)C#N)sc%11c3sc%12c%10c4nsnc4c9c8sc7c(CCCCCCCCCCC)c(C=c6c(=O)c5cc(Cl)c(Cl)cc5c6=C(C#N)C#N)sc7c8n(CC(CCCC)CCCCCC)c9c%10n(CC(CCCC)CCCCCC)c%11%12</t>
  </si>
  <si>
    <t xml:space="preserve">['BO-4Cl']</t>
  </si>
  <si>
    <t xml:space="preserve">{"power conversion efficiency": {"entity_name": "PCE", "entity_start": 162, "entity_end": 162, "property_value_start": 164, "property_value_end": 165, "property_numeric_value": 11.85, "property_unit": "%", "property_value_descriptor": ""}, "open circuit voltage": {"entity_name": "V_{OC}", "entity_start": 210, "entity_end": 211, "property_value_start": 213, "property_value_end": 214, "property_numeric_value": 0.84, "property_unit": "V", "property_value_descriptor": ""}, "short circuit current": {}, "fill factor": {"entity_name": "FF", "entity_start": 183, "entity_end": 183, "property_value_start": 185, "property_value_end": 185, "property_numeric_value": 63.0,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</si>
  <si>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PBTN-o</t>
  </si>
  <si>
    <t xml:space="preserve">['PBTN-o']</t>
  </si>
  <si>
    <t xml:space="preserve">{"power conversion efficiency": {"entity_name": "PCE", "entity_start": 203, "entity_end": 203, "property_value_start": 205, "property_value_end": 206, "property_numeric_value": 14.1, "property_unit": "%", "property_value_descriptor": ""}, "open circuit voltage": {}, "short circuit current": {"entity_name": "J_{SC}", "entity_start": 219, "entity_end": 220, "property_value_start": 222, "property_value_end": 225, "property_numeric_value": 24.67, "property_unit": "mA cm^{-2}", "property_value_descriptor": ""}, "fill factor": {"entity_name": "FF", "entity_start": 227, "entity_end": 227, "property_value_start": 229, "property_value_end": 229, "property_numeric_value": 68.0,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</si>
  <si>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10.1039/d0ta05696k</t>
  </si>
  <si>
    <t xml:space="preserve">{"power conversion efficiency": {"entity_name": "PCE", "entity_start": 65, "entity_end": 65, "property_value_start": 96, "property_value_end": 97, "property_numeric_value": 8.48,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</si>
  <si>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10.1039/d0ta06146h</t>
  </si>
  <si>
    <t xml:space="preserve">{"power conversion efficiency": {"entity_name": "PCE", "entity_start": 163, "entity_end": 163, "property_value_start": 171, "property_value_end": 172, "property_numeric_value": 15.87,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</si>
  <si>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PIDTC-T</t>
  </si>
  <si>
    <t xml:space="preserve">['PIDTC-T']</t>
  </si>
  <si>
    <t xml:space="preserve">10.1039/d0tc02032j</t>
  </si>
  <si>
    <t xml:space="preserve">PMT49</t>
  </si>
  <si>
    <t xml:space="preserve">['PMT49']</t>
  </si>
  <si>
    <t xml:space="preserve">Y6(BO)</t>
  </si>
  <si>
    <t xml:space="preserve">['Y6(BO)']</t>
  </si>
  <si>
    <t xml:space="preserve">{"power conversion efficiency": {"entity_name": "PCE", "entity_start": 189, "entity_end": 189, "property_value_start": 192, "property_value_end": 193, "property_numeric_value": 12.0,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</si>
  <si>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PMT50</t>
  </si>
  <si>
    <t xml:space="preserve">['PMT50']</t>
  </si>
  <si>
    <t xml:space="preserve">{"power conversion efficiency": {"entity_name": "PCE", "entity_start": 189, "entity_end": 189, "property_value_start": 204, "property_value_end": 205, "property_numeric_value": 9.68,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</si>
  <si>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236, "entity_end": 236, "property_value_start": 260, "property_value_end": 261, "property_numeric_value": 12.8,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</si>
  <si>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PEHTT</t>
  </si>
  <si>
    <t xml:space="preserve">['PEHTT']</t>
  </si>
  <si>
    <t xml:space="preserve">{"power conversion efficiency": {"entity_name": "PCE", "entity_start": 236, "entity_end": 236, "property_value_start": 238, "property_value_end": 239, "property_numeric_value": 15.1,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</si>
  <si>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10.1039/d0tc03217d</t>
  </si>
  <si>
    <t xml:space="preserve">{"power conversion efficiency": {"entity_name": "PCE", "entity_start": 112, "entity_end": 112, "property_value_start": 134, "property_value_end": 135, "property_numeric_value": 11.01,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</si>
  <si>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10.1039/d0tc03049j</t>
  </si>
  <si>
    <t xml:space="preserve">PPDT2FBT-A</t>
  </si>
  <si>
    <t xml:space="preserve">['PPDT2FBT-A']</t>
  </si>
  <si>
    <t xml:space="preserve">PC_{71}BO_{15}-based</t>
  </si>
  <si>
    <t xml:space="preserve">['PC_{71}BO_{15}', 'PC_{71}BO_{15}-based', 'PC_{61}BO_{15}', 'PC_{61}BO_{15}-based']</t>
  </si>
  <si>
    <t xml:space="preserve">{"power conversion efficiency": {"entity_name": "PCEs", "entity_start": 88, "entity_end": 88, "property_value_start": 93, "property_value_end": 94, "property_numeric_value": 2.51,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</si>
  <si>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10.1039/d0tc02499f</t>
  </si>
  <si>
    <t xml:space="preserve">FTT-FPDI</t>
  </si>
  <si>
    <t xml:space="preserve">['TT-FPDI', 'FTT-FPDI']</t>
  </si>
  <si>
    <t xml:space="preserve">FPDI; FTT-FPDI; T-FPDI</t>
  </si>
  <si>
    <t xml:space="preserve">{"power conversion efficiency": {"entity_name": "PCEs", "entity_start": 238, "entity_end": 238, "property_value_start": 243, "property_value_end": 244, "property_numeric_value": 7.66,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</si>
  <si>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10.1039/c8qm00347e</t>
  </si>
  <si>
    <t xml:space="preserve">{"power conversion efficiency": {"entity_name": "PCE", "entity_start": 162, "entity_end": 162, "property_value_start": 167, "property_value_end": 168, "property_numeric_value": 8.3,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</si>
  <si>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10.1039/c9qm00013e</t>
  </si>
  <si>
    <t xml:space="preserve">FTTCN</t>
  </si>
  <si>
    <t xml:space="preserve">['FTTCN']</t>
  </si>
  <si>
    <t xml:space="preserve">{"power conversion efficiency": {"entity_name": "PCE", "entity_start": 105, "entity_end": 105, "property_value_start": 108, "property_value_end": 109, "property_numeric_value": 10.56, "property_unit": "%", "property_value_descriptor": ""}, "open circuit voltage": {"entity_name": "V_{OC}", "entity_start": 173, "entity_end": 174, "property_value_start": 176, "property_value_end": 177, "property_numeric_value": 0.93, "property_unit": "V", "property_value_descriptor": ""}, "short circuit current": {"entity_name": "J_{SC}", "entity_start": 180, "entity_end": 181, "property_value_start": 183, "property_value_end": 186, "property_numeric_value": 15.19, "property_unit": "mA cm^{-2}", "property_value_descriptor": ""}, "fill factor": {"entity_name": "FF", "entity_start": 203, "entity_end": 203, "property_value_start": 205, "property_value_end": 206, "property_numeric_value": 73.82,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</si>
  <si>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FTTCN-M</t>
  </si>
  <si>
    <t xml:space="preserve">['FTTCN-M']</t>
  </si>
  <si>
    <t xml:space="preserve">{"power conversion efficiency": {"entity_name": "PCE", "entity_start": 166, "entity_end": 166, "property_value_start": 168, "property_value_end": 169, "property_numeric_value": 10.08, "property_unit": "%", "property_value_descriptor": ""}, "open circuit voltage": {"entity_name": "V_{OC}", "entity_start": 118, "entity_end": 120, "property_value_start": 122, "property_value_end": 123, "property_numeric_value": 0.9, "property_unit": "V", "property_value_descriptor": ""}, "short circuit current": {"entity_name": "J_{SC}", "entity_start": 132, "entity_end": 133, "property_value_start": 136, "property_value_end": 139, "property_numeric_value": 15.89, "property_unit": "mA cm^{-2}", "property_value_descriptor": ""}, "fill factor": {"entity_name": "FF", "entity_start": 189, "entity_end": 189, "property_value_start": 191, "property_value_end": 192, "property_numeric_value": 71.37,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</si>
  <si>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10.1039/c8qm00223a</t>
  </si>
  <si>
    <t xml:space="preserve">{"power conversion efficiency": {"entity_name": "PCE", "entity_start": 207, "entity_end": 207, "property_value_start": 209, "property_value_end": 210, "property_numeric_value": 2.5, "property_unit": "%", "property_value_descriptor": ""}, "open circuit voltage": {"entity_name": "V_{oc}", "entity_start": 219, "entity_end": 220, "property_value_start": 223, "property_value_end": 224, "property_numeric_value": 1.1, "property_unit": "V", "property_value_descriptor": "~"},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</si>
  <si>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10.1039/c8qm00492g</t>
  </si>
  <si>
    <t xml:space="preserve">- benzodithiophene-alt -</t>
  </si>
  <si>
    <t xml:space="preserve">P-BNBP-2f</t>
  </si>
  <si>
    <t xml:space="preserve">['P-BNBP-2f']</t>
  </si>
  <si>
    <t xml:space="preserve">{"power conversion efficiency": {"entity_name": "power conversion efficiency", "entity_start": 253, "entity_end": 255, "property_value_start": 257, "property_value_end": 258, "property_numeric_value": 5.46,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mobility", "entity_start": 89, "entity_end": 90, "property_value_start": 92, "property_value_end": 101, "property_numeric_value": 0.0005400000000000001, "property_unit": "cm^{2} V^{-1} s^{-1}", "property_value_descriptor": ""}, "external quantum efficiency": {}}</t>
  </si>
  <si>
    <t xml:space="preserve">10.1039/c9qm00327d</t>
  </si>
  <si>
    <t xml:space="preserve">PTB7-Th; m</t>
  </si>
  <si>
    <t xml:space="preserve">{"power conversion efficiency": {"entity_name": "PCE", "entity_start": 226, "entity_end": 226, "property_value_start": 228, "property_value_end": 229, "property_numeric_value": 9.3, "property_unit": "%", "property_value_descriptor": ""}, "open circuit voltage": {}, "short circuit current": {}, "fill factor": {}, "highest occupied molecular orbital": {}, "lowest unoccupied molecular orbital": {}, "bandgap": {"entity_name": "bandgaps", "entity_start": 47, "entity_end": 47, "property_value_start": 51, "property_value_end": 52, "property_numeric_value": 1.31, "property_unit": "eV", "property_value_descriptor": ""}, "hole mobility": {}, "electron mobility": {}, "external quantum efficiency": {}}</t>
  </si>
  <si>
    <t xml:space="preserve">10.1039/c8qm00238j</t>
  </si>
  <si>
    <t xml:space="preserve">FTAZ</t>
  </si>
  <si>
    <t xml:space="preserve">[*]c7ccc(c5c(F)c(F)c(c4ccc(c3cc2c(CCC(CCCC)CCCCCC)c1sc([*])cc1c(CCC(CCCCC)CCCCCC)c2s3)s4)c6nn(CC(CCCC)CCCCCC)nc56)s7</t>
  </si>
  <si>
    <t xml:space="preserve">['FTAZ']</t>
  </si>
  <si>
    <t xml:space="preserve">NNFA[12,3]</t>
  </si>
  <si>
    <t xml:space="preserve">['NNFA', 'NNFA[n', 'NNFA[0,6]', 'NNFA[6,3]', 'NNFA[6,6]', 'NNFA[12,3]', 'NNFA[12,6]', 'NNFAs']</t>
  </si>
  <si>
    <t xml:space="preserve">{"power conversion efficiency": {"entity_name": "power conversion efficiency", "entity_start": 244, "entity_end": 246, "property_value_start": 248, "property_value_end": 249, "property_numeric_value": 10.81,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</si>
  <si>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10.1039/c6qm00245e</t>
  </si>
  <si>
    <t xml:space="preserve">P3HT; P-BNBP-CDT</t>
  </si>
  <si>
    <t xml:space="preserve">{"power conversion efficiency": {"entity_name": "PCE", "entity_start": 159, "entity_end": 159, "property_value_start": 164, "property_value_end": 165, "property_numeric_value": 1.76,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</si>
  <si>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10.1039/c8qm00610e</t>
  </si>
  <si>
    <t xml:space="preserve">C8-ITIC</t>
  </si>
  <si>
    <t xml:space="preserve">['C8-ITIC']</t>
  </si>
  <si>
    <t xml:space="preserve">{"power conversion efficiency": {"entity_name": "PCE", "entity_start": 129, "entity_end": 129, "property_value_start": 132, "property_value_end": 133, "property_numeric_value": 9.2,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</si>
  <si>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10.1039/c8qm00318a</t>
  </si>
  <si>
    <t xml:space="preserve">DF-PCNC</t>
  </si>
  <si>
    <t xml:space="preserve">['DF-PCNC', 'DF-PCIC']</t>
  </si>
  <si>
    <t xml:space="preserve">{"power conversion efficiency": {"entity_name": "PCE", "entity_start": 268, "entity_end": 268, "property_value_start": 271, "property_value_end": 272, "property_numeric_value": 11.63, "property_unit": "%", "property_value_descriptor": ""}, "open circuit voltage": {}, "short circuit current": {}, "fill factor": {"entity_name": "FF", "entity_start": 252, "entity_end": 252, "property_value_start": 255, "property_value_end": 256, "property_numeric_value": 72.62,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</si>
  <si>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10.1039/c8nj02094a</t>
  </si>
  <si>
    <t xml:space="preserve">spiro</t>
  </si>
  <si>
    <t xml:space="preserve">['spiro', 'spiro -', 'spiro-OMeTAD']</t>
  </si>
  <si>
    <t xml:space="preserve">{"power conversion efficiency": {"entity_name": "PCE", "entity_start": 129, "entity_end": 129, "property_value_start": 132, "property_value_end": 133, "property_numeric_value": 1.53,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</si>
  <si>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10.1039/c8nj04896g</t>
  </si>
  <si>
    <t xml:space="preserve">poly(3-hexylthiophene); BIBT</t>
  </si>
  <si>
    <t xml:space="preserve">{"power conversion efficiency": {"entity_name": "power conversion efficiency", "entity_start": 141, "entity_end": 143, "property_value_start": 145, "property_value_end": 146, "property_numeric_value": 2.11, "property_unit": "%", "property_value_descriptor": ""}, "open circuit voltage": {"entity_name": "open-circuit voltage", "entity_start": 151, "entity_end": 154, "property_value_start": 156, "property_value_end": 157, "property_numeric_value": 0.78, "property_unit": "V", "property_value_descriptor": ""}, "short circuit current": {}, "fill factor": {}, "highest occupied molecular orbital": {}, "lowest unoccupied molecular orbital": {}, "bandgap": {"entity_name": "optical bandgap", "entity_start": 103, "entity_end": 104, "property_value_start": 106, "property_value_end": 107, "property_numeric_value": 2.04, "property_unit": "eV", "property_value_descriptor": ""}, "hole mobility": {}, "electron mobility": {}, "external quantum efficiency": {}}</t>
  </si>
  <si>
    <t xml:space="preserve">10.1039/c8nj05905e</t>
  </si>
  <si>
    <t xml:space="preserve">P13</t>
  </si>
  <si>
    <t xml:space="preserve">['P13', 'BDT-DPP50-BTQx50', 'BDT-DPP50-BTQx50', 'P11']</t>
  </si>
  <si>
    <t xml:space="preserve">{"power conversion efficiency": {"entity_name": "PCE", "entity_start": 208, "entity_end": 208, "property_value_start": 234, "property_value_end": 235, "property_numeric_value": 8.11, "property_unit": "%", "property_value_descriptor": ""}, "open circuit voltage": {"entity_name": "V_{oc}", "entity_start": 183, "entity_end": 184, "property_value_start": 186, "property_value_end": 187, "property_numeric_value": 0.86, "property_unit": "V", "property_value_descriptor": ""}, "short circuit current": {"entity_name": "J_{sc}", "entity_start": 190, "entity_end": 191, "property_value_start": 193, "property_value_end": 196, "property_numeric_value": 15.74, "property_unit": "mA cm^{-2}", "property_value_descriptor": ""}, "fill factor": {"entity_name": "FF", "entity_start": 200, "entity_end": 200, "property_value_start": 202, "property_value_end": 202, "property_numeric_value": 68.0,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</si>
  <si>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10.1039/c6nj00067c</t>
  </si>
  <si>
    <t xml:space="preserve">PSezTITI</t>
  </si>
  <si>
    <t xml:space="preserve">[*]c1cc7c(s1)c2c(ccc6c2ccc5c(=O)n(CC(CCCCCCCC)CCCCCCCCCC)c4cc(c3ccc([*])[se]3)sc4c56)c(=O)n7CC(CCCCCCCC)CCCCCCCCCC</t>
  </si>
  <si>
    <t xml:space="preserve">['PSezTITI']</t>
  </si>
  <si>
    <t xml:space="preserve">{"power conversion efficiency": {"entity_name": "PCE", "entity_start": 44, "entity_end": 44, "property_value_start": 47, "property_value_end": 48, "property_numeric_value": 2.36, "property_unit": "%", "property_value_descriptor": ""}, "open circuit voltage": {"entity_name": "V_{oc}", "entity_start": 56, "entity_end": 57, "property_value_start": 60, "property_value_end": 61, "property_numeric_value": 1.08, "property_unit": "V", "property_value_descriptor": ""}, "short circuit current": {}, "fill factor": {}, "highest occupied molecular orbital": {"entity_name": "HOMO energy", "entity_start": 26, "entity_end": 27, "property_value_start": 30, "property_value_end": 31, "property_numeric_value": -5.6, "property_unit": "eV", "property_value_descriptor": ""}, "lowest unoccupied molecular orbital": {}, "bandgap": {}, "hole mobility": {}, "electron mobility": {}, "external quantum efficiency": {}}</t>
  </si>
  <si>
    <t xml:space="preserve">10.1039/c6nj02478e</t>
  </si>
  <si>
    <t xml:space="preserve">P(BDTT-BTBDPPD)</t>
  </si>
  <si>
    <t xml:space="preserve">['P(BDTT-BTBDPPD)', 'P(BDTT-TBDPPD)']</t>
  </si>
  <si>
    <t xml:space="preserve">{"power conversion efficiency": {"entity_name": "PCE", "entity_start": 165, "entity_end": 165, "property_value_start": 168, "property_value_end": 169, "property_numeric_value": 4.62, "property_unit": "%", "property_value_descriptor": ""}, "open circuit voltage": {"entity_name": "V_{oc}", "entity_start": 177, "entity_end": 178, "property_value_start": 181, "property_value_end": 182, "property_numeric_value": 0.9, "property_unit": "V", "property_value_descriptor": ""}, "short circuit current": {"entity_name": "J_{sc}", "entity_start": 190, "entity_end": 191, "property_value_start": 194, "property_value_end": 197, "property_numeric_value": 7.99, "property_unit": "mA cm^{-2}", "property_value_descriptor": ""}, "fill factor": {"entity_name": "FF", "entity_start": 204, "entity_end": 204, "property_value_start": 207, "property_value_end": 208, "property_numeric_value": 64.0, "property_unit": "%", "property_value_descriptor": ""}, "highest occupied molecular orbital": {}, "lowest unoccupied molecular orbital": {}, "bandgap": {"entity_name": "optical band gap", "entity_start": 74, "entity_end": 76, "property_value_start": 78, "property_value_end": 79, "property_numeric_value": 2.1, "property_unit": "eV", "property_value_descriptor": ""}, "hole mobility": {"entity_name": "hole mobility", "entity_start": 115, "entity_end": 116, "property_value_start": 123, "property_value_end": 131, "property_numeric_value": 0.000322, "property_unit": "cm^{2} V^{-1} s^{-1}", "property_value_descriptor": ""}, "electron mobility": {}, "external quantum efficiency": {}}</t>
  </si>
  <si>
    <t xml:space="preserve">10.1039/c2nj40306d</t>
  </si>
  <si>
    <t xml:space="preserve">DCN-Tn-QA</t>
  </si>
  <si>
    <t xml:space="preserve">['DCN-Tn-QA', 'DCN-T2-QA']</t>
  </si>
  <si>
    <t xml:space="preserve">{"power conversion efficiency": {}, "open circuit voltage": {}, "short circuit current": {}, "fill factor": {}, "highest occupied molecular orbital": {}, "lowest unoccupied molecular orbital": {"entity_name": "LUMO levels", "entity_start": 126, "entity_end": 127, "property_value_start": 130, "property_value_end": 131, "property_numeric_value": -4.0, "property_unit": "eV", "property_value_descriptor": ""}, "bandgap": {}, "hole mobility": {}, "electron mobility": {}, "external quantum efficiency": {}}</t>
  </si>
  <si>
    <t xml:space="preserve">{"power conversion efficiency": {"entity_name": "PCE", "entity_start": 191, "entity_end": 191, "property_value_start": 194, "property_value_end": 195, "property_numeric_value": 0.51,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</si>
  <si>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10.1039/c6nj03991j</t>
  </si>
  <si>
    <t xml:space="preserve">PSTTF2T</t>
  </si>
  <si>
    <t xml:space="preserve">['PSTTF2 T', 'PSTTF2T']</t>
  </si>
  <si>
    <t xml:space="preserve">{"power conversion efficiency": {"entity_name": "power conversion efficiencies", "entity_start": 51, "entity_end": 53, "property_value_start": 58, "property_value_end": 59, "property_numeric_value": 5.22,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</si>
  <si>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10.1039/c7nj01971h</t>
  </si>
  <si>
    <t xml:space="preserve">['PBDT']</t>
  </si>
  <si>
    <t xml:space="preserve">{"power conversion efficiency": {"entity_name": "PCE", "entity_start": 174, "entity_end": 174, "property_value_start": 177, "property_value_end": 178, "property_numeric_value": 4.53, "property_unit": "%", "property_value_descriptor": ""}, "open circuit voltage": {}, "short circuit current": {}, "fill factor": {}, "highest occupied molecular orbital": {}, "lowest unoccupied molecular orbital": {"entity_name": "LUMO energy level", "entity_start": 114, "entity_end": 116, "property_value_start": 118, "property_value_end": 119, "property_numeric_value": -3.81, "property_unit": "eV", "property_value_descriptor": ""}, "bandgap": {}, "hole mobility": {}, "electron mobility": {}, "external quantum efficiency": {}}</t>
  </si>
  <si>
    <t xml:space="preserve">10.1039/c7nj03061d</t>
  </si>
  <si>
    <t xml:space="preserve">{"power conversion efficiency": {"entity_name": "PCE", "entity_start": 111, "entity_end": 111, "property_value_start": 114, "property_value_end": 115, "property_numeric_value": 7.26, "property_unit": "%", "property_value_descriptor": ""}, "open circuit voltage": {"entity_name": "V_{oc}", "entity_start": 165, "entity_end": 166, "property_value_start": 168, "property_value_end": 169, "property_numeric_value": 0.93,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</si>
  <si>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10.1039/c8nj00102b</t>
  </si>
  <si>
    <t xml:space="preserve">['- oligo(3-hexylthiophene)']</t>
  </si>
  <si>
    <t xml:space="preserve">{"power conversion efficiency": {}, "open circuit voltage": {}, "short circuit current": {}, "fill factor": {}, "highest occupied molecular orbital": {}, "lowest unoccupied molecular orbital": {"entity_name": "LUMO energy", "entity_start": 75, "entity_end": 76, "property_value_start": 80, "property_value_end": 81, "property_numeric_value": -3.7, "property_unit": "eV", "property_value_descriptor": ""}, "bandgap": {}, "hole mobility": {}, "electron mobility": {}, "external quantum efficiency": {}}</t>
  </si>
  <si>
    <t xml:space="preserve">{"power conversion efficiency": {"entity_name": "PCE", "entity_start": 124, "entity_end": 124, "property_value_start": 127, "property_value_end": 128, "property_numeric_value": 0.73,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</si>
  <si>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10.1039/c8nj01549j</t>
  </si>
  <si>
    <t xml:space="preserve">['DPP', 'DPPs SF-(DPP3F)_{4}', 'DPPs']</t>
  </si>
  <si>
    <t xml:space="preserve">DPP)-base; DPP</t>
  </si>
  <si>
    <t xml:space="preserve">{"power conversion efficiency": {"entity_name": "power conversion efficiency", "entity_start": 133, "entity_end": 135, "property_value_start": 137, "property_value_end": 138, "property_numeric_value": 1.67,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</si>
  <si>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10.1039/c8nj01715h</t>
  </si>
  <si>
    <t xml:space="preserve">['P4', 'P1', 'P2']</t>
  </si>
  <si>
    <t xml:space="preserve">{"power conversion efficiency": {"entity_name": "PCE", "entity_start": 136, "entity_end": 136, "property_value_start": 158, "property_value_end": 159, "property_numeric_value": 2.0,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</si>
  <si>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10.1039/c8nj03410a</t>
  </si>
  <si>
    <t xml:space="preserve">['P1-P5', 'P1-P5']</t>
  </si>
  <si>
    <t xml:space="preserve">{"power conversion efficiency": {"entity_name": "PCE", "entity_start": 182, "entity_end": 182, "property_value_start": 189, "property_value_end": 192, "property_numeric_value": 0.98, "property_unit": "%", "property_value_descriptor": "-"}, "open circuit voltage": {"entity_name": "V_{oc}", "entity_start": 149, "entity_end": 150, "property_value_start": 166, "property_value_end": 169, "property_numeric_value": 0.6799999999999999, "property_unit": "V", "property_value_descriptor": "-"}, "short circuit current": {"entity_name": "J_{sc}", "entity_start": 146, "entity_end": 147, "property_value_start": 159, "property_value_end": 164, "property_numeric_value": 2.6950000000000003, "property_unit": "mA cm^{-2}", "property_value_descriptor": "-"}, "fill factor": {"entity_name": "FF", "entity_start": 153, "entity_end": 153, "property_value_start": 171, "property_value_end": 174, "property_numeric_value": 45.7, "property_unit": "%", "property_value_descriptor": "-"}, "highest occupied molecular orbital": {}, "lowest unoccupied molecular orbital": {}, "bandgap": {"entity_name": "optical bandgaps", "entity_start": 74, "entity_end": 75, "property_value_start": 83, "property_value_end": 86, "property_numeric_value": 2.02, "property_unit": "eV", "property_value_descriptor": "-"}, "hole mobility": {}, "electron mobility": {}, "external quantum efficiency": {}}</t>
  </si>
  <si>
    <t xml:space="preserve">10.1039/c7nj05180h</t>
  </si>
  <si>
    <t xml:space="preserve">[' PSS']</t>
  </si>
  <si>
    <t xml:space="preserve">{"power conversion efficiency": {"entity_name": "PCE", "entity_start": 182, "entity_end": 182, "property_value_start": 184, "property_value_end": 185, "property_numeric_value": 2.07, "property_unit": "%", "property_value_descriptor": ""}, "open circuit voltage": {}, "short circuit current": {}, "fill factor": {"entity_name": "fill factor FF", "entity_start": 209, "entity_end": 211, "property_value_start": 213, "property_value_end": 213, "property_numeric_value": 56.99999999999999,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</si>
  <si>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10.1039/c5nj01026h</t>
  </si>
  <si>
    <t xml:space="preserve">PTBTBDT</t>
  </si>
  <si>
    <t xml:space="preserve">['PTBTBDT']</t>
  </si>
  <si>
    <t xml:space="preserve">{"power conversion efficiency": {"entity_name": "power conversion efficiency", "entity_start": 151, "entity_end": 153, "property_value_start": 155, "property_value_end": 156, "property_numeric_value": 2.12, "property_unit": "%", "property_value_descriptor": ""}, "open circuit voltage": {"entity_name": "open-circuit voltage", "entity_start": 168, "entity_end": 171, "property_value_start": 173, "property_value_end": 174, "property_numeric_value": 0.72, "property_unit": "V", "property_value_descriptor": ""}, "short circuit current": {}, "fill factor": {"entity_name": "fill factor", "entity_start": 178, "entity_end": 179, "property_value_start": 181, "property_value_end": 182, "property_numeric_value": 54.0, "property_unit": "%", "property_value_descriptor": ""}, "highest occupied molecular orbital": {}, "lowest unoccupied molecular orbital": {}, "bandgap": {}, "hole mobility": {"entity_name": "hole mobility", "entity_start": 233, "entity_end": 234, "property_value_start": 250, "property_value_end": 259, "property_numeric_value": 0.00147, "property_unit": "cm^{2} V^{-1} s^{-1}", "property_value_descriptor": ""}, "electron mobility": {}, "external quantum efficiency": {}}</t>
  </si>
  <si>
    <t xml:space="preserve">10.1039/c4nj02192d</t>
  </si>
  <si>
    <t xml:space="preserve">PBDTT-TTz</t>
  </si>
  <si>
    <t xml:space="preserve">['PBDTT-TTz']</t>
  </si>
  <si>
    <t xml:space="preserve">{"power conversion efficiency": {"entity_name": "power conversion efficiency", "entity_start": 95, "entity_end": 97, "property_value_start": 99, "property_value_end": 100, "property_numeric_value": 2.6, "property_unit": "%", "property_value_descriptor": ""}, "open circuit voltage": {"entity_name": "open circuit voltage", "entity_start": 140, "entity_end": 142, "property_value_start": 144, "property_value_end": 145, "property_numeric_value": 0.7, "property_unit": "V", "property_value_descriptor": ""}, "short circuit current": {"entity_name": "short circuit current density", "entity_start": 129, "entity_end": 132, "property_value_start": 134, "property_value_end": 137, "property_numeric_value": 8.37, "property_unit": "mA cm^{-2}", "property_value_descriptor": ""}, "fill factor": {"entity_name": "fill factor", "entity_start": 149, "entity_end": 150, "property_value_start": 152, "property_value_end": 153, "property_numeric_value": 44.3, "property_unit": "%", "property_value_descriptor": ""}, "highest occupied molecular orbital": {}, "lowest unoccupied molecular orbital": {"entity_name": "lowest unoccupied molecular orbital energy", "entity_start": 69, "entity_end": 73, "property_value_start": 84, "property_value_end": 85, "property_numeric_value": -3.81, "property_unit": "eV", "property_value_descriptor": ""}, "bandgap": {}, "hole mobility": {}, "electron mobility": {}, "external quantum efficiency": {}}</t>
  </si>
  <si>
    <t xml:space="preserve">10.1039/c9nj02484k</t>
  </si>
  <si>
    <t xml:space="preserve">P3TE-C12</t>
  </si>
  <si>
    <t xml:space="preserve">['P3TE-C12']</t>
  </si>
  <si>
    <t xml:space="preserve">{"power conversion efficiency": {"entity_name": "PCE", "entity_start": 138, "entity_end": 138, "property_value_start": 140, "property_value_end": 141, "property_numeric_value": 7.64, "property_unit": "%", "property_value_descriptor": ""}, "open circuit voltage": {"entity_name": "V_{OC}", "entity_start": 149, "entity_end": 150, "property_value_start": 152, "property_value_end": 153, "property_numeric_value": 0.906,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</si>
  <si>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P3TE-C8</t>
  </si>
  <si>
    <t xml:space="preserve">['P3TE-C8']</t>
  </si>
  <si>
    <t xml:space="preserve">{"power conversion efficiency": {}, "open circuit voltage": {"entity_name": "V_{OC}", "entity_start": 106, "entity_end": 107, "property_value_start": 109, "property_value_end": 110, "property_numeric_value": 0.814, "property_unit": "V", "property_value_descriptor": ""}, "short circuit current": {"entity_name": "J_{SC}", "entity_start": 155, "entity_end": 156, "property_value_start": 158, "property_value_end": 161, "property_numeric_value": 14.2, "property_unit": "mA cm^{-2}", "property_value_descriptor": ""}, "fill factor": {"entity_name": "FF", "entity_start": 163, "entity_end": 163, "property_value_start": 165, "property_value_end": 166, "property_numeric_value": 59.36,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</si>
  <si>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10.1039/c9nj00001a</t>
  </si>
  <si>
    <t xml:space="preserve">PR2F</t>
  </si>
  <si>
    <t xml:space="preserve">['PR2F']</t>
  </si>
  <si>
    <t xml:space="preserve">{"power conversion efficiency": {}, "open circuit voltage": {"entity_name": "open-circuit voltage", "entity_start": 122, "entity_end": 125, "property_value_start": 127, "property_value_end": 128, "property_numeric_value": 1.0, "property_unit": "V", "property_value_descriptor": "~"},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</si>
  <si>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PR1F</t>
  </si>
  <si>
    <t xml:space="preserve">['PR1F']</t>
  </si>
  <si>
    <t xml:space="preserve">{"power conversion efficiency": {"entity_name": "PCE", "entity_start": 185, "entity_end": 185, "property_value_start": 187, "property_value_end": 188, "property_numeric_value": 2.92,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</si>
  <si>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10.1039/c8nj05850d</t>
  </si>
  <si>
    <t xml:space="preserve">{"power conversion efficiency": {"entity_name": "PCE", "entity_start": 324, "entity_end": 324, "property_value_start": 326, "property_value_end": 327, "property_numeric_value": 1.96,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</si>
  <si>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10.1039/d0nj02483j</t>
  </si>
  <si>
    <t xml:space="preserve">PTzTz</t>
  </si>
  <si>
    <t xml:space="preserve">['PTzTz']</t>
  </si>
  <si>
    <t xml:space="preserve">PBTz</t>
  </si>
  <si>
    <t xml:space="preserve">['PBTz']</t>
  </si>
  <si>
    <t xml:space="preserve">{"power conversion efficiency": {}, "open circuit voltage": {}, "short circuit current": {}, "fill factor": {}, "highest occupied molecular orbital": {"entity_name": "HOMO) leve", "entity_start": 100, "entity_end": 102, "property_value_start": 104, "property_value_end": 105, "property_numeric_value": -5.42, "property_unit": "eV", "property_value_descriptor": ""}, "lowest unoccupied molecular orbital": {}, "bandgap": {}, "hole mobility": {}, "electron mobility": {}, "external quantum efficiency": {}}</t>
  </si>
  <si>
    <t xml:space="preserve">{"power conversion efficiency": {"entity_name": "PCE", "entity_start": 169, "entity_end": 169, "property_value_start": 171, "property_value_end": 172, "property_numeric_value": 10.63, "property_unit": "%", "property_value_descriptor": ""}, "open circuit voltage": {}, "short circuit current": {}, "fill factor": {}, "highest occupied molecular orbital": {"entity_name": "HOMO) leve", "entity_start": 100, "entity_end": 102, "property_value_start": 110, "property_value_end": 111, "property_numeric_value": -5.44, "property_unit": "eV", "property_value_descriptor": ""}, "lowest unoccupied molecular orbital": {}, "bandgap": {}, "hole mobility": {}, "electron mobility": {}, "external quantum efficiency": {}}</t>
  </si>
  <si>
    <t xml:space="preserve">10.1039/d0nj01006e</t>
  </si>
  <si>
    <t xml:space="preserve">PffBZ</t>
  </si>
  <si>
    <t xml:space="preserve">['PffBZ', 'PffBX', 'PffBT']</t>
  </si>
  <si>
    <t xml:space="preserve">{"power conversion efficiency": {"entity_name": "PCEs", "entity_start": 172, "entity_end": 172, "property_value_start": 182, "property_value_end": 183, "property_numeric_value": 3.65, "property_unit": "%", "property_value_descriptor": ""}, "open circuit voltage": {}, "short circuit current": {}, "fill factor": {}, "highest occupied molecular orbital": {}, "lowest unoccupied molecular orbital": {}, "bandgap": {"entity_name": "optical bandgaps", "entity_start": 45, "entity_end": 46, "property_value_start": 51, "property_value_end": 54, "property_numeric_value": 1.405, "property_unit": "eV", "property_value_descriptor": "-"}, "hole mobility": {"entity_name": "hole mobility", "entity_start": 134, "entity_end": 135, "property_value_start": 137, "property_value_end": 145, "property_numeric_value": 0.8400000000000001, "property_unit": "cm^{2} V^{-1} s^{-1}", "property_value_descriptor": "-"}, "electron mobility": {}, "external quantum efficiency": {}}</t>
  </si>
  <si>
    <t xml:space="preserve">10.1039/c0nj00378f</t>
  </si>
  <si>
    <t xml:space="preserve">PF-TBT</t>
  </si>
  <si>
    <t xml:space="preserve">['poly(fluorenevinylene-alt-4,7-dithienyl-2,1,3-benzothiadiazole)', 'PF-TBT']</t>
  </si>
  <si>
    <t xml:space="preserve">{"power conversion efficiency": {"entity_name": "PCE", "entity_start": 239, "entity_end": 239, "property_value_start": 242, "property_value_end": 243, "property_numeric_value": 1.18, "property_unit": "%", "property_value_descriptor": ""}, "open circuit voltage": {"entity_name": "V_{oc}", "entity_start": 204, "entity_end": 205, "property_value_start": 207, "property_value_end": 208, "property_numeric_value": 0.86, "property_unit": "V", "property_value_descriptor": ""}, "short circuit current": {"entity_name": "J_{sc}", "entity_start": 216, "entity_end": 217, "property_value_start": 220, "property_value_end": 223, "property_numeric_value": 3.97, "property_unit": "mA cm^{-2}", "property_value_descriptor": ""}, "fill factor": {"entity_name": "FF", "entity_start": 228, "entity_end": 228, "property_value_start": 231, "property_value_end": 231, "property_numeric_value": 35.0, "property_unit": "%", "property_value_descriptor": ""}, "highest occupied molecular orbital": {}, "lowest unoccupied molecular orbital": {}, "bandgap": {"entity_name": "optical band gap", "entity_start": 113, "entity_end": 115, "property_value_start": 117, "property_value_end": 118, "property_numeric_value": 1.82, "property_unit": "eV", "property_value_descriptor": ""}, "hole mobility": {}, "electron mobility": {}, "external quantum efficiency": {}}</t>
  </si>
  <si>
    <t xml:space="preserve">10.1039/c9nj01574d</t>
  </si>
  <si>
    <t xml:space="preserve">{"power conversion efficiency": {"entity_name": "PCE", "entity_start": 112, "entity_end": 112, "property_value_start": 114, "property_value_end": 115, "property_numeric_value": 8.8,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</si>
  <si>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10.1039/c9qo01251f</t>
  </si>
  <si>
    <t xml:space="preserve">PBTCO-T</t>
  </si>
  <si>
    <t xml:space="preserve">['PBTCO-T']</t>
  </si>
  <si>
    <t xml:space="preserve">PBTCO-TT</t>
  </si>
  <si>
    <t xml:space="preserve">['PBTCO-TT']</t>
  </si>
  <si>
    <t xml:space="preserve">{"power conversion efficiency": {"entity_name": "PCE", "entity_start": 218, "entity_end": 218, "property_value_start": 220, "property_value_end": 221, "property_numeric_value": 10.4, "property_unit": "%", "property_value_descriptor": ""}, "open circuit voltage": {"entity_name": "V_{OC}", "entity_start": 227, "entity_end": 228, "property_value_start": 230, "property_value_end": 231, "property_numeric_value": 0.959, "property_unit": "V", "property_value_descriptor": ""}, "short circuit current": {}, "fill factor": {"entity_name": "FF", "entity_start": 245, "entity_end": 245, "property_value_start": 247, "property_value_end": 248, "property_numeric_value": 66.89,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</si>
  <si>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{}, "short circuit current": {"entity_name": "J_{SC}", "entity_start": 235, "entity_end": 236, "property_value_start": 238, "property_value_end": 241, "property_numeric_value": 16.21, "property_unit": "mA cm^{-2}", "property_value_descriptor": ""}, "fill factor": {"entity_name": "FF", "entity_start": 199, "entity_end": 199, "property_value_start": 201, "property_value_end": 202, "property_numeric_value": 46.31,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</si>
  <si>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10.1039/c7se00056a</t>
  </si>
  <si>
    <t xml:space="preserve">tPDI-Hex</t>
  </si>
  <si>
    <t xml:space="preserve">['PDI', 'tPDI-Hex']</t>
  </si>
  <si>
    <t xml:space="preserve">{"power conversion efficiency": {"entity_name": "PCE", "entity_start": 374, "entity_end": 374, "property_value_start": 381, "property_value_end": 382, "property_numeric_value": 3.0, "property_unit": "%", "property_value_descriptor": "~"}, "open circuit voltage": {"entity_name": "V_{oc}", "entity_start": 279, "entity_end": 280, "property_value_start": 284, "property_value_end": 285, "property_numeric_value": 1.05,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</si>
  <si>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10.1039/c8se00427g</t>
  </si>
  <si>
    <t xml:space="preserve">4PDI-ZnP</t>
  </si>
  <si>
    <t xml:space="preserve">['4PDI-ZnP']</t>
  </si>
  <si>
    <t xml:space="preserve">{"power conversion efficiency": {"entity_name": "power conversion efficiency", "entity_start": 147, "entity_end": 149, "property_value_start": 151, "property_value_end": 152, "property_numeric_value": 9.64,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</si>
  <si>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10.1039/c9se00343f</t>
  </si>
  <si>
    <t xml:space="preserve">{"power conversion efficiency": {"entity_name": "power conversion efficiency", "entity_start": 114, "entity_end": 116, "property_value_start": 154, "property_value_end": 155, "property_numeric_value": 6.3,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</si>
  <si>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10.1002/adma.202002344</t>
  </si>
  <si>
    <t xml:space="preserve">DRTB-T-C4</t>
  </si>
  <si>
    <t xml:space="preserve">['DRTB-T-C4']</t>
  </si>
  <si>
    <t xml:space="preserve">{"power conversion efficiency": {"entity_name": "PCE", "entity_start": 96, "entity_end": 96, "property_value_start": 98, "property_value_end": 99, "property_numeric_value": 17.13, "property_unit": "%", "property_value_descriptor": ""}, "open circuit voltage": {}, "short circuit current": {}, "fill factor": {"entity_name": "FF", "entity_start": 88, "entity_end": 88, "property_value_start": 91, "property_value_end": 91, "property_numeric_value": 81.3,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</si>
  <si>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10.1002/adma.202001476</t>
  </si>
  <si>
    <t xml:space="preserve">DCNBT-TPC</t>
  </si>
  <si>
    <t xml:space="preserve">[*]c1cc7c(s1)c6cc5OC(CCCCCCCC)(CCCCCCCC)c4cc(c2c(C#N)c(C#N)c([*])c3nsnc23)sc4c5cc6OC7(CCCCCCCC)CCCCCCCC</t>
  </si>
  <si>
    <t xml:space="preserve">['DCNBT-TPC']</t>
  </si>
  <si>
    <t xml:space="preserve">{"power conversion efficiency": {"entity_name": "PCE", "entity_start": 197, "entity_end": 197, "property_value_start": 200, "property_value_end": 201, "property_numeric_value": 10.0, "property_unit": "%", "property_value_descriptor": ""}, "open circuit voltage": {}, "short circuit current": {"entity_name": "short-circuit currents", "entity_start": 175, "entity_end": 178, "property_value_start": 181, "property_value_end": 186, "property_numeric_value": 20.98, "property_unit": "mA cm^{-2}", "property_value_descriptor": "and"}, "fill factor": {}, "highest occupied molecular orbital": {}, "lowest unoccupied molecular orbital": {}, "bandgap": {}, "hole mobility": {}, "electron mobility": {"entity_name": "electron mobility", "entity_start": 118, "entity_end": 119, "property_value_start": 121, "property_value_end": 127, "property_numeric_value": 1.72, "property_unit": "cm^{2} V^{-1} s^{-1}", "property_value_descriptor": ""}, "external quantum efficiency": {}}</t>
  </si>
  <si>
    <t xml:space="preserve">10.1002/advs.202000149</t>
  </si>
  <si>
    <t xml:space="preserve">{"power conversion efficiency": {"entity_name": "power conversion efficiency", "entity_start": 200, "entity_end": 202, "property_value_start": 204, "property_value_end": 205, "property_numeric_value": 15.7,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</si>
  <si>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efficiency", "entity_start": 200, "entity_end": 202, "property_value_start": 207, "property_value_end": 208, "property_numeric_value": 16.6,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</si>
  <si>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10.1002/smll.202001942</t>
  </si>
  <si>
    <t xml:space="preserve">BDTP-4F</t>
  </si>
  <si>
    <t xml:space="preserve">['BDTP-4F', 'BTDTP-4F', 'IDTP-4F']</t>
  </si>
  <si>
    <t xml:space="preserve">{"power conversion efficiency": {"entity_name": "PCE", "entity_start": 79, "entity_end": 79, "property_value_start": 82, "property_value_end": 83, "property_numeric_value": 15.24,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</si>
  <si>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79, "entity_end": 79, "property_value_start": 96, "property_value_end": 97, "property_numeric_value": 13.12,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</si>
  <si>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10.1021/acsapm.0c00689</t>
  </si>
  <si>
    <t xml:space="preserve">PBDB-ThCl15</t>
  </si>
  <si>
    <t xml:space="preserve">['PBDB-ThCl15']</t>
  </si>
  <si>
    <t xml:space="preserve">Y6-based</t>
  </si>
  <si>
    <t xml:space="preserve">['Y6-based']</t>
  </si>
  <si>
    <t xml:space="preserve">{"power conversion efficiency": {"entity_name": "PCE", "entity_start": 237, "entity_end": 237, "property_value_start": 239, "property_value_end": 240, "property_numeric_value": 15.5,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</si>
  <si>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10.1021/acsapm.0c00772</t>
  </si>
  <si>
    <t xml:space="preserve">PNDIT-hd</t>
  </si>
  <si>
    <t xml:space="preserve">['PNDIT-hd', 'PNDIS-hd']</t>
  </si>
  <si>
    <t xml:space="preserve">{"power conversion efficiency": {"entity_name": "power conversion efficiency", "entity_start": 161, "entity_end": 163, "property_value_start": 165, "property_value_end": 166, "property_numeric_value": 73.0, "property_unit": "%", "property_value_descriptor": ""}, "open circuit voltage": {}, "short circuit current": {}, "fill factor": {"entity_name": "fill factor", "entity_start": 137, "entity_end": 138, "property_value_start": 159, "property_value_end": 160, "property_numeric_value": 6.7, "property_unit": "%", "property_value_descriptor": ""}, "highest occupied molecular orbital": {}, "lowest unoccupied molecular orbital": {}, "bandgap": {"entity_name": "optical bandgap", "entity_start": 76, "entity_end": 77, "property_value_start": 79, "property_value_end": 80, "property_numeric_value": 1.7, "property_unit": "eV", "property_value_descriptor": ""}, "hole mobility": {}, "electron mobility": {}, "external quantum efficiency": {"entity_name": "external quantum efficiency", "entity_start": 127, "entity_end": 129, "property_value_start": 131, "property_value_end": 132, "property_numeric_value": 86.0, "property_unit": "%", "property_value_descriptor": ""}}</t>
  </si>
  <si>
    <t xml:space="preserve">10.1021/acs.macromol.0c01462</t>
  </si>
  <si>
    <t xml:space="preserve">OPz1</t>
  </si>
  <si>
    <t xml:space="preserve">['OPz1', 'OPz3', 'OPz4']</t>
  </si>
  <si>
    <t xml:space="preserve">{"power conversion efficiency": {"entity_name": "power conversion efficiency", "entity_start": 116, "entity_end": 118, "property_value_start": 120, "property_value_end": 121, "property_numeric_value": 16.28,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</si>
  <si>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10.1007/s13233-020-8145-6</t>
  </si>
  <si>
    <t xml:space="preserve">6,6]-phenyl-C71-butyric acid</t>
  </si>
  <si>
    <t xml:space="preserve">{"power conversion efficiency": {}, "open circuit voltage": {}, "short circuit current": {}, "fill factor": {}, "highest occupied molecular orbital": {"entity_name": "HOMO energy", "entity_start": 58, "entity_end": 59, "property_value_start": 62, "property_value_end": 63, "property_numeric_value": 5.87, "property_unit": "eV", "property_value_descriptor": "~"}, "lowest unoccupied molecular orbital": {}, "bandgap": {}, "hole mobility": {}, "electron mobility": {}, "external quantum efficiency": {}}</t>
  </si>
  <si>
    <t xml:space="preserve">10.1007/s13233-020-8124-y</t>
  </si>
  <si>
    <t xml:space="preserve">poly[4-(5-(2,5-bis((2-hexyldecyl]oxy]-4-(thiophene-2-yl]-phenyl]thiophene-2-yl]-5,6-difluoro-2-octyl-2 H -benzo [d] [1,2,3]triazole]</t>
  </si>
  <si>
    <t xml:space="preserve">['poly[4-(5-(2,5-bis((2-hexyldecyl]oxy]-4-(thiophene-2-yl]-phenyl]thiophene-2-yl]-5,6-difluoro-2-octyl-2 H -benzo [d] [1,2,3]triazole]', 'PPBTA-2HD']</t>
  </si>
  <si>
    <t xml:space="preserve">{"power conversion efficiency": {"entity_name": "power conversion efficiency", "entity_start": 127, "entity_end": 129, "property_value_start": 131, "property_value_end": 132, "property_numeric_value": 2.82, "property_unit": "%", "property_value_descriptor": ""}, "open circuit voltage": {}, "short circuit current": {"entity_name": "short-circuit current", "entity_start": 135, "entity_end": 138, "property_value_start": 140, "property_value_end": 143, "property_numeric_value": 6.52,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</si>
  <si>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10.1021/acsami.0c11341</t>
  </si>
  <si>
    <t xml:space="preserve">{"power conversion efficiency": {"entity_name": "PCE", "entity_start": 150, "entity_end": 150, "property_value_start": 152, "property_value_end": 153, "property_numeric_value": 15.69,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</si>
  <si>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10.1021/acsami.0c13993</t>
  </si>
  <si>
    <t xml:space="preserve">p-DOC6-2F</t>
  </si>
  <si>
    <t xml:space="preserve">['p-DOC6-2F']</t>
  </si>
  <si>
    <t xml:space="preserve">{"power conversion efficiency": {"entity_name": "power conversion efficiencies", "entity_start": 225, "entity_end": 227, "property_value_start": 236, "property_value_end": 237, "property_numeric_value": 10.8,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</si>
  <si>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10.1021/acs.jpcc.0c07557</t>
  </si>
  <si>
    <t xml:space="preserve">ICF; IPY</t>
  </si>
  <si>
    <t xml:space="preserve">{"power conversion efficiency": {"entity_name": "power conversion efficiency", "entity_start": 254, "entity_end": 256, "property_value_start": 297, "property_value_end": 298, "property_numeric_value": 4.5, "property_unit": "%", "property_value_descriptor": ""}, "open circuit voltage": {"entity_name": "V_{oc}", "entity_start": 343, "entity_end": 344, "property_value_start": 348, "property_value_end": 349, "property_numeric_value": 0.98,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</si>
  <si>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10.1063/5.0021509</t>
  </si>
  <si>
    <t xml:space="preserve">{"power conversion efficiency": {"entity_name": "PCE", "entity_start": 223, "entity_end": 223, "property_value_start": 225, "property_value_end": 226, "property_numeric_value": 9.91,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</si>
  <si>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10.1039/d0ee01828g</t>
  </si>
  <si>
    <t xml:space="preserve">PF5-Y5-based</t>
  </si>
  <si>
    <t xml:space="preserve">['PF5-Y5', 'PF5-Y5-based']</t>
  </si>
  <si>
    <t xml:space="preserve">{"power conversion efficiency": {"entity_name": "power conversion efficiency", "entity_start": 117, "entity_end": 119, "property_value_start": 123, "property_value_end": 124, "property_numeric_value": 14.45, "property_unit": "%", "property_value_descriptor": ""}, "open circuit voltage": {"entity_name": "V_{oc}", "entity_start": 129, "entity_end": 130, "property_value_start": 132, "property_value_end": 133, "property_numeric_value": 0.946, "property_unit": "V", "property_value_descriptor": ""}, "short circuit current": {"entity_name": "J_{sc}", "entity_start": 138, "entity_end": 139, "property_value_start": 141, "property_value_end": 144, "property_numeric_value": 20.65, "property_unit": "mA cm^{-2}", "property_value_descriptor": ""}, "fill factor": {}, "highest occupied molecular orbital": {}, "lowest unoccupied molecular orbital": {"entity_name": "LUMO level", "entity_start": 89, "entity_end": 90, "property_value_start": 92, "property_value_end": 93, "property_numeric_value": -3.84, "property_unit": "eV", "property_value_descriptor": ""}, "bandgap": {}, "hole mobility": {}, "electron mobility": {"entity_name": "electron mobility", "entity_start": 73, "entity_end": 74, "property_value_start": 76, "property_value_end": 85, "property_numeric_value": 0.00318, "property_unit": "cm^{2} V^{-1} s^{-1}", "property_value_descriptor": ""}, "external quantum efficiency": {}}</t>
  </si>
  <si>
    <t xml:space="preserve">10.1039/d0ee02516j</t>
  </si>
  <si>
    <t xml:space="preserve">['PM6', 'PM6-based']</t>
  </si>
  <si>
    <t xml:space="preserve">{"power conversion efficiency": {"entity_name": "PCE", "entity_start": 152, "entity_end": 152, "property_value_start": 154, "property_value_end": 155, "property_numeric_value": 17.53,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</si>
  <si>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10.1039/d0ta08830g</t>
  </si>
  <si>
    <t xml:space="preserve">BTPS-4F</t>
  </si>
  <si>
    <t xml:space="preserve">['BTPS-4F']</t>
  </si>
  <si>
    <t xml:space="preserve">{"power conversion efficiency": {"entity_name": "PCE", "entity_start": 160, "entity_end": 160, "property_value_start": 162, "property_value_end": 163, "property_numeric_value": 13.5, "property_unit": "%", "property_value_descriptor": ""}, "open circuit voltage": {"entity_name": "VOC", "entity_start": 123, "entity_end": 123, "property_value_start": 126, "property_value_end": 127, "property_numeric_value": 0.82, "property_unit": "V", "property_value_descriptor": ""}, "short circuit current": {}, "fill factor": {"entity_name": "FF", "entity_start": 147, "entity_end": 147, "property_value_start": 150, "property_value_end": 150, "property_numeric_value": 78.0,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</si>
  <si>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10.1039/d0ta05787h</t>
  </si>
  <si>
    <t xml:space="preserve">C6</t>
  </si>
  <si>
    <t xml:space="preserve">['C6']</t>
  </si>
  <si>
    <t xml:space="preserve">{"power conversion efficiency": {}, "open circuit voltage": {"entity_name": "V_{OC}", "entity_start": 103, "entity_end": 104, "property_value_start": 106, "property_value_end": 107, "property_numeric_value": 0.84, "property_unit": "V", "property_value_descriptor": ""}, "short circuit current": {}, "fill factor": {"entity_name": "FF", "entity_start": 118, "entity_end": 118, "property_value_start": 120, "property_value_end": 121, "property_numeric_value": 72.68, "property_unit": "%", "property_value_descriptor": ""}, "highest occupied molecular orbital": {}, "lowest unoccupied molecular orbital": {}, "bandgap": {"entity_name": "E_{g}", "entity_start": 74, "entity_end": 75, "property_value_start": 77, "property_value_end": 78, "property_numeric_value": 1.55, "property_unit": "eV", "property_value_descriptor": ""}, "hole mobility": {}, "electron mobility": {}, "external quantum efficiency": {}}</t>
  </si>
  <si>
    <t xml:space="preserve">C4</t>
  </si>
  <si>
    <t xml:space="preserve">['C4']</t>
  </si>
  <si>
    <t xml:space="preserve">{"power conversion efficiency": {"entity_name": "PCE", "entity_start": 94, "entity_end": 94, "property_value_start": 100, "property_value_end": 101, "property_numeric_value": 14.54, "property_unit": "%", "property_value_descriptor": ""}, "open circuit voltage": {}, "short circuit current": {"entity_name": "J_{SC}", "entity_start": 109, "entity_end": 110, "property_value_start": 112, "property_value_end": 115, "property_numeric_value": 23.82, "property_unit": "mA cm^{-2}", "property_value_descriptor": ""}, "fill factor": {"entity_name": "FF", "entity_start": 118, "entity_end": 118, "property_value_start": 136, "property_value_end": 137, "property_numeric_value": 7.28,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</si>
  <si>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10.1039/d0ta08195g</t>
  </si>
  <si>
    <t xml:space="preserve">{"power conversion efficiency": {"entity_name": "PCE", "entity_start": 174, "entity_end": 174, "property_value_start": 176, "property_value_end": 177, "property_numeric_value": 10.2,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</si>
  <si>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10.1039/d0ta07833f</t>
  </si>
  <si>
    <t xml:space="preserve">P-5 T</t>
  </si>
  <si>
    <t xml:space="preserve">['P-1 T', 'P-2 T', 'P-3 T', 'P-4 T', 'P-5 T']</t>
  </si>
  <si>
    <t xml:space="preserve">P-3 T</t>
  </si>
  <si>
    <t xml:space="preserve">{"power conversion efficiency": {"entity_name": "PCE", "entity_start": 291, "entity_end": 291, "property_value_start": 293, "property_value_end": 294, "property_numeric_value": 5.79,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</si>
  <si>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10.1039/d0tc03066j</t>
  </si>
  <si>
    <t xml:space="preserve">{"power conversion efficiency": {"entity_name": "PCE", "entity_start": 117, "entity_end": 117, "property_value_start": 120, "property_value_end": 121, "property_numeric_value": 16.0,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</si>
  <si>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10.1039/d0tc01379j</t>
  </si>
  <si>
    <t xml:space="preserve">P(DTS-BDT-DFBT)</t>
  </si>
  <si>
    <t xml:space="preserve">['P(DTS-BDT-DFBT)', 'P(DTS-BDTS-DFBT)', 'P(DTS-BDTF-DFBT)']</t>
  </si>
  <si>
    <t xml:space="preserve">{"power conversion efficiency": {"entity_name": "power conversion efficiency", "entity_start": 172, "entity_end": 174, "property_value_start": 176, "property_value_end": 177, "property_numeric_value": 10.0, "property_unit": "%", "property_value_descriptor": ""}, "open circuit voltage": {}, "short circuit current": {"entity_name": "short circuit current density", "entity_start": 181, "entity_end": 184, "property_value_start": 186, "property_value_end": 188, "property_numeric_value": 22.7,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</si>
  <si>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10.1039/d0tc03303k</t>
  </si>
  <si>
    <t xml:space="preserve">PG1</t>
  </si>
  <si>
    <t xml:space="preserve">['PG1']</t>
  </si>
  <si>
    <t xml:space="preserve">{"power conversion efficiency": {"entity_name": "PCE", "entity_start": 236, "entity_end": 236, "property_value_start": 238, "property_value_end": 239, "property_numeric_value": 11.5, "property_unit": "%", "property_value_descriptor": ""}, "open circuit voltage": {"entity_name": "V_{oc}", "entity_start": 243, "entity_end": 244, "property_value_start": 246, "property_value_end": 247, "property_numeric_value": 0.94, "property_unit": "V", "property_value_descriptor": ""}, "short circuit current": {}, "fill factor": {}, "highest occupied molecular orbital": {}, "lowest unoccupied molecular orbital": {}, "bandgap": {"entity_name": "E^{opt}_{g}", "entity_start": 105, "entity_end": 106, "property_value_start": 109, "property_value_end": 110, "property_numeric_value": 1.42, "property_unit": "eV", "property_value_descriptor": ""}, "hole mobility": {}, "electron mobility": {"entity_name": "electron mobility", "entity_start": 127, "entity_end": 128, "property_value_start": 130, "property_value_end": 139, "property_numeric_value": 0.0006490000000000001, "property_unit": "cm^{2} V^{-1} s^{-1}", "property_value_descriptor": ""}, "external quantum efficiency": {}}</t>
  </si>
  <si>
    <t xml:space="preserve">10.1039/d0qm00514b</t>
  </si>
  <si>
    <t xml:space="preserve">BTTCTT-ICF</t>
  </si>
  <si>
    <t xml:space="preserve">['BTTCTT-ICF']</t>
  </si>
  <si>
    <t xml:space="preserve">{"power conversion efficiency": {"entity_name": "PCE", "entity_start": 193, "entity_end": 193, "property_value_start": 196, "property_value_end": 197, "property_numeric_value": 10.39, "property_unit": "%", "property_value_descriptor": ""}, "open circuit voltage": {"entity_name": "V_{oc}", "entity_start": 221, "entity_end": 222, "property_value_start": 225, "property_value_end": 226, "property_numeric_value": 0.91, "property_unit": "V", "property_value_descriptor": ""}, "short circuit current": {"entity_name": "J_{sc}", "entity_start": 207, "entity_end": 208, "property_value_start": 211, "property_value_end": 214, "property_numeric_value": 16.77, "property_unit": "mA cm^{-2}", "property_value_descriptor": ""}, "fill factor": {"entity_name": "FF", "entity_start": 231, "entity_end": 231, "property_value_start": 234, "property_value_end": 235, "property_numeric_value": 68.08, "property_unit": "%", "property_value_descriptor": ""}, "highest occupied molecular orbital": {}, "lowest unoccupied molecular orbital": {}, "bandgap": {"entity_name": "optical bandgap", "entity_start": 91, "entity_end": 92, "property_value_start": 94, "property_value_end": 95, "property_numeric_value": 1.54, "property_unit": "eV", "property_value_descriptor": ""}, "hole mobility": {}, "electron mobility": {}, "external quantum efficiency": {}}</t>
  </si>
  <si>
    <t xml:space="preserve">10.1039/d0ra06143c</t>
  </si>
  <si>
    <t xml:space="preserve">{"power conversion efficiency": {"entity_name": "PCE", "entity_start": 95, "entity_end": 95, "property_value_start": 97, "property_value_end": 98, "property_numeric_value": 6.9,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</si>
  <si>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10.1039/d0se01176b</t>
  </si>
  <si>
    <t xml:space="preserve">PE64</t>
  </si>
  <si>
    <t xml:space="preserve">['PE64']</t>
  </si>
  <si>
    <t xml:space="preserve">{"power conversion efficiency": {"entity_name": "PCE", "entity_start": 146, "entity_end": 146, "property_value_start": 158, "property_value_end": 159, "property_numeric_value": 9.13,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</si>
  <si>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146, "entity_end": 146, "property_value_start": 180, "property_value_end": 181, "property_numeric_value": 3.54,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</si>
  <si>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10.1002/adfm.202005787</t>
  </si>
  <si>
    <t xml:space="preserve">PBDT-F</t>
  </si>
  <si>
    <t xml:space="preserve">['PBDT-X', 'PBDT-H', 'PBDT-F']</t>
  </si>
  <si>
    <t xml:space="preserve">{"power conversion efficiency": {"entity_name": "PCE", "entity_start": 177, "entity_end": 177, "property_value_start": 180, "property_value_end": 181, "property_numeric_value": 15.63,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</si>
  <si>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PBDT-Cl</t>
  </si>
  <si>
    <t xml:space="preserve">['PBDT-Cl']</t>
  </si>
  <si>
    <t xml:space="preserve">{"power conversion efficiency": {"entity_name": "PCEs", "entity_start": 204, "entity_end": 204, "property_value_start": 212, "property_value_end": 213, "property_numeric_value": 11.84,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</si>
  <si>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PBDT-X</t>
  </si>
  <si>
    <t xml:space="preserve">{"power conversion efficiency": {"entity_name": "PCEs", "entity_start": 204, "entity_end": 204, "property_value_start": 222, "property_value_end": 223, "property_numeric_value": 14.86,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</si>
  <si>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10.1002/anie.202013053</t>
  </si>
  <si>
    <t xml:space="preserve">PC71ThBM</t>
  </si>
  <si>
    <t xml:space="preserve">['PC71ThBM']</t>
  </si>
  <si>
    <t xml:space="preserve">BTIC-2Cl-Î³CF3-based; BTIC-2Cl-Î³CF3</t>
  </si>
  <si>
    <t xml:space="preserve">{"power conversion efficiency": {"entity_name": "PCE", "entity_start": 230, "entity_end": 230, "property_value_start": 232, "property_value_end": 233, "property_numeric_value": 13.06,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</si>
  <si>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10.1002/ente.202000611</t>
  </si>
  <si>
    <t xml:space="preserve">{"power conversion efficiency": {"entity_name": "power conversion efficiency", "entity_start": 157, "entity_end": 159, "property_value_start": 164, "property_value_end": 165, "property_numeric_value": 12.84,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</si>
  <si>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efficiency", "entity_start": 157, "entity_end": 159, "property_value_start": 168, "property_value_end": 169, "property_numeric_value": 11.8,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</si>
  <si>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10.1002/ente.202000710</t>
  </si>
  <si>
    <t xml:space="preserve">[6,6]-Phenyl-C71-butyric acid</t>
  </si>
  <si>
    <t xml:space="preserve">{"power conversion efficiency": {"entity_name": "power conversion efficiency", "entity_start": 165, "entity_end": 167, "property_value_start": 184, "property_value_end": 185, "property_numeric_value": 3.79, "property_unit": "%", "property_value_descriptor": ""}, "open circuit voltage": {"entity_name": "open-circuit voltage", "entity_start": 144, "entity_end": 147, "property_value_start": 149, "property_value_end": 150, "property_numeric_value": 0.96,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</si>
  <si>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10.1021/acsapm.0c00766</t>
  </si>
  <si>
    <t xml:space="preserve">CD-C12</t>
  </si>
  <si>
    <t xml:space="preserve">['CD-C12']</t>
  </si>
  <si>
    <t xml:space="preserve">CD-16; PBN-14</t>
  </si>
  <si>
    <t xml:space="preserve">{"power conversion efficiency": {"entity_name": "PCE", "entity_start": 199, "entity_end": 199, "property_value_start": 204, "property_value_end": 205, "property_numeric_value": 9.8,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</si>
  <si>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10.1021/acsapm.0c01325</t>
  </si>
  <si>
    <t xml:space="preserve">['PB', 'P1']</t>
  </si>
  <si>
    <t xml:space="preserve">{"power conversion efficiency": {"entity_name": "PCE", "entity_start": 292, "entity_end": 292, "property_value_start": 294, "property_value_end": 295, "property_numeric_value": 13.26, "property_unit": "%", "property_value_descriptor": ""}, "open circuit voltage": {"entity_name": "V_{oc}", "entity_start": 280, "entity_end": 281, "property_value_start": 283, "property_value_end": 284, "property_numeric_value": 0.98, "property_unit": "V", "property_value_descriptor": ""}, "short circuit current": {"entity_name": "J_{sc}", "entity_start": 297, "entity_end": 298, "property_value_start": 300, "property_value_end": 303, "property_numeric_value": 18.95,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</si>
  <si>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PC</t>
  </si>
  <si>
    <t xml:space="preserve">[*]Oc1ccc(C(C)(C)c2ccc(OC([*])=O)cc2)cc1</t>
  </si>
  <si>
    <t xml:space="preserve">['PA', 'PC', 'A', 'P1']</t>
  </si>
  <si>
    <t xml:space="preserve">{"power conversion efficiency": {}, "open circuit voltage": {"entity_name": "V_{oc}", "entity_start": 305, "entity_end": 306, "property_value_start": 308, "property_value_end": 309, "property_numeric_value": 1.06,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</si>
  <si>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10.1021/acs.macromol.0c02558</t>
  </si>
  <si>
    <t xml:space="preserve">PTP-TT</t>
  </si>
  <si>
    <t xml:space="preserve">['PTP-TT']</t>
  </si>
  <si>
    <t xml:space="preserve">PDIs; PTP-TT; PDI)-base</t>
  </si>
  <si>
    <t xml:space="preserve">{"power conversion efficiency": {"entity_name": "PCE", "entity_start": 245, "entity_end": 245, "property_value_start": 247, "property_value_end": 248, "property_numeric_value": 7.04, "property_unit": "%", "property_value_descriptor": ""}, "open circuit voltage": {"entity_name": "V_{oc}", "entity_start": 252, "entity_end": 253, "property_value_start": 255, "property_value_end": 256, "property_numeric_value": 0.86, "property_unit": "V", "property_value_descriptor": ""}, "short circuit current": {"entity_name": "short-circuit current density", "entity_start": 259, "entity_end": 263, "property_value_start": 265, "property_value_end": 269, "property_numeric_value": 14.96, "property_unit": "mA/cm^{2}", "property_value_descriptor": ""}, "fill factor": {"entity_name": "fill factor", "entity_start": 273, "entity_end": 274, "property_value_start": 276, "property_value_end": 277, "property_numeric_value": 54.0,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</si>
  <si>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10.1016/j.polymer.2020.123184</t>
  </si>
  <si>
    <t xml:space="preserve">PBNO</t>
  </si>
  <si>
    <t xml:space="preserve">['PBNO']</t>
  </si>
  <si>
    <t xml:space="preserve">{"power conversion efficiency": {"entity_name": "PCE", "entity_start": 292, "entity_end": 292, "property_value_start": 295, "property_value_end": 296, "property_numeric_value": 7.58, "property_unit": "%", "property_value_descriptor": ""}, "open circuit voltage": {"entity_name": "V_{OC}", "entity_start": 306, "entity_end": 307, "property_value_start": 309, "property_value_end": 310, "property_numeric_value": 0.865, "property_unit": "V", "property_value_descriptor": ""}, "short circuit current": {"entity_name": "J_{SC}", "entity_start": 298, "entity_end": 299, "property_value_start": 301, "property_value_end": 304, "property_numeric_value": 12.4,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</si>
  <si>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['BDTBP', 'asy-BDTBP-BDD']</t>
  </si>
  <si>
    <t xml:space="preserve">{"power conversion efficiency": {"entity_name": "PCE", "entity_start": 237, "entity_end": 237, "property_value_start": 239, "property_value_end": 240, "property_numeric_value": 4.71, "property_unit": "%", "property_value_descriptor": ""}, "open circuit voltage": {}, "short circuit current": {"entity_name": "J_{SC}", "entity_start": 248, "entity_end": 249, "property_value_start": 252, "property_value_end": 255, "property_numeric_value": 9.85, "property_unit": "mA cm^{-2}", "property_value_descriptor": ""}, "fill factor": {"entity_name": "FF", "entity_start": 312, "entity_end": 312, "property_value_start": 314, "property_value_end": 315, "property_numeric_value": 70.83,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</si>
  <si>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10.1016/j.polymer.2021.123475</t>
  </si>
  <si>
    <t xml:space="preserve">3TCO-DMO</t>
  </si>
  <si>
    <t xml:space="preserve">['P3TCO-DMO', '3TCO-DMO']</t>
  </si>
  <si>
    <t xml:space="preserve">P3TCO-D</t>
  </si>
  <si>
    <t xml:space="preserve">['P3TCO-D']</t>
  </si>
  <si>
    <t xml:space="preserve">{"power conversion efficiency": {"entity_name": "PCE", "entity_start": 189, "entity_end": 189, "property_value_start": 191, "property_value_end": 192, "property_numeric_value": 12.8,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</si>
  <si>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10.1002/marc.202000683</t>
  </si>
  <si>
    <t xml:space="preserve">PBDTT-EFQx</t>
  </si>
  <si>
    <t xml:space="preserve">['PBDTT-EFQx']</t>
  </si>
  <si>
    <t xml:space="preserve">{"power conversion efficiency": {"entity_name": "PCE", "entity_start": 144, "entity_end": 144, "property_value_start": 154, "property_value_end": 155, "property_numeric_value": 5.0, "property_unit": "%", "property_value_descriptor": ""}, "open circuit voltage": {}, "short circuit current": {}, "fill factor": {}, "highest occupied molecular orbital": {}, "lowest unoccupied molecular orbital": {}, "bandgap": {"entity_name": "bandgap", "entity_start": 114, "entity_end": 114, "property_value_start": 115, "property_value_end": 117, "property_numeric_value": 1.6, "property_unit": "eV", "property_value_descriptor": "&lt;"}, "hole mobility": {}, "electron mobility": {}, "external quantum efficiency": {}}</t>
  </si>
  <si>
    <t xml:space="preserve">10.1021/acsami.0c13277</t>
  </si>
  <si>
    <t xml:space="preserve">CNDTBT-C8IDT -</t>
  </si>
  <si>
    <t xml:space="preserve">['CNDTBT-C8IDT -']</t>
  </si>
  <si>
    <t xml:space="preserve">indacenodithiophene; CNDTBT-C8IDT-FINCN</t>
  </si>
  <si>
    <t xml:space="preserve">{"power conversion efficiency": {"entity_name": "PCE", "entity_start": 153, "entity_end": 153, "property_value_start": 156, "property_value_end": 157, "property_numeric_value": 12.33,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</si>
  <si>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CNDTBT-C8IDT-FINCN</t>
  </si>
  <si>
    <t xml:space="preserve">['CNDTBT-C8IDT-FINCN']</t>
  </si>
  <si>
    <t xml:space="preserve">{"power conversion efficiency": {"entity_name": "PCE", "entity_start": 204, "entity_end": 204, "property_value_start": 206, "property_value_end": 207, "property_numeric_value": 9.21,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</si>
  <si>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10.1021/acsami.0c14367</t>
  </si>
  <si>
    <t xml:space="preserve">PFBDT-8ttPTD</t>
  </si>
  <si>
    <t xml:space="preserve">['PFBDT-8ttPTD']</t>
  </si>
  <si>
    <t xml:space="preserve">{"power conversion efficiency": {"entity_name": "PCE", "entity_start": 74, "entity_end": 74, "property_value_start": 76, "property_value_end": 77, "property_numeric_value": 15.05,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</si>
  <si>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180, "entity_end": 180, "property_value_start": 182, "property_value_end": 183, "property_numeric_value": 16.43,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</si>
  <si>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10.1021/acsami.0c18351</t>
  </si>
  <si>
    <t xml:space="preserve">NDI)-base</t>
  </si>
  <si>
    <t xml:space="preserve">['NDI)-base']</t>
  </si>
  <si>
    <t xml:space="preserve">{"power conversion efficiency": {"entity_name": "PCE", "entity_start": 312, "entity_end": 312, "property_value_start": 314, "property_value_end": 315, "property_numeric_value": 5.78,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</si>
  <si>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10.1021/acsami.0c19033</t>
  </si>
  <si>
    <t xml:space="preserve">BDTBO-4F</t>
  </si>
  <si>
    <t xml:space="preserve">['BDTBO-4F', 'BDTBO-4F.']</t>
  </si>
  <si>
    <t xml:space="preserve">{"power conversion efficiency": {"entity_name": "power conversion efficiencies", "entity_start": 147, "entity_end": 149, "property_value_start": 151, "property_value_end": 152, "property_numeric_value": 14.83,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</si>
  <si>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BDTBO-4Cl</t>
  </si>
  <si>
    <t xml:space="preserve">['BDTBO-4Cl']</t>
  </si>
  <si>
    <t xml:space="preserve">{"power conversion efficiency": {"entity_name": "power conversion efficiencies", "entity_start": 147, "entity_end": 149, "property_value_start": 160, "property_value_end": 161, "property_numeric_value": 13.87,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</si>
  <si>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10.1021/acsami.0c17722</t>
  </si>
  <si>
    <t xml:space="preserve">PF1-TS4-60</t>
  </si>
  <si>
    <t xml:space="preserve">['PF1-TS4-60', 'PF1-TS4-60-based']</t>
  </si>
  <si>
    <t xml:space="preserve">PF1-TS4</t>
  </si>
  <si>
    <t xml:space="preserve">['PF1-TS4', 'PF1-TS4-60-based', 'PF1-TS4-based']</t>
  </si>
  <si>
    <t xml:space="preserve">{"power conversion efficiency": {"entity_name": "PCE", "entity_start": 294, "entity_end": 294, "property_value_start": 309, "property_value_end": 310, "property_numeric_value": 6.17, "property_unit": "%", "property_value_descriptor": ""}, "open circuit voltage": {"entity_name": "V_{oc}", "entity_start": 260, "entity_end": 261, "property_value_start": 263, "property_value_end": 264, "property_numeric_value": 0.99, "property_unit": "V", "property_value_descriptor": ""}, "short circuit current": {"entity_name": "J_{sc}", "entity_start": 266, "entity_end": 267, "property_value_start": 269, "property_value_end": 272, "property_numeric_value": 11.21, "property_unit": "mA cm^{-2}", "property_value_descriptor": ""}, "fill factor": {"entity_name": "FF", "entity_start": 275, "entity_end": 275, "property_value_start": 277, "property_value_end": 278, "property_numeric_value": 55.6,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</si>
  <si>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10.1021/acsenergylett.1c00009</t>
  </si>
  <si>
    <t xml:space="preserve">PBDB-TT</t>
  </si>
  <si>
    <t xml:space="preserve">['PBDB-T', 'PBDB-TT']</t>
  </si>
  <si>
    <t xml:space="preserve">PYN-BDTF</t>
  </si>
  <si>
    <t xml:space="preserve">['PYN-BDTF']</t>
  </si>
  <si>
    <t xml:space="preserve">{"power conversion efficiency": {"entity_name": "PCEs", "entity_start": 80, "entity_end": 80, "property_value_start": 83, "property_value_end": 86, "property_numeric_value": 8.16, "property_unit": "%", "property_value_descriptor": "and"},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</si>
  <si>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10.1021/acs.chemmater.0c04253</t>
  </si>
  <si>
    <t xml:space="preserve">["poly[(2,6-(4,8-bis(5-(2-ethylhexyl)thiophen-2-yl)-benzo[1,2-b:4,5-b']dithiophene))-alt-5,5-(1',3'-di-2-thienyl-5',7'-bis(2-ethylhexyl)benzo[1',2'-c:4',5'-c']dithiophene-4,8-dione)]", 'PBDB-T']</t>
  </si>
  <si>
    <t xml:space="preserve">PYTT-2</t>
  </si>
  <si>
    <t xml:space="preserve">['PYTT-2']</t>
  </si>
  <si>
    <t xml:space="preserve">{"power conversion efficiency": {"entity_name": "PCE", "entity_start": 177, "entity_end": 177, "property_value_start": 181, "property_value_end": 182, "property_numeric_value": 14.32,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</si>
  <si>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10.1021/acs.chemmater.0c04721</t>
  </si>
  <si>
    <t xml:space="preserve">PNDIHD</t>
  </si>
  <si>
    <t xml:space="preserve">['PNDIHD']</t>
  </si>
  <si>
    <t xml:space="preserve">{"power conversion efficiency": {"entity_name": "PCE", "entity_start": 196, "entity_end": 196, "property_value_start": 198, "property_value_end": 199, "property_numeric_value": 7.7,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</si>
  <si>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10.1021/acs.jpcc.0c07162</t>
  </si>
  <si>
    <t xml:space="preserve">TPBT-RCN</t>
  </si>
  <si>
    <t xml:space="preserve">['TPBT-RCN']</t>
  </si>
  <si>
    <t xml:space="preserve">{"power conversion efficiency": {"entity_name": "PCE", "entity_start": 137, "entity_end": 137, "property_value_start": 139, "property_value_end": 140, "property_numeric_value": 3.6,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</si>
  <si>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10.1021/jacs.0c12527</t>
  </si>
  <si>
    <t xml:space="preserve">PZT-Î³</t>
  </si>
  <si>
    <t xml:space="preserve">['PZT', 'PZT-Î³', 'PYT']</t>
  </si>
  <si>
    <t xml:space="preserve">PZT</t>
  </si>
  <si>
    <t xml:space="preserve">{"power conversion efficiency": {"entity_name": "power conversion efficiency", "entity_start": 187, "entity_end": 189, "property_value_start": 191, "property_value_end": 192, "property_numeric_value": 15.8, "property_unit": "%", "property_value_descriptor": ""}, "open circuit voltage": {}, "short circuit current": {"entity_name": "J_{sc}", "entity_start": 197, "entity_end": 198, "property_value_start": 200, "property_value_end": 204, "property_numeric_value": 24.7,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</si>
  <si>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10.1016/j.apsusc.2020.148863</t>
  </si>
  <si>
    <t xml:space="preserve">{"power conversion efficiency": {"entity_name": "PCE", "entity_start": 179, "entity_end": 179, "property_value_start": 181, "property_value_end": 182, "property_numeric_value": 4.47,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</si>
  <si>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10.1016/j.apsusc.2020.148266</t>
  </si>
  <si>
    <t xml:space="preserve">['PTB7-th', ' PTB7-th']</t>
  </si>
  <si>
    <t xml:space="preserve">{"power conversion efficiency": {"entity_name": "PCE", "entity_start": 151, "entity_end": 151, "property_value_start": 156, "property_value_end": 157, "property_numeric_value": 7.1,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</si>
  <si>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PC_{71}BM(0.3</t>
  </si>
  <si>
    <t xml:space="preserve">['PC_{71}BM(0.3']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</si>
  <si>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{}, "electron mobility": {}, "external quantum efficiency": {"entity_name": "external quantum efficiency", "entity_start": 159, "entity_end": 161, "property_value_start": 163, "property_value_end": 166, "property_numeric_value": 75.0, "property_unit": "%", "property_value_descriptor": "-"}}</t>
  </si>
  <si>
    <t xml:space="preserve">10.1016/j.dyepig.2021.109206</t>
  </si>
  <si>
    <t xml:space="preserve">P2-3T2F</t>
  </si>
  <si>
    <t xml:space="preserve">['P2-3T2F']</t>
  </si>
  <si>
    <t xml:space="preserve">{"power conversion efficiency": {}, "open circuit voltage": {}, "short circuit current": {"entity_name": "J_{sc}", "entity_start": 183, "entity_end": 184, "property_value_start": 187, "property_value_end": 190, "property_numeric_value": 12.77,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</si>
  <si>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P1-3T</t>
  </si>
  <si>
    <t xml:space="preserve">['P1-3T.', 'P1-3T']</t>
  </si>
  <si>
    <t xml:space="preserve">{"power conversion efficiency": {"entity_name": "PCE", "entity_start": 222, "entity_end": 222, "property_value_start": 225, "property_value_end": 226, "property_numeric_value": 7.14, "property_unit": "%", "property_value_descriptor": ""}, "open circuit voltage": {"entity_name": "V_{oc}", "entity_start": 208, "entity_end": 209, "property_value_start": 212, "property_value_end": 213, "property_numeric_value": 0.8, "property_unit": "V", "property_value_descriptor": ""}, "short circuit current": {}, "fill factor": {"entity_name": "FF", "entity_start": 196, "entity_end": 196, "property_value_start": 199, "property_value_end": 200, "property_numeric_value": 68.99,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</si>
  <si>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10.1016/j.jmrt.2020.11.101</t>
  </si>
  <si>
    <t xml:space="preserve">TBT</t>
  </si>
  <si>
    <t xml:space="preserve">{"power conversion efficiency": {"entity_name": "PCE", "entity_start": 159, "entity_end": 159, "property_value_start": 168, "property_value_end": 169, "property_numeric_value": 0.9, "property_unit": "%", "property_value_descriptor": ""}, "open circuit voltage": {}, "short circuit current": {}, "fill factor": {}, "highest occupied molecular orbital": {}, "lowest unoccupied molecular orbital": {}, "bandgap": {"entity_name": "bandgap", "entity_start": 94, "entity_end": 94, "property_value_start": 96, "property_value_end": 97, "property_numeric_value": 1.9, "property_unit": "eV", "property_value_descriptor": ""}, "hole mobility": {}, "electron mobility": {}, "external quantum efficiency": {}}</t>
  </si>
  <si>
    <t xml:space="preserve">Cz</t>
  </si>
  <si>
    <t xml:space="preserve">{"power conversion efficiency": {"entity_name": "PCE", "entity_start": 206, "entity_end": 206, "property_value_start": 208, "property_value_end": 209, "property_numeric_value": 3.2,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</si>
  <si>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10.1016/j.matchemphys.2020.124064</t>
  </si>
  <si>
    <t xml:space="preserve">{"power conversion efficiency": {"entity_name": "PCE", "entity_start": 270, "entity_end": 270, "property_value_start": 274, "property_value_end": 275, "property_numeric_value": 5.1,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</si>
  <si>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10.1016/j.mtener.2021.100651</t>
  </si>
  <si>
    <t xml:space="preserve">{"power conversion efficiency": {"entity_name": "power conversion efficiencies", "entity_start": 237, "entity_end": 239, "property_value_start": 278, "property_value_end": 279, "property_numeric_value": 5.98, "property_unit": "%", "property_value_descriptor": ""}, "open circuit voltage": {}, "short circuit current": {"entity_name": "J_{SC}", "entity_start": 193, "entity_end": 194, "property_value_start": 196, "property_value_end": 201, "property_numeric_value": 12.45, "property_unit": "mA cm^{-2}", "property_value_descriptor": "-"}, "fill factor": {"entity_name": "fill factor", "entity_start": 183, "entity_end": 184, "property_value_start": 186, "property_value_end": 188, "property_numeric_value": 61.00000000000001, "property_unit": "%", "property_value_descriptor": "-"}, "highest occupied molecular orbital": {}, "lowest unoccupied molecular orbital": {}, "bandgap": {}, "hole mobility": {}, "electron mobility": {}, "external quantum efficiency": {}}</t>
  </si>
  <si>
    <t xml:space="preserve">10.1016/j.nanoen.2020.105612</t>
  </si>
  <si>
    <t xml:space="preserve">TBD-S4</t>
  </si>
  <si>
    <t xml:space="preserve">['TBD-S4']</t>
  </si>
  <si>
    <t xml:space="preserve">{"power conversion efficiency": {"entity_name": "power conversion efficiency", "entity_start": 147, "entity_end": 149, "property_value_start": 151, "property_value_end": 152, "property_numeric_value": 15.1,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</si>
  <si>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10.1016/j.nanoen.2020.105565</t>
  </si>
  <si>
    <t xml:space="preserve">{"power conversion efficiency": {"entity_name": "PCE", "entity_start": 207, "entity_end": 207, "property_value_start": 216, "property_value_end": 217, "property_numeric_value": 26.4,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</si>
  <si>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10.1016/j.orgel.2020.106015</t>
  </si>
  <si>
    <t xml:space="preserve">IDT-Py-IC</t>
  </si>
  <si>
    <t xml:space="preserve">['IDT-Py-IC', 'IDT-Ph-IC']</t>
  </si>
  <si>
    <t xml:space="preserve">{"power conversion efficiency": {}, "open circuit voltage": {"entity_name": "V_{oc}", "entity_start": 292, "entity_end": 293, "property_value_start": 295, "property_value_end": 296, "property_numeric_value": 0.93,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</si>
  <si>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IDT-Th-IC</t>
  </si>
  <si>
    <t xml:space="preserve">['IDT-Th-IC']</t>
  </si>
  <si>
    <t xml:space="preserve">{"power conversion efficiency": {"entity_name": "PCE", "entity_start": 356, "entity_end": 356, "property_value_start": 359, "property_value_end": 360, "property_numeric_value": 8.72, "property_unit": "%", "property_value_descriptor": ""}, "open circuit voltage": {"entity_name": "V_{oc}", "entity_start": 317, "entity_end": 318, "property_value_start": 321, "property_value_end": 322, "property_numeric_value": 1.06,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</si>
  <si>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10.1038/s41598-021-82525-5</t>
  </si>
  <si>
    <t xml:space="preserve">{"power conversion efficiency": {"entity_name": "PCE", "entity_start": 233, "entity_end": 233, "property_value_start": 235, "property_value_end": 236, "property_numeric_value": 18.0,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</si>
  <si>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10.1039/d0cc07213c</t>
  </si>
  <si>
    <t xml:space="preserve">PS1</t>
  </si>
  <si>
    <t xml:space="preserve">['PS1']</t>
  </si>
  <si>
    <t xml:space="preserve">dithienothiophen[3,2-b]pyrrolobenzotriazole; PS1</t>
  </si>
  <si>
    <t xml:space="preserve">{"power conversion efficiency": {"entity_name": "power conversion efficiency", "entity_start": 87, "entity_end": 89, "property_value_start": 91, "property_value_end": 92, "property_numeric_value": 13.8,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</si>
  <si>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10.1039/d0ta09707a</t>
  </si>
  <si>
    <t xml:space="preserve">BTPIC-2Br-6</t>
  </si>
  <si>
    <t xml:space="preserve">['BTPIC-2Br-6', 'BTPIC-2Br-6-based']</t>
  </si>
  <si>
    <t xml:space="preserve">BTPIC-2Br-5</t>
  </si>
  <si>
    <t xml:space="preserve">['BTPIC-2Br-5']</t>
  </si>
  <si>
    <t xml:space="preserve">{"power conversion efficiency": {"entity_name": "PCE", "entity_start": 161, "entity_end": 161, "property_value_start": 164, "property_value_end": 165, "property_numeric_value": 15.0,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</si>
  <si>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10.1039/d0ta09354h</t>
  </si>
  <si>
    <t xml:space="preserve">PB-QxF</t>
  </si>
  <si>
    <t xml:space="preserve">['PB-QxF']</t>
  </si>
  <si>
    <t xml:space="preserve">PBF-QxF</t>
  </si>
  <si>
    <t xml:space="preserve">[*]c%11ccc(c9cc(F)c(c6ccc(c5cc4c(c1cc(F)c(CC(CC)CCCC)s1)c2sc([*])cc2c(c3cc(F)c(CC(CC)CCCC)s3)c4s5)s6)c%10nc(c7cc(F)c(CC(CCCC)CCCCCC)s7)c(c8cc(F)c(CC(CCCC)CCCCCC)s8)nc9%10)s%11</t>
  </si>
  <si>
    <t xml:space="preserve">['PBF-QxF']</t>
  </si>
  <si>
    <t xml:space="preserve">{"power conversion efficiency": {"entity_name": "PCEs", "entity_start": 58, "entity_end": 58, "property_value_start": 62, "property_value_end": 63, "property_numeric_value": 13.96,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</si>
  <si>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141, "entity_end": 141, "property_value_start": 143, "property_value_end": 144, "property_numeric_value": 9.63,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</si>
  <si>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10.1039/d0ta09924d</t>
  </si>
  <si>
    <t xml:space="preserve">IDTT-CT</t>
  </si>
  <si>
    <t xml:space="preserve">['IDTT-CR', 'IDTT-CT']</t>
  </si>
  <si>
    <t xml:space="preserve">{"power conversion efficiency": {"entity_name": "PCE", "entity_start": 193, "entity_end": 193, "property_value_start": 195, "property_value_end": 196, "property_numeric_value": 2.86,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</si>
  <si>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203, "entity_end": 203, "property_value_start": 205, "property_value_end": 206, "property_numeric_value": 6.13,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</si>
  <si>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10.1039/d0ta11306a</t>
  </si>
  <si>
    <t xml:space="preserve">JC14-based</t>
  </si>
  <si>
    <t xml:space="preserve">['JC14', 'JC14-based']</t>
  </si>
  <si>
    <t xml:space="preserve">{"power conversion efficiency": {"entity_name": "PCE", "entity_start": 253, "entity_end": 253, "property_value_start": 255, "property_value_end": 256, "property_numeric_value": 6.12, "property_unit": "%", "property_value_descriptor": ""}, "open circuit voltage": {"entity_name": "VOC", "entity_start": 228, "entity_end": 228, "property_value_start": 230, "property_value_end": 231, "property_numeric_value": 0.759,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</si>
  <si>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['JC2', 'JC2-based']</t>
  </si>
  <si>
    <t xml:space="preserve">{"power conversion efficiency": {}, "open circuit voltage": {"entity_name": "VOC", "entity_start": 264, "entity_end": 264, "property_value_start": 266, "property_value_end": 267, "property_numeric_value": 0.685,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</si>
  <si>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10.1039/d1ta00287b</t>
  </si>
  <si>
    <t xml:space="preserve">Y14</t>
  </si>
  <si>
    <t xml:space="preserve">CCCCCCCCCCCc3c(C=c2c(=O)c1cc(F)ccc1c2=C(C#N)C#N)sc%11c3sc%12c%10c4nn(CC(CC)CCCC)nc4c9c8sc7c(CCCCCCCCCCC)c(C=c6c(=O)c5cc(F)ccc5c6=C(C#N)C#N)sc7c8n(CC(CC)CCCC)c9c%10n(CC(CC)CCCC)c%11%12</t>
  </si>
  <si>
    <t xml:space="preserve">['Y14']</t>
  </si>
  <si>
    <t xml:space="preserve">{"power conversion efficiency": {"entity_name": "PCEs", "entity_start": 219, "entity_end": 219, "property_value_start": 224, "property_value_end": 225, "property_numeric_value": 14.25, "property_unit": "%", "property_value_descriptor": ""}, "open circuit voltage": {}, "short circuit current": {}, "fill factor": {"entity_name": "FF", "entity_start": 155, "entity_end": 155, "property_value_start": 161, "property_value_end": 162, "property_numeric_value": 67.46,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</si>
  <si>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10.1039/d0ta11320d</t>
  </si>
  <si>
    <t xml:space="preserve">['PM7', 'PM7 D2', 'PM7 D1-based', 'PM7-based']</t>
  </si>
  <si>
    <t xml:space="preserve">{"power conversion efficiency": {"entity_name": "PCE", "entity_start": 124, "entity_end": 124, "property_value_start": 126, "property_value_end": 127, "property_numeric_value": 6.93,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</si>
  <si>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10.1039/d0tc04372a</t>
  </si>
  <si>
    <t xml:space="preserve">{"power conversion efficiency": {"entity_name": "PCE", "entity_start": 205, "entity_end": 205, "property_value_start": 210, "property_value_end": 211, "property_numeric_value": 10.36,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</si>
  <si>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10.1039/d0tc04636a</t>
  </si>
  <si>
    <t xml:space="preserve">PBZ-C6</t>
  </si>
  <si>
    <t xml:space="preserve">['PBZ-C6']</t>
  </si>
  <si>
    <t xml:space="preserve">PIN-1</t>
  </si>
  <si>
    <t xml:space="preserve">['PIN-1']</t>
  </si>
  <si>
    <t xml:space="preserve">{"power conversion efficiency": {"entity_name": "power conversion efficiencies", "entity_start": 100, "entity_end": 102, "property_value_start": 107, "property_value_end": 108,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</si>
  <si>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10.1039/d0tc05178k</t>
  </si>
  <si>
    <t xml:space="preserve">['PBDB-T', 'PBDB-TF']</t>
  </si>
  <si>
    <t xml:space="preserve">DTCFO -; ICCl</t>
  </si>
  <si>
    <t xml:space="preserve">{"power conversion efficiency": {"entity_name": "PCE", "entity_start": 189, "entity_end": 189, "property_value_start": 192, "property_value_end": 193, "property_numeric_value": 6.8,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</si>
  <si>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10.1039/d0tc05539e</t>
  </si>
  <si>
    <t xml:space="preserve">BFHIC-4F</t>
  </si>
  <si>
    <t xml:space="preserve">['BFHIC-4F']</t>
  </si>
  <si>
    <t xml:space="preserve">{"power conversion efficiency": {"entity_name": "PCE", "entity_start": 148, "entity_end": 148, "property_value_start": 151, "property_value_end": 152, "property_numeric_value": 13.4, "property_unit": "%", "property_value_descriptor": ""}, "open circuit voltage": {"entity_name": "V_{oc}", "entity_start": 157, "entity_end": 158, "property_value_start": 160, "property_value_end": 161, "property_numeric_value": 0.87, "property_unit": "V", "property_value_descriptor": ""}, "short circuit current": {}, "fill factor": {"entity_name": "FF", "entity_start": 173, "entity_end": 173, "property_value_start": 175, "property_value_end": 176, "property_numeric_value": 67.7,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</si>
  <si>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BFHIC</t>
  </si>
  <si>
    <t xml:space="preserve">['BFHIC']</t>
  </si>
  <si>
    <t xml:space="preserve">{"power conversion efficiency": {}, "open circuit voltage": {}, "short circuit current": {"entity_name": "J_{sc}", "entity_start": 164, "entity_end": 165, "property_value_start": 167, "property_value_end": 170, "property_numeric_value": 22.8,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</si>
  <si>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10.1039/d1tc00240f</t>
  </si>
  <si>
    <t xml:space="preserve">{"power conversion efficiency": {"entity_name": "PCE", "entity_start": 181, "entity_end": 181, "property_value_start": 183, "property_value_end": 184, "property_numeric_value": 8.73,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</si>
  <si>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10.1039/d0qm00826e</t>
  </si>
  <si>
    <t xml:space="preserve">PBDTTS-TClSQx</t>
  </si>
  <si>
    <t xml:space="preserve">['PBDTTS-TClSQx']</t>
  </si>
  <si>
    <t xml:space="preserve">{"power conversion efficiency": {"entity_name": "PCE", "entity_start": 256, "entity_end": 256, "property_value_start": 259, "property_value_end": 260, "property_numeric_value": 12.59,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</si>
  <si>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PBDTTS-TClQx</t>
  </si>
  <si>
    <t xml:space="preserve">['PBDTTS-TClQx']</t>
  </si>
  <si>
    <t xml:space="preserve">{"power conversion efficiency": {"entity_name": "PCE", "entity_start": 279, "entity_end": 279, "property_value_start": 281, "property_value_end": 282, "property_numeric_value": 11.1, "property_unit": "%", "property_value_descriptor": ""}, "open circuit voltage": {}, "short circuit current": {"entity_name": "J_{SC}", "entity_start": 295, "entity_end": 297, "property_value_start": 299, "property_value_end": 302, "property_numeric_value": 17.07,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</si>
  <si>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10.1039/d0mh01585g</t>
  </si>
  <si>
    <t xml:space="preserve">{"power conversion efficiency": {"entity_name": "PCE", "entity_start": 252, "entity_end": 252, "property_value_start": 254, "property_value_end": 255, "property_numeric_value": 11.17, "property_unit": "%", "property_value_descriptor": ""}, "open circuit voltage": {"entity_name": "V_{OC}", "entity_start": 231, "entity_end": 232, "property_value_start": 235, "property_value_end": 236, "property_numeric_value": 1.0, "property_unit": "V", "property_value_descriptor": ""}, "short circuit current": {}, "fill factor": {}, "highest occupied molecular orbital": {}, "lowest unoccupied molecular orbital": {}, "bandgap": {"entity_name": "optical bandgap", "entity_start": 180, "entity_end": 181, "property_value_start": 183, "property_value_end": 184, "property_numeric_value": 1.55, "property_unit": "eV", "property_value_descriptor": ""}, "hole mobility": {}, "electron mobility": {}, "external quantum efficiency": {}}</t>
  </si>
  <si>
    <t xml:space="preserve">10.1039/d0nj06111e</t>
  </si>
  <si>
    <t xml:space="preserve">poly{4,8-bis(2-ethylhexoxy)-benzo[1,2-b;3,4-b']difunan-2,6-diyl-alt-(4,4'-dinonyl-2,2'-bisoxazole)}</t>
  </si>
  <si>
    <t xml:space="preserve">["poly{4,8-bis(2-ethylhexoxy)-benzo[1,2-b;3,4-b']difunan-2,6-diyl-alt-(4,4'-dinonyl-2,2'-bisoxazole)}", 'PBDFNBO']</t>
  </si>
  <si>
    <t xml:space="preserve">{"power conversion efficiency": {"entity_name": "PCE", "entity_start": 115, "entity_end": 115, "property_value_start": 138, "property_value_end": 139, "property_numeric_value": 5.0, "property_unit": "%", "property_value_descriptor": ""}, "open circuit voltage": {}, "short circuit current": {}, "fill factor": {}, "highest occupied molecular orbital": {}, "lowest unoccupied molecular orbital": {}, "bandgap": {"entity_name": "optical bandgap", "entity_start": 102, "entity_end": 103, "property_value_start": 105, "property_value_end": 106, "property_numeric_value": 2.07, "property_unit": "eV", "property_value_descriptor": ""}, "hole mobility": {}, "electron mobility": {}, "external quantum efficiency": {}}</t>
  </si>
  <si>
    <t xml:space="preserve">{"power conversion efficiency": {}, "open circuit voltage": {"entity_name": "V_{oc}", "entity_start": 161, "entity_end": 162, "property_value_start": 165, "property_value_end": 166, "property_numeric_value": 0.93, "property_unit": "V", "property_value_descriptor": ""}, "short circuit current": {"entity_name": "J_{sc}", "entity_start": 147, "entity_end": 148, "property_value_start": 151, "property_value_end": 154, "property_numeric_value": 9.9, "property_unit": "mA cm^{-2}", "property_value_descriptor": ""}, "fill factor": {"entity_name": "FF", "entity_start": 173, "entity_end": 173, "property_value_start": 176, "property_value_end": 176, "property_numeric_value": 53.0,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</si>
  <si>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10.1039/d0ra07415b</t>
  </si>
  <si>
    <t xml:space="preserve">B1</t>
  </si>
  <si>
    <t xml:space="preserve">['B1']</t>
  </si>
  <si>
    <t xml:space="preserve">{"power conversion efficiency": {"entity_name": "PCE", "entity_start": 165, "entity_end": 165, "property_value_start": 168, "property_value_end": 169,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</si>
  <si>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10.1039/d0ra08093d</t>
  </si>
  <si>
    <t xml:space="preserve">["poly[[4,8-bis[(2-ethylhexyl)oxy]benzo[1,2-b:4,5-b']dithiophene-2,6-diyl]-[3-fluoro-2[(2-ethylhexyl)-carbonyl]-thieno[3,4-b]thiophenediyl]]", 'PTB7']</t>
  </si>
  <si>
    <t xml:space="preserve">{"power conversion efficiency": {"entity_name": "PCE", "entity_start": 221, "entity_end": 221, "property_value_start": 224, "property_value_end": 225, "property_numeric_value": 8.59,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</si>
  <si>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10.1007/s11664-020-08677-8</t>
  </si>
  <si>
    <t xml:space="preserve">{"power conversion efficiency": {"entity_name": "PCE", "entity_start": 155, "entity_end": 155, "property_value_start": 169, "property_value_end": 170, "property_numeric_value": 13.17, "property_unit": "%", "property_value_descriptor": ""}, "open circuit voltage": {"entity_name": "V_{oc}", "entity_start": 109, "entity_end": 111, "property_value_start": 113, "property_value_end": 114, "property_numeric_value": 0.6, "property_unit": "V", "property_value_descriptor": ""}, "short circuit current": {"entity_name": "J_{sc}", "entity_start": 121, "entity_end": 123, "property_value_start": 125, "property_value_end": 129, "property_numeric_value": 10.86, "property_unit": "mA/cm^{2}", "property_value_descriptor": ""}, "fill factor": {"entity_name": "fill factor", "entity_start": 131, "entity_end": 132, "property_value_start": 134, "property_value_end": 135, "property_numeric_value": 64.68,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</si>
  <si>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10.1007/s10854-020-04677-w</t>
  </si>
  <si>
    <t xml:space="preserve">{"power conversion efficiency": {"entity_name": "PCE", "entity_start": 341, "entity_end": 341, "property_value_start": 348, "property_value_end": 350, "property_numeric_value": 0.5,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</si>
  <si>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10.1007/s10854-020-04993-1</t>
  </si>
  <si>
    <t xml:space="preserve">{"power conversion efficiency": {"entity_name": "PCE", "entity_start": 162, "entity_end": 162, "property_value_start": 180, "property_value_end": 181, "property_numeric_value": 2.5, "property_unit": "%", "property_value_descriptor": ""}, "open circuit voltage": {}, "short circuit current": {"entity_name": "short-circuit current density", "entity_start": 188, "entity_end": 192, "property_value_start": 195, "property_value_end": 199, "property_numeric_value": 18.9,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</si>
  <si>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10.1002/aenm.202003171</t>
  </si>
  <si>
    <t xml:space="preserve">PYF-T</t>
  </si>
  <si>
    <t xml:space="preserve">['PYF-T', 'PY-T']</t>
  </si>
  <si>
    <t xml:space="preserve">{"power conversion efficiency": {"entity_name": "PCE", "entity_start": 174, "entity_end": 174, "property_value_start": 188, "property_value_end": 189, "property_numeric_value": 11.1,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</si>
  <si>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10.1002/aenm.202003367</t>
  </si>
  <si>
    <t xml:space="preserve">P(BDT2BOY5-Cl)</t>
  </si>
  <si>
    <t xml:space="preserve">['P(BDT2BOY5-Cl)']</t>
  </si>
  <si>
    <t xml:space="preserve">{"power conversion efficiency": {"entity_name": "PCE", "entity_start": 229, "entity_end": 229, "property_value_start": 248, "property_value_end": 249, "property_numeric_value": 7.02,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</si>
  <si>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10.1002/adfm.202008494</t>
  </si>
  <si>
    <t xml:space="preserve">{"power conversion efficiency": {"entity_name": "PCE", "entity_start": 139, "entity_end": 139, "property_value_start": 141, "property_value_end": 142, "property_numeric_value": 12.1, "property_unit": "%", "property_value_descriptor": ""}, "open circuit voltage": {}, "short circuit current": {"entity_name": "short-circuit current density", "entity_start": 146, "entity_end": 150, "property_value_start": 152, "property_value_end": 154, "property_numeric_value": 21.9,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</si>
  <si>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10.1002/adma.202005386</t>
  </si>
  <si>
    <t xml:space="preserve">D18</t>
  </si>
  <si>
    <t xml:space="preserve">[*]c%11cc%10c(c1cc(F)c(CC(CC)CCCC)s1)c8sc(c7sc(c6cc5c2nsnc2c4cc(c3cc(CC(CCCC)CCCCCC)c([*])s3)sc4c5s6)cc7CC(CCCC)CCCCCC)cc8c(c9cc(F)c(CC(CC)CCCC)s9)c%10s%11</t>
  </si>
  <si>
    <t xml:space="preserve">['D18', 'D18-based']</t>
  </si>
  <si>
    <t xml:space="preserve">{"power conversion efficiency": {"entity_name": "power conversion efficiency", "entity_start": 16, "entity_end": 18, "property_value_start": 21, "property_value_end": 22, "property_numeric_value": 18.0,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</si>
  <si>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10.1002/adma.202005942</t>
  </si>
  <si>
    <t xml:space="preserve">PY-IT</t>
  </si>
  <si>
    <t xml:space="preserve">['PY-IT', 'PY-IOT']</t>
  </si>
  <si>
    <t xml:space="preserve">PY-IT; PY-IOT</t>
  </si>
  <si>
    <t xml:space="preserve">{"power conversion efficiency": {"entity_name": "PCE", "entity_start": 28, "entity_end": 28, "property_value_start": 42, "property_value_end": 43, "property_numeric_value": 13.0,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</si>
  <si>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['- IT']</t>
  </si>
  <si>
    <t xml:space="preserve">{"power conversion efficiency": {"entity_name": "PCE", "entity_start": 200, "entity_end": 200, "property_value_start": 222, "property_value_end": 223, "property_numeric_value": 12.12,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</si>
  <si>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10.1002/advs.202003641</t>
  </si>
  <si>
    <t xml:space="preserve">PBBD-Cl-Î±</t>
  </si>
  <si>
    <t xml:space="preserve">['PBBD-Cl-Î±']</t>
  </si>
  <si>
    <t xml:space="preserve">BTP-eC9-based</t>
  </si>
  <si>
    <t xml:space="preserve">CCCCCCCCCc3c(C=c2c(=O)c1cc(Cl)c(Cl)cc1c2=C(C#N)C#N)sc%11c3sc%12c%10c4nsnc4c9c8sc7c(CCCCCCCCC)c(C=c6c(=O)c5cc(Cl)c(Cl)cc5c6=C(C#N)C#N)sc7c8n(CC(CCCC)CCCCCC)c9c%10n(CC(CCCC)CCCCCC)c%11%12</t>
  </si>
  <si>
    <t xml:space="preserve">['BTP-eC9', 'BTP-eC9-based']</t>
  </si>
  <si>
    <t xml:space="preserve">{"power conversion efficiency": {"entity_name": "PCE", "entity_start": 238, "entity_end": 238, "property_value_start": 253, "property_value_end": 254, "property_numeric_value": 10.06,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</si>
  <si>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PBBD</t>
  </si>
  <si>
    <t xml:space="preserve">['PBBD', 'PBBD-Cl-Î²']</t>
  </si>
  <si>
    <t xml:space="preserve">{"power conversion efficiency": {"entity_name": "PCE", "entity_start": 238, "entity_end": 238, "property_value_start": 267, "property_value_end": 268, "property_numeric_value": 13.35,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</si>
  <si>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10.1002/anie.202016284</t>
  </si>
  <si>
    <t xml:space="preserve">PYF-T- m</t>
  </si>
  <si>
    <t xml:space="preserve">['PYF-T- m', 'PYF-T- m.']</t>
  </si>
  <si>
    <t xml:space="preserve">{"power conversion efficiency": {"entity_name": "PCE", "entity_start": 219, "entity_end": 219, "property_value_start": 222, "property_value_end": 223, "property_numeric_value": 15.2,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</si>
  <si>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10.1016/j.polymer.2021.124104</t>
  </si>
  <si>
    <t xml:space="preserve">PYV</t>
  </si>
  <si>
    <t xml:space="preserve">['PYV', 'P_{A} PYV', 'P_{A} PYV-Tz']</t>
  </si>
  <si>
    <t xml:space="preserve">{"power conversion efficiency": {"entity_name": "PCE", "entity_start": 168, "entity_end": 168, "property_value_start": 201, "property_value_end": 202, "property_numeric_value": 11.51,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</si>
  <si>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10.1016/j.polymer.2021.124193</t>
  </si>
  <si>
    <t xml:space="preserve">PDTfBT-4T</t>
  </si>
  <si>
    <t xml:space="preserve">['PDTfBT-4 T', 'PDTfBT-4T']</t>
  </si>
  <si>
    <t xml:space="preserve">PDTfBT-4 T</t>
  </si>
  <si>
    <t xml:space="preserve">{"power conversion efficiency": {"entity_name": "PCE", "entity_start": 131, "entity_end": 131, "property_value_start": 134, "property_value_end": 135, "property_numeric_value": 15.19, "property_unit": "%", "property_value_descriptor": ""}, "open circuit voltage": {"entity_name": "open-circuit voltage", "entity_start": 96, "entity_end": 99, "property_value_start": 101, "property_value_end": 102, "property_numeric_value": 0.83, "property_unit": "V", "property_value_descriptor": ""}, "short circuit current": {"entity_name": "short-circuit current density", "entity_start": 105, "entity_end": 109, "property_value_start": 111, "property_value_end": 114, "property_numeric_value": 25.42, "property_unit": "mA cm^{-2}", "property_value_descriptor": ""}, "fill factor": {"entity_name": "fill factor", "entity_start": 118, "entity_end": 119, "property_value_start": 121, "property_value_end": 122, "property_numeric_value": 72.0, "property_unit": "%", "property_value_descriptor": ""}, "highest occupied molecular orbital": {}, "lowest unoccupied molecular orbital": {}, "bandgap": {"entity_name": "optical band gap", "entity_start": 53, "entity_end": 55, "property_value_start": 57, "property_value_end": 58, "property_numeric_value": 1.93, "property_unit": "eV", "property_value_descriptor": ""}, "hole mobility": {}, "electron mobility": {}, "external quantum efficiency": {}}</t>
  </si>
  <si>
    <t xml:space="preserve">10.1007/s10118-021-2609-9</t>
  </si>
  <si>
    <t xml:space="preserve">poly[4-(5-(4,8-bis(5-((2-butyloctyl)thio)thiophen-2-yl)-6-methylbenzo[1,2- b</t>
  </si>
  <si>
    <t xml:space="preserve">['poly[4-(5-(4,8-bis(5-((2-butyloctyl)thio)thiophen-2-yl)-6-methylbenzo[1,2- b']</t>
  </si>
  <si>
    <t xml:space="preserve">4,5- b'] dithiophen-2-yl)thiophen-2-yl)-5,6-difluoro-2-(2-hexyldecyl)-7-(5-methylthiophen-2-yl)-2</t>
  </si>
  <si>
    <t xml:space="preserve">["4,5- b'] dithiophen-2-yl)thiophen-2-yl)-5,6-difluoro-2-(2-hexyldecyl)-7-(5-methylthiophen-2-yl)-2", ']']</t>
  </si>
  <si>
    <t xml:space="preserve">{"power conversion efficiency": {"entity_name": "power conversion efficiency", "entity_start": 47, "entity_end": 49, "property_value_start": 52, "property_value_end": 53,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</si>
  <si>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10.1007/s10965-021-02609-8</t>
  </si>
  <si>
    <t xml:space="preserve">{"power conversion efficiency": {"entity_name": "power conversion efficiency", "entity_start": 193, "entity_end": 195, "property_value_start": 198, "property_value_end": 200, "property_numeric_value": 0.52,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</si>
  <si>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10.1002/app.51306</t>
  </si>
  <si>
    <t xml:space="preserve">P3HT-CN</t>
  </si>
  <si>
    <t xml:space="preserve">['P3HT-CN']</t>
  </si>
  <si>
    <t xml:space="preserve">{"power conversion efficiency": {"entity_name": "PCE", "entity_start": 167, "entity_end": 167, "property_value_start": 169, "property_value_end": 170, "property_numeric_value": 0.008, "property_unit": "%", "property_value_descriptor": ""}, "open circuit voltage": {}, "short circuit current": {"entity_name": "J_{sc}", "entity_start": 179, "entity_end": 180, "property_value_start": 183, "property_value_end": 185, "property_numeric_value": 0.11,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</si>
  <si>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10.1002/pola.24526</t>
  </si>
  <si>
    <t xml:space="preserve">['poly((5,5-E-Î±-((2-thienyl)methylene)-2-thiopheneacetonitrile)-alt-2,6-[(1,5-didecyloxy)naphthalene])', 'PBTADN']</t>
  </si>
  <si>
    <t xml:space="preserve">{"power conversion efficiency": {"entity_name": "power conversion efficiency", "entity_start": 123, "entity_end": 125, "property_value_start": 134, "property_value_end": 135, "property_numeric_value": 2.9, "property_unit": "%", "property_value_descriptor": ""}, "open circuit voltage": {"entity_name": "V_{oc}", "entity_start": 138, "entity_end": 139, "property_value_start": 141, "property_value_end": 142, "property_numeric_value": 0.88, "property_unit": "V", "property_value_descriptor": ""}, "short circuit current": {"entity_name": "J_{sc}", "entity_start": 150, "entity_end": 151, "property_value_start": 154, "property_value_end": 158, "property_numeric_value": 5.6, "property_unit": "mA/cm^{2}", "property_value_descriptor": ""}, "fill factor": {"entity_name": "fill factor", "entity_start": 162, "entity_end": 163, "property_value_start": 165, "property_value_end": 166, "property_numeric_value": 59.1,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</si>
  <si>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10.1002/pola.24870</t>
  </si>
  <si>
    <t xml:space="preserve">{"power conversion efficiency": {}, "open circuit voltage": {}, "short circuit current": {}, "fill factor": {}, "highest occupied molecular orbital": {}, "lowest unoccupied molecular orbital": {}, "bandgap": {"entity_name": "band gap", "entity_start": 42, "entity_end": 43, "property_value_start": 46, "property_value_end": 47, "property_numeric_value": 1.9, "property_unit": "eV", "property_value_descriptor": ""}, "hole mobility": {}, "electron mobility": {}, "external quantum efficiency": {}}</t>
  </si>
  <si>
    <t xml:space="preserve">{"power conversion efficiency": {"entity_name": "PCE", "entity_start": 110, "entity_end": 110, "property_value_start": 112, "property_value_end": 113, "property_numeric_value": 5.08,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</si>
  <si>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134, "entity_end": 134, "property_value_start": 146, "property_value_end": 147, "property_numeric_value": 6.05,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</si>
  <si>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10.1002/macp.202100053</t>
  </si>
  <si>
    <t xml:space="preserve">BDD</t>
  </si>
  <si>
    <t xml:space="preserve">['benzodithiophenedione', 'BDD']</t>
  </si>
  <si>
    <t xml:space="preserve">BDD; PBDTTZ-BDTD</t>
  </si>
  <si>
    <t xml:space="preserve">{"power conversion efficiency": {"entity_name": "power conversion efficiency", "entity_start": 195, "entity_end": 197, "property_value_start": 221, "property_value_end": 222, "property_numeric_value": 10.9,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</si>
  <si>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10.1016/j.cej.2021.131232</t>
  </si>
  <si>
    <t xml:space="preserve">PY-2T2Cl</t>
  </si>
  <si>
    <t xml:space="preserve">['PY-2 T', 'PY-2T2Cl']</t>
  </si>
  <si>
    <t xml:space="preserve">PY-2 T</t>
  </si>
  <si>
    <t xml:space="preserve">{"power conversion efficiency": {"entity_name": "power conversion efficiency", "entity_start": 217, "entity_end": 219, "property_value_start": 222, "property_value_end": 223, "property_numeric_value": 10.0, "property_unit": "%", "property_value_descriptor": "~"}, "open circuit voltage": {}, "short circuit current": {"entity_name": "J_{SC}", "entity_start": 228, "entity_end": 229, "property_value_start": 231, "property_value_end": 235, "property_numeric_value": 16.3,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</si>
  <si>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10.1016/j.cej.2021.131942</t>
  </si>
  <si>
    <t xml:space="preserve">{"power conversion efficiency": {"entity_name": "PCE", "entity_start": 192, "entity_end": 192, "property_value_start": 195, "property_value_end": 196, "property_numeric_value": 12.61,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</si>
  <si>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10.1016/j.cej.2021.131404</t>
  </si>
  <si>
    <t xml:space="preserve">dithienosilole</t>
  </si>
  <si>
    <t xml:space="preserve">BThIND-Cl; DTID</t>
  </si>
  <si>
    <t xml:space="preserve">{"power conversion efficiency": {"entity_name": "PCE", "entity_start": 257, "entity_end": 257, "property_value_start": 259, "property_value_end": 260, "property_numeric_value": 14.76, "property_unit": "%", "property_value_descriptor": ""}, "open circuit voltage": {}, "short circuit current": {}, "fill factor": {}, "highest occupied molecular orbital": {"entity_name": "HOMO energy levels", "entity_start": 94, "entity_end": 96, "property_value_start": 98, "property_value_end": 101, "property_numeric_value": -5.52, "property_unit": "eV", "property_value_descriptor": "to"}, "lowest unoccupied molecular orbital": {}, "bandgap": {"entity_name": "optical band gaps", "entity_start": 85, "entity_end": 87, "property_value_start": 89, "property_value_end": 92, "property_numeric_value": 1.95, "property_unit": "eV", "property_value_descriptor": "-"}, "hole mobility": {}, "electron mobility": {}, "external quantum efficiency": {}}</t>
  </si>
  <si>
    <t xml:space="preserve">DTB</t>
  </si>
  <si>
    <t xml:space="preserve">{"power conversion efficiency": {"entity_name": "power conversion efficiency", "entity_start": 159, "entity_end": 161, "property_value_start": 163, "property_value_end": 164, "property_numeric_value": 14.76,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</si>
  <si>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['PDTID-BDT', 'P3', 'P3-based']</t>
  </si>
  <si>
    <t xml:space="preserve">{"power conversion efficiency": {"entity_name": "power conversion efficiency", "entity_start": 159, "entity_end": 161, "property_value_start": 169, "property_value_end": 170, "property_numeric_value": 13.13,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</si>
  <si>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10.1016/j.cej.2021.131910</t>
  </si>
  <si>
    <t xml:space="preserve">Perylene diimide</t>
  </si>
  <si>
    <t xml:space="preserve">['Perylene diimide', 'PDI']</t>
  </si>
  <si>
    <t xml:space="preserve">{"power conversion efficiency": {"entity_name": "power conversion efficiency", "entity_start": 158, "entity_end": 160, "property_value_start": 162, "property_value_end": 163, "property_numeric_value": 10.52,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</si>
  <si>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10.1016/j.cej.2021.131366</t>
  </si>
  <si>
    <t xml:space="preserve">{"power conversion efficiency": {"entity_name": "PCE", "entity_start": 270, "entity_end": 270, "property_value_start": 272, "property_value_end": 273, "property_numeric_value": 10.32,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</si>
  <si>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278, "entity_end": 278, "property_value_start": 288, "property_value_end": 289, "property_numeric_value": 14.66,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</si>
  <si>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278, "entity_end": 278, "property_value_start": 291, "property_value_end": 292, "property_numeric_value": 16.46,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</si>
  <si>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10.1016/j.cej.2021.131674</t>
  </si>
  <si>
    <t xml:space="preserve">{"power conversion efficiency": {"entity_name": "PCEs", "entity_start": 135, "entity_end": 135, "property_value_start": 140, "property_value_end": 141, "property_numeric_value": 14.46,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</si>
  <si>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10.1016/j.cej.2021.132407</t>
  </si>
  <si>
    <t xml:space="preserve">PTer-N25</t>
  </si>
  <si>
    <t xml:space="preserve">['PTer-N25']</t>
  </si>
  <si>
    <t xml:space="preserve">{"power conversion efficiency": {"entity_name": "PCE", "entity_start": 137, "entity_end": 137, "property_value_start": 139, "property_value_end": 140, "property_numeric_value": 11.94,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</si>
  <si>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10.1016/j.cej.2021.132551</t>
  </si>
  <si>
    <t xml:space="preserve">PBQxBE</t>
  </si>
  <si>
    <t xml:space="preserve">['PBQxBE']</t>
  </si>
  <si>
    <t xml:space="preserve">{"power conversion efficiency": {"entity_name": "PCE", "entity_start": 234, "entity_end": 234, "property_value_start": 236, "property_value_end": 237, "property_numeric_value": 10.17,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</si>
  <si>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10.1016/j.cej.2021.132298</t>
  </si>
  <si>
    <t xml:space="preserve">2T2Se-F</t>
  </si>
  <si>
    <t xml:space="preserve">['2T2Se-F']</t>
  </si>
  <si>
    <t xml:space="preserve">2,6-di(hexyloxy)phenyl</t>
  </si>
  <si>
    <t xml:space="preserve">{"power conversion efficiency": {"entity_name": "PCE", "entity_start": 132, "entity_end": 132, "property_value_start": 135, "property_value_end": 136, "property_numeric_value": 12.17, "property_unit": "%", "property_value_descriptor": ""}, "open circuit voltage": {}, "short circuit current": {"entity_name": "short-circuit current density", "entity_start": 142, "entity_end": 146, "property_value_start": 148, "property_value_end": 151, "property_numeric_value": 20.63, "property_unit": "mA cm^{-2}", "property_value_descriptor": ""}, "fill factor": {"entity_name": "fill factor", "entity_start": 154, "entity_end": 155, "property_value_start": 157, "property_value_end": 157, "property_numeric_value": 66.9, "property_unit": "%", "property_value_descriptor": ""}, "highest occupied molecular orbital": {}, "lowest unoccupied molecular orbital": {}, "bandgap": {"entity_name": "bandgap", "entity_start": 113, "entity_end": 113, "property_value_start": 115, "property_value_end": 116, "property_numeric_value": 1.44, "property_unit": "eV", "property_value_descriptor": ""}, "hole mobility": {}, "electron mobility": {}, "external quantum efficiency": {}}</t>
  </si>
  <si>
    <t xml:space="preserve">10.1016/j.cej.2021.130575</t>
  </si>
  <si>
    <t xml:space="preserve">{"power conversion efficiency": {"entity_name": "PCE", "entity_start": 99, "entity_end": 99, "property_value_start": 101, "property_value_end": 102, "property_numeric_value": 17.0,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</si>
  <si>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10.1016/j.cclet.2021.03.006</t>
  </si>
  <si>
    <t xml:space="preserve">P302</t>
  </si>
  <si>
    <t xml:space="preserve">['P302']</t>
  </si>
  <si>
    <t xml:space="preserve">Y5-based</t>
  </si>
  <si>
    <t xml:space="preserve">['Y5-based']</t>
  </si>
  <si>
    <t xml:space="preserve">{"power conversion efficiency": {"entity_name": "PCEs", "entity_start": 5, "entity_end": 5, "property_value_start": 16, "property_value_end": 17, "property_numeric_value": 18.0,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</si>
  <si>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P301</t>
  </si>
  <si>
    <t xml:space="preserve">['P301']</t>
  </si>
  <si>
    <t xml:space="preserve">{"power conversion efficiency": {"entity_name": "PCE", "entity_start": 210, "entity_end": 210, "property_value_start": 212, "property_value_end": 213, "property_numeric_value": 9.65,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</si>
  <si>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10.1016/j.dyepig.2021.109801</t>
  </si>
  <si>
    <t xml:space="preserve">CPDT-Me-2Eh</t>
  </si>
  <si>
    <t xml:space="preserve">['CPDT-Me-2Eh']</t>
  </si>
  <si>
    <t xml:space="preserve">{"power conversion efficiency": {"entity_name": "PCE", "entity_start": 143, "entity_end": 143, "property_value_start": 146, "property_value_end": 147, "property_numeric_value": 4.39, "property_unit": "%", "property_value_descriptor": ""}, "open circuit voltage": {}, "short circuit current": {}, "fill factor": {"entity_name": "FF", "entity_start": 105, "entity_end": 105, "property_value_start": 108, "property_value_end": 109, "property_numeric_value": 64.46,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</si>
  <si>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CPDT-4Cl-2Eh</t>
  </si>
  <si>
    <t xml:space="preserve">['CPDT-4Cl-2Eh']</t>
  </si>
  <si>
    <t xml:space="preserve">{"power conversion efficiency": {}, "open circuit voltage": {}, "short circuit current": {"entity_name": "J_{sc}", "entity_start": 118, "entity_end": 119, "property_value_start": 122, "property_value_end": 125, "property_numeric_value": 16.9,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</si>
  <si>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10.1016/j.dyepig.2021.109329</t>
  </si>
  <si>
    <t xml:space="preserve">TITT-T-ICF</t>
  </si>
  <si>
    <t xml:space="preserve">['TITT-T-ICF', 'TITT-OT-ICF']</t>
  </si>
  <si>
    <t xml:space="preserve">{"power conversion efficiency": {"entity_name": "PCE", "entity_start": 236, "entity_end": 236, "property_value_start": 239, "property_value_end": 240, "property_numeric_value": 8.23, "property_unit": "%", "property_value_descriptor": ""}, "open circuit voltage": {}, "short circuit current": {"entity_name": "J_{SC}", "entity_start": 257, "entity_end": 258, "property_value_start": 260, "property_value_end": 263, "property_numeric_value": 14.33, "property_unit": "mA cm^{-2}", "property_value_descriptor": ""}, "fill factor": {}, "highest occupied molecular orbital": {}, "lowest unoccupied molecular orbital": {}, "bandgap": {"entity_name": "optical band gap", "entity_start": 99, "entity_end": 101, "property_value_start": 123, "property_value_end": 124, "property_numeric_value": 1.61, "property_unit": "eV", "property_value_descriptor": ""}, "hole mobility": {}, "electron mobility": {}, "external quantum efficiency": {}}</t>
  </si>
  <si>
    <t xml:space="preserve">TITT-OT-ICF</t>
  </si>
  <si>
    <t xml:space="preserve">{"power conversion efficiency": {"entity_name": "PCE", "entity_start": 265, "entity_end": 265, "property_value_start": 267, "property_value_end": 268, "property_numeric_value": 7.53,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</si>
  <si>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10.1016/j.dyepig.2021.109635</t>
  </si>
  <si>
    <t xml:space="preserve">IDTC_{8}-IC</t>
  </si>
  <si>
    <t xml:space="preserve">['IDTC_{8}-IC']</t>
  </si>
  <si>
    <t xml:space="preserve">{"power conversion efficiency": {"entity_name": "PCE", "entity_start": 251, "entity_end": 251, "property_value_start": 253, "property_value_end": 254, "property_numeric_value": 9.79, "property_unit": "%", "property_value_descriptor": ""}, "open circuit voltage": {"entity_name": "V_{OC}", "entity_start": 204, "entity_end": 205, "property_value_start": 208, "property_value_end": 209, "property_numeric_value": 0.98, "property_unit": "V", "property_value_descriptor": ""}, "short circuit current": {"entity_name": "J_{SC}", "entity_start": 218, "entity_end": 219, "property_value_start": 222, "property_value_end": 225, "property_numeric_value": 13.93, "property_unit": "mA cm^{-2}", "property_value_descriptor": ""}, "fill factor": {"entity_name": "FF", "entity_start": 274, "entity_end": 274, "property_value_start": 276, "property_value_end": 277, "property_numeric_value": 68.67,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</si>
  <si>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IDTC8-4Cl</t>
  </si>
  <si>
    <t xml:space="preserve">['IDTC8-4Cl']</t>
  </si>
  <si>
    <t xml:space="preserve">{"power conversion efficiency": {}, "open circuit voltage": {"entity_name": "V_{OC}", "entity_start": 257, "entity_end": 258, "property_value_start": 260, "property_value_end": 261, "property_numeric_value": 0.82, "property_unit": "V", "property_value_descriptor": ""}, "short circuit current": {"entity_name": "J_{SC}", "entity_start": 264, "entity_end": 265, "property_value_start": 267, "property_value_end": 270, "property_numeric_value": 17.4,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</si>
  <si>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10.1016/j.dyepig.2021.109680</t>
  </si>
  <si>
    <t xml:space="preserve">J55</t>
  </si>
  <si>
    <t xml:space="preserve">['J55']</t>
  </si>
  <si>
    <t xml:space="preserve">{"power conversion efficiency": {"entity_name": "PCE", "entity_start": 189, "entity_end": 189, "property_value_start": 191, "property_value_end": 192, "property_numeric_value": 6.73, "property_unit": "%", "property_value_descriptor": ""}, "open circuit voltage": {"entity_name": "V_{OC}", "entity_start": 167, "entity_end": 168, "property_value_start": 170, "property_value_end": 171, "property_numeric_value": 0.84, "property_unit": "V", "property_value_descriptor": ""}, "short circuit current": {"entity_name": "J_{SC}", "entity_start": 174, "entity_end": 175, "property_value_start": 177, "property_value_end": 180, "property_numeric_value": 15.6, "property_unit": "mA cm^{-2}", "property_value_descriptor": ""}, "fill factor": {"entity_name": "FF", "entity_start": 183, "entity_end": 183, "property_value_start": 185, "property_value_end": 186, "property_numeric_value": 51.19,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</si>
  <si>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10.1016/j.dyepig.2021.109269</t>
  </si>
  <si>
    <t xml:space="preserve">FPDI-T; UFPDI-T; PDI</t>
  </si>
  <si>
    <t xml:space="preserve">{"power conversion efficiency": {"entity_name": "PCE", "entity_start": 235, "entity_end": 235, "property_value_start": 272, "property_value_end": 273, "property_numeric_value": 4.61,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</si>
  <si>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10.1016/j.dyepig.2021.109824</t>
  </si>
  <si>
    <t xml:space="preserve">['D18']</t>
  </si>
  <si>
    <t xml:space="preserve">NC-PY6</t>
  </si>
  <si>
    <t xml:space="preserve">['NC-PY6']</t>
  </si>
  <si>
    <t xml:space="preserve">{"power conversion efficiency": {"entity_name": "PCE", "entity_start": 136, "entity_end": 136, "property_value_start": 138, "property_value_end": 139, "property_numeric_value": 12.3, "property_unit": "%", "property_value_descriptor": ""}, "open circuit voltage": {}, "short circuit current": {}, "fill factor": {}, "highest occupied molecular orbital": {}, "lowest unoccupied molecular orbital": {}, "bandgap": {"entity_name": "bandgap", "entity_start": 54, "entity_end": 54, "property_value_start": 56, "property_value_end": 57, "property_numeric_value": 1.44, "property_unit": "eV", "property_value_descriptor": ""}, "hole mobility": {}, "electron mobility": {}, "external quantum efficiency": {}}</t>
  </si>
  <si>
    <t xml:space="preserve">10.1016/j.jcis.2021.05.033</t>
  </si>
  <si>
    <t xml:space="preserve">{"power conversion efficiency": {"entity_name": "power conversion efficiency", "entity_start": 55, "entity_end": 57, "property_value_start": 63, "property_value_end": 64, "property_numeric_value": 16.65,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</si>
  <si>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10.1016/j.molliq.2021.117428</t>
  </si>
  <si>
    <t xml:space="preserve">TClC2F PTB7-Th</t>
  </si>
  <si>
    <t xml:space="preserve">['TClC2F', 'TClC2Fhaving', 'TClC2F-AS', 'TClC2F PTB7-Th']</t>
  </si>
  <si>
    <t xml:space="preserve">TClC2Fhaving; TClC2F PTB7-Th</t>
  </si>
  <si>
    <t xml:space="preserve">{"power conversion efficiency": {"entity_name": "PCE", "entity_start": 277, "entity_end": 277, "property_value_start": 285, "property_value_end": 286, "property_numeric_value": 12.4, "property_unit": "%", "property_value_descriptor": ""}, "open circuit voltage": {}, "short circuit current": {}, "fill factor": {"entity_name": "FF", "entity_start": 249, "entity_end": 249, "property_value_start": 254, "property_value_end": 254, "property_numeric_value": 89.49000000000001,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</si>
  <si>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10.1016/j.jpowsour.2021.230408</t>
  </si>
  <si>
    <t xml:space="preserve">poly([2,6'-4,8-di(5-ethylhexylthienyl)benzo[1,2-b ; 3,3-b]dithiophene]3-fluoro-2[(2-ethylhexyl)carbonyl]thieno[3,4-b]thiophenediyl)</t>
  </si>
  <si>
    <t xml:space="preserve">["poly([2,6'-4,8-di(5-ethylhexylthienyl)benzo[1,2-b ; 3,3-b]dithiophene]3-fluoro-2[(2-ethylhexyl)carbonyl]thieno[3,4-b]thiophenediyl)"]</t>
  </si>
  <si>
    <t xml:space="preserve">{"power conversion efficiency": {"entity_name": "PCE", "entity_start": 203, "entity_end": 203, "property_value_start": 207, "property_value_end": 208, "property_numeric_value": 9.5,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</si>
  <si>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10.1016/j.matlet.2021.130222</t>
  </si>
  <si>
    <t xml:space="preserve">PDPP-BDT-Cl</t>
  </si>
  <si>
    <t xml:space="preserve">['DPP', 'PDPP-BDT-Cl']</t>
  </si>
  <si>
    <t xml:space="preserve">{"power conversion efficiency": {"entity_name": "PCE", "entity_start": 96, "entity_end": 96, "property_value_start": 117, "property_value_end": 118, "property_numeric_value": 4.53, "property_unit": "%", "property_value_descriptor": ""}, "open circuit voltage": {"entity_name": "V_{OC}", "entity_start": 84, "entity_end": 85, "property_value_start": 88, "property_value_end": 89, "property_numeric_value": 0.86,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</si>
  <si>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10.1016/j.nanoen.2021.106323</t>
  </si>
  <si>
    <t xml:space="preserve">Y7</t>
  </si>
  <si>
    <t xml:space="preserve">CCCCCCCCCCCc3c(C=c2c(=O)c1cc(Cl)c(Cl)cc1c2=C(C#N)C#N)sc%11c3sc%12c%10c4nsnc4c9c8sc7c(CCCCCCCCCCC)c(C=c6c(=O)c5cc(Cl)c(Cl)cc5c6=C(C#N)C#N)sc7c8n(CCCCCC)c9c%10n(CCCCCC)c%11%12</t>
  </si>
  <si>
    <t xml:space="preserve">['Y7']</t>
  </si>
  <si>
    <t xml:space="preserve">{"power conversion efficiency": {"entity_name": "PCE", "entity_start": 228, "entity_end": 228, "property_value_start": 230, "property_value_end": 231, "property_numeric_value": 17.4, "property_unit": "%", "property_value_descriptor": ""}, "open circuit voltage": {"entity_name": "Voc", "entity_start": 189, "entity_end": 189, "property_value_start": 191, "property_value_end": 192, "property_numeric_value": 0.84, "property_unit": "V", "property_value_descriptor": ""}, "short circuit current": {"entity_name": "Jsc", "entity_start": 181, "entity_end": 181, "property_value_start": 183, "property_value_end": 187, "property_numeric_value": 27.37, "property_unit": "mA/cm^{2}", "property_value_descriptor": ""}, "fill factor": {"entity_name": "FF", "entity_start": 173, "entity_end": 173, "property_value_start": 175, "property_value_end": 176, "property_numeric_value": 70.38, "property_unit": "%", "property_value_descriptor": ""}, "highest occupied molecular orbital": {}, "lowest unoccupied molecular orbital": {}, "bandgap": {"entity_name": "bandgap", "entity_start": 102, "entity_end": 102, "property_value_start": 104, "property_value_end": 105, "property_numeric_value": 1.84, "property_unit": "eV", "property_value_descriptor": ""}, "hole mobility": {}, "electron mobility": {}, "external quantum efficiency": {}}</t>
  </si>
  <si>
    <t xml:space="preserve">10.1016/j.orgel.2021.106161</t>
  </si>
  <si>
    <t xml:space="preserve">{"power conversion efficiency": {"entity_name": "PCE", "entity_start": 108, "entity_end": 108, "property_value_start": 110, "property_value_end": 111, "property_numeric_value": 14.35,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</si>
  <si>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10.1016/j.orgel.2021.106194</t>
  </si>
  <si>
    <t xml:space="preserve">PBDTTS-IQ</t>
  </si>
  <si>
    <t xml:space="preserve">['PBDTTS-IQ']</t>
  </si>
  <si>
    <t xml:space="preserve">{"power conversion efficiency": {"entity_name": "PCE", "entity_start": 205, "entity_end": 205, "property_value_start": 207, "property_value_end": 208, "property_numeric_value": 4.96, "property_unit": "%", "property_value_descriptor": ""}, "open circuit voltage": {"entity_name": "V_{oc}", "entity_start": 221, "entity_end": 222, "property_value_start": 225, "property_value_end": 226, "property_numeric_value": 0.84,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</si>
  <si>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PBDTTS-DFIQ</t>
  </si>
  <si>
    <t xml:space="preserve">['PBDTTS-DFIQ']</t>
  </si>
  <si>
    <t xml:space="preserve">{"power conversion efficiency": {}, "open circuit voltage": {}, "short circuit current": {"entity_name": "J_{sc}", "entity_start": 232, "entity_end": 233, "property_value_start": 236, "property_value_end": 239, "property_numeric_value": 13.26, "property_unit": "mA cm^{-2}", "property_value_descriptor": ""}, "fill factor": {"entity_name": "FF", "entity_start": 244, "entity_end": 244, "property_value_start": 247, "property_value_end": 248, "property_numeric_value": 66.0,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</si>
  <si>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10.1016/j.orgel.2021.106132</t>
  </si>
  <si>
    <t xml:space="preserve">PTQ-10</t>
  </si>
  <si>
    <t xml:space="preserve">['PTQ-10']</t>
  </si>
  <si>
    <t xml:space="preserve">['BT', 'Cl']</t>
  </si>
  <si>
    <t xml:space="preserve">{"power conversion efficiency": {"entity_name": "PCE", "entity_start": 159, "entity_end": 159, "property_value_start": 161, "property_value_end": 162, "property_numeric_value": 8.65,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</si>
  <si>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10.1016/j.orgel.2021.106329</t>
  </si>
  <si>
    <t xml:space="preserve">IDT2-IC-4Cl</t>
  </si>
  <si>
    <t xml:space="preserve">['IDT2-IC', 'IDT2-IC-4Cl']</t>
  </si>
  <si>
    <t xml:space="preserve">{"power conversion efficiency": {"entity_name": "PCE", "entity_start": 178, "entity_end": 178, "property_value_start": 180, "property_value_end": 181, "property_numeric_value": 8.18, "property_unit": "%", "property_value_descriptor": ""}, "open circuit voltage": {}, "short circuit current": {"entity_name": "J_{sc}", "entity_start": 150, "entity_end": 151, "property_value_start": 154, "property_value_end": 157, "property_numeric_value": 22.22,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</si>
  <si>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IDT2-IC</t>
  </si>
  <si>
    <t xml:space="preserve">{"power conversion efficiency": {}, "open circuit voltage": {}, "short circuit current": {"entity_name": "J_{sc}", "entity_start": 184, "entity_end": 185, "property_value_start": 187, "property_value_end": 190, "property_numeric_value": 13.23,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</si>
  <si>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10.1016/j.orgel.2021.106120</t>
  </si>
  <si>
    <t xml:space="preserve">TSFX-4F</t>
  </si>
  <si>
    <t xml:space="preserve">['TSFX-4F']</t>
  </si>
  <si>
    <t xml:space="preserve">{"power conversion efficiency": {"entity_name": "PCE", "entity_start": 153, "entity_end": 153, "property_value_start": 155, "property_value_end": 156, "property_numeric_value": 8.47, "property_unit": "%", "property_value_descriptor": ""}, "open circuit voltage": {"entity_name": "V_{oc}", "entity_start": 158, "entity_end": 159, "property_value_start": 161, "property_value_end": 162, "property_numeric_value": 0.83, "property_unit": "V", "property_value_descriptor": ""}, "short circuit current": {"entity_name": "J_{sc}", "entity_start": 164, "entity_end": 165, "property_value_start": 167, "property_value_end": 170, "property_numeric_value": 15.48, "property_unit": "mA cm^{-2}", "property_value_descriptor": ""}, "fill factor": {"entity_name": "FF", "entity_start": 172, "entity_end": 172, "property_value_start": 174, "property_value_end": 175, "property_numeric_value": 66.16,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</si>
  <si>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10.1016/j.orgel.2021.106167</t>
  </si>
  <si>
    <t xml:space="preserve">IDTC16-Th</t>
  </si>
  <si>
    <t xml:space="preserve">['IDTC16-Th']</t>
  </si>
  <si>
    <t xml:space="preserve">{"power conversion efficiency": {"entity_name": "PCE", "entity_start": 211, "entity_end": 211, "property_value_start": 223, "property_value_end": 224, "property_numeric_value": 9.42,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</si>
  <si>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IDTC16-IC</t>
  </si>
  <si>
    <t xml:space="preserve">['IDTC16-IC']</t>
  </si>
  <si>
    <t xml:space="preserve">{"power conversion efficiency": {"entity_name": "PCE", "entity_start": 211, "entity_end": 211, "property_value_start": 219, "property_value_end": 220, "property_numeric_value": 9.09,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</si>
  <si>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IDTC16-4F</t>
  </si>
  <si>
    <t xml:space="preserve">['IDTC16-4F']</t>
  </si>
  <si>
    <t xml:space="preserve">{"power conversion efficiency": {"entity_name": "PCE", "entity_start": 211, "entity_end": 211, "property_value_start": 216, "property_value_end": 217, "property_numeric_value": 5.89,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</si>
  <si>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10.1038/s41467-021-25638-9</t>
  </si>
  <si>
    <t xml:space="preserve">PN-Se</t>
  </si>
  <si>
    <t xml:space="preserve">['PS-Se', 'PN-Se']</t>
  </si>
  <si>
    <t xml:space="preserve">{"power conversion efficiency": {"entity_name": "power conversion efficiency", "entity_start": 192, "entity_end": 194, "property_value_start": 196, "property_value_end": 197, "property_numeric_value": 16.16,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</si>
  <si>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10.1039/d1ee02320a</t>
  </si>
  <si>
    <t xml:space="preserve">Y6-BO-4Cl</t>
  </si>
  <si>
    <t xml:space="preserve">['Y6-BO-4Cl']</t>
  </si>
  <si>
    <t xml:space="preserve">{"power conversion efficiency": {"entity_name": "PCEs", "entity_start": 245, "entity_end": 245, "property_value_start": 255, "property_value_end": 256, "property_numeric_value": 74.0,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</si>
  <si>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10.1039/d1nj01000j</t>
  </si>
  <si>
    <t xml:space="preserve">PBFDBT-o</t>
  </si>
  <si>
    <t xml:space="preserve">['PBFDBT-o']</t>
  </si>
  <si>
    <t xml:space="preserve">{"power conversion efficiency": {"entity_name": "PCE", "entity_start": 114, "entity_end": 114, "property_value_start": 117, "property_value_end": 118, "property_numeric_value": 6.73,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</si>
  <si>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10.1007/s10854-021-05919-1</t>
  </si>
  <si>
    <t xml:space="preserve">{"power conversion efficiency": {"entity_name": "PCE", "entity_start": 86, "entity_end": 86, "property_value_start": 92, "property_value_end": 93, "property_numeric_value": 6.19,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</si>
  <si>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10.1002/aenm.202100098</t>
  </si>
  <si>
    <t xml:space="preserve">{"power conversion efficiency": {"entity_name": "PCE", "entity_start": 122, "entity_end": 122, "property_value_start": 129, "property_value_end": 130, "property_numeric_value": 14.55,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</si>
  <si>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10.1002/aenm.201800264</t>
  </si>
  <si>
    <t xml:space="preserve">DR3</t>
  </si>
  <si>
    <t xml:space="preserve">['DR3TBDTT', 'DR3']</t>
  </si>
  <si>
    <t xml:space="preserve">{"power conversion efficiency": {"entity_name": "PCEs", "entity_start": 126, "entity_end": 126, "property_value_start": 130, "property_value_end": 131, "property_numeric_value": 6.4, "property_unit": "%", "property_value_descriptor": ""}, "open circuit voltage": {"entity_name": "V_{OC}", "entity_start": 119, "entity_end": 120, "property_value_start": 122, "property_value_end": 124, "property_numeric_value": 1.1, "property_unit": "V", "property_value_descriptor": "&gt;"},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</si>
  <si>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10.1002/aenm.201801209</t>
  </si>
  <si>
    <t xml:space="preserve">IOTIC-2F</t>
  </si>
  <si>
    <t xml:space="preserve">['IOTIC-2F', 'ITIC-2F']</t>
  </si>
  <si>
    <t xml:space="preserve">{"power conversion efficiency": {"entity_name": "power conversion efficiency", "entity_start": 113, "entity_end": 115, "property_value_start": 124, "property_value_end": 125, "property_numeric_value": 52.0,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</si>
  <si>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10.1002/aenm.202101705</t>
  </si>
  <si>
    <t xml:space="preserve">BTP-eC9</t>
  </si>
  <si>
    <t xml:space="preserve">['BTP-eC9']</t>
  </si>
  <si>
    <t xml:space="preserve">{"power conversion efficiency": {"entity_name": "PCE", "entity_start": 160, "entity_end": 160, "property_value_start": 161, "property_value_end": 162, "property_numeric_value": 18.2, "property_unit": "%", "property_value_descriptor": ""}, "open circuit voltage": {"entity_name": "V_{OC}", "entity_start": 115, "entity_end": 117, "property_value_start": 119, "property_value_end": 120, "property_numeric_value": 0.957,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</si>
  <si>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10.1002/aenm.202100492</t>
  </si>
  <si>
    <t xml:space="preserve">ITC-2Cl</t>
  </si>
  <si>
    <t xml:space="preserve">['ITC-2Cl']</t>
  </si>
  <si>
    <t xml:space="preserve">{"power conversion efficiency": {"entity_name": "PCE", "entity_start": 138, "entity_end": 138, "property_value_start": 141, "property_value_end": 142, "property_numeric_value": 17.1,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</si>
  <si>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153, "entity_end": 153, "property_value_start": 155, "property_value_end": 156, "property_numeric_value": 14.17,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</si>
  <si>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PSS-TA</t>
  </si>
  <si>
    <t xml:space="preserve">['PSS-PA', 'PSS-TA', 'PSS-DA']</t>
  </si>
  <si>
    <t xml:space="preserve">{"power conversion efficiency": {"entity_name": "PCE", "entity_start": 171, "entity_end": 171, "property_value_start": 183, "property_value_end": 184, "property_numeric_value": 9.55,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</si>
  <si>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10.1002/adfm.201705095</t>
  </si>
  <si>
    <t xml:space="preserve">ITC6-IC</t>
  </si>
  <si>
    <t xml:space="preserve">['ITC6-IC']</t>
  </si>
  <si>
    <t xml:space="preserve">{"power conversion efficiency": {"entity_name": "power conversion efficiency", "entity_start": 119, "entity_end": 121, "property_value_start": 123, "property_value_end": 124, "property_numeric_value": 11.61, "property_unit": "%", "property_value_descriptor": ""}, "open circuit voltage": {"entity_name": "V_{OC}", "entity_start": 129, "entity_end": 130, "property_value_start": 132, "property_value_end": 133, "property_numeric_value": 0.97,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</si>
  <si>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10.1002/adfm.202105304</t>
  </si>
  <si>
    <t xml:space="preserve">IDTT-M</t>
  </si>
  <si>
    <t xml:space="preserve">['IDTT-M']</t>
  </si>
  <si>
    <t xml:space="preserve">{"power conversion efficiency": {"entity_name": "PCE", "entity_start": 211, "entity_end": 211, "property_value_start": 214, "property_value_end": 215, "property_numeric_value": 16.63,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</si>
  <si>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10.1002/adfm.202100870</t>
  </si>
  <si>
    <t xml:space="preserve">['PBDT-F.', 'PBDT-F', 'PBDB-F']</t>
  </si>
  <si>
    <t xml:space="preserve">C6OB-F</t>
  </si>
  <si>
    <t xml:space="preserve">['C6OB-F', 'C6OB-H']</t>
  </si>
  <si>
    <t xml:space="preserve">{"power conversion efficiency": {"entity_name": "PCE", "entity_start": 177, "entity_end": 177, "property_value_start": 207, "property_value_end": 208, "property_numeric_value": 11.2,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</si>
  <si>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C6OB-H</t>
  </si>
  <si>
    <t xml:space="preserve">{"power conversion efficiency": {"entity_name": "PCE", "entity_start": 239, "entity_end": 239, "property_value_start": 260, "property_value_end": 261, "property_numeric_value": 2.1,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</si>
  <si>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PBDT-H</t>
  </si>
  <si>
    <t xml:space="preserve">['PBDT-H']</t>
  </si>
  <si>
    <t xml:space="preserve">{"power conversion efficiency": {"entity_name": "PCE", "entity_start": 239, "entity_end": 239, "property_value_start": 257, "property_value_end": 258, "property_numeric_value": 10.1,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</si>
  <si>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10.1002/adfm.202102371</t>
  </si>
  <si>
    <t xml:space="preserve">['PM6', 'PM6-15Si', 'PM6-5Si']</t>
  </si>
  <si>
    <t xml:space="preserve">triisopropylsilyl-substituted benzo[1,2-b:4,5-c']dithiophene-4,8-dione</t>
  </si>
  <si>
    <t xml:space="preserve">["triisopropylsilyl-substituted benzo[1,2-b:4,5-c']dithiophene-4,8-dione", 'iBDD-Si']</t>
  </si>
  <si>
    <t xml:space="preserve">{"power conversion efficiency": {"entity_name": "power conversion efficiency", "entity_start": 132, "entity_end": 134, "property_value_start": 138, "property_value_end": 139, "property_numeric_value": 17.0,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</si>
  <si>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10.1002/adfm.201800627</t>
  </si>
  <si>
    <t xml:space="preserve">{"power conversion efficiency": {"entity_name": "PCE", "entity_start": 156, "entity_end": 156, "property_value_start": 158, "property_value_end": 159, "property_numeric_value": 9.2, "property_unit": "%", "property_value_descriptor": ""}, "open circuit voltage": {}, "short circuit current": {}, "fill factor": {}, "highest occupied molecular orbital": {}, "lowest unoccupied molecular orbital": {}, "bandgap": {"entity_name": "E_{g}", "entity_start": 106, "entity_end": 107, "property_value_start": 109, "property_value_end": 110, "property_numeric_value": 2.1, "property_unit": "eV", "property_value_descriptor": ""}, "hole mobility": {}, "electron mobility": {}, "external quantum efficiency": {}}</t>
  </si>
  <si>
    <t xml:space="preserve">10.1002/adfm.202103944</t>
  </si>
  <si>
    <t xml:space="preserve">{"power conversion efficiency": {"entity_name": "PCE", "entity_start": 168, "entity_end": 168, "property_value_start": 170, "property_value_end": 171, "property_numeric_value": 15.6,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</si>
  <si>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204, "entity_end": 204, "property_value_start": 206, "property_value_end": 207, "property_numeric_value": 17.51,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</si>
  <si>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10.1002/adfm.201802324</t>
  </si>
  <si>
    <t xml:space="preserve">["poly[(2,6-(4,8-bis(5-(2-ethylhexyl)thiophen-2-yl)-benzo[1,2-b:4,5-b']dithiophene))-alt-(5,5-(1',3'-di-2-thienyl-5',7'-bis(2-ethylhexyl)benzo[1',2'-c:4',5'-c']dithiophene-4,8-dione))]", 'PBDB-T):6TIC-4']</t>
  </si>
  <si>
    <t xml:space="preserve">terthieno[3,2-b]thiophene</t>
  </si>
  <si>
    <t xml:space="preserve">{"power conversion efficiency": {"entity_name": "PCE", "entity_start": 96, "entity_end": 96, "property_value_start": 99, "property_value_end": 100, "property_numeric_value": 11.14, "property_unit": "%", "property_value_descriptor": ""}, "open circuit voltage": {}, "short circuit current": {"entity_name": "J_{SC}", "entity_start": 104, "entity_end": 105, "property_value_start": 107, "property_value_end": 110, "property_numeric_value": 23.0, "property_unit": "mA cm^{-2}", "property_value_descriptor": ""}, "fill factor": {"entity_name": "fill factor", "entity_start": 115, "entity_end": 116, "property_value_start": 118, "property_value_end": 118, "property_numeric_value": 67.0,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</si>
  <si>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10.1002/adfm.201802895</t>
  </si>
  <si>
    <t xml:space="preserve">IDTTIC</t>
  </si>
  <si>
    <t xml:space="preserve">{"power conversion efficiency": {"entity_name": "power conversion efficiency", "entity_start": 145, "entity_end": 147, "property_value_start": 150, "property_value_end": 151, "property_numeric_value": 5.67,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mobility", "entity_start": 212, "entity_end": 213, "property_value_start": 231, "property_value_end": 237, "property_numeric_value": 0.15, "property_unit": "cm^{2} V^{-1} s^{-1}", "property_value_descriptor": ""}, "external quantum efficiency": {}}</t>
  </si>
  <si>
    <t xml:space="preserve">10.1002/adma.202100474</t>
  </si>
  <si>
    <t xml:space="preserve">PBQ6</t>
  </si>
  <si>
    <t xml:space="preserve">['PBQ6']</t>
  </si>
  <si>
    <t xml:space="preserve">{"power conversion efficiency": {"entity_name": "PCE", "entity_start": 218, "entity_end": 218, "property_value_start": 220, "property_value_end": 221, "property_numeric_value": 17.62,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</si>
  <si>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PBQ5</t>
  </si>
  <si>
    <t xml:space="preserve">['PBQ5']</t>
  </si>
  <si>
    <t xml:space="preserve">{"power conversion efficiency": {"entity_name": "PCE", "entity_start": 205, "entity_end": 205, "property_value_start": 207, "property_value_end": 208, "property_numeric_value": 15.55, "property_unit": "%", "property_value_descriptor": ""}, "open circuit voltage": {}, "short circuit current": {}, "fill factor": {"entity_name": "fill factor", "entity_start": 193, "entity_end": 194, "property_value_start": 196, "property_value_end": 197, "property_numeric_value": 77.91,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</si>
  <si>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10.1002/adma.201706363</t>
  </si>
  <si>
    <t xml:space="preserve">{"power conversion efficiency": {"entity_name": "power conversion efficiencies", "entity_start": 139, "entity_end": 141, "property_value_start": 151, "property_value_end": 152, "property_numeric_value": 12.14,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</si>
  <si>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10.1002/adma.201705485</t>
  </si>
  <si>
    <t xml:space="preserve">{"power conversion efficiency": {"entity_name": "PCE", "entity_start": 161, "entity_end": 161, "property_value_start": 164, "property_value_end": 165, "property_numeric_value": 11.0,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</si>
  <si>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10.1002/adma.202103017</t>
  </si>
  <si>
    <t xml:space="preserve">poly(ethylene terephthalate)</t>
  </si>
  <si>
    <t xml:space="preserve">[*]CCOC(=O)c1ccc(C(=O)O[*])cc1</t>
  </si>
  <si>
    <t xml:space="preserve">['poly(ethylene terephthalate)']</t>
  </si>
  <si>
    <t xml:space="preserve">PEI-Zn</t>
  </si>
  <si>
    <t xml:space="preserve">['-', 'PEI-Zn']</t>
  </si>
  <si>
    <t xml:space="preserve">{"power conversion efficiency": {"entity_name": "PCE", "entity_start": 221, "entity_end": 221, "property_value_start": 223, "property_value_end": 224, "property_numeric_value": 16.1,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{"entity_name": "external quantum efficiency", "entity_start": 231, "entity_end": 233, "property_value_start": 235, "property_value_end": 236, "property_numeric_value": 13.3, "property_unit": "%", "property_value_descriptor": ""}}</t>
  </si>
  <si>
    <t xml:space="preserve">10.1002/adma.201702291</t>
  </si>
  <si>
    <t xml:space="preserve">{"power conversion efficiency": {"entity_name": "PCE", "entity_start": 133, "entity_end": 133, "property_value_start": 135, "property_value_end": 136, "property_numeric_value": 10.5, "property_unit": "%", "property_value_descriptor": ""}, "open circuit voltage": {"entity_name": "V_{oc}", "entity_start": 71, "entity_end": 73, "property_value_start": 75, "property_value_end": 76, "property_numeric_value": 0.92, "property_unit": "V", "property_value_descriptor": ""}, "short circuit current": {"entity_name": "J_{sc}", "entity_start": 85, "entity_end": 86, "property_value_start": 89, "property_value_end": 92, "property_numeric_value": 16.4, "property_unit": "mA cm^{-2}", "property_value_descriptor": ""}, "fill factor": {"entity_name": "fill factor", "entity_start": 96, "entity_end": 97, "property_value_start": 99, "property_value_end": 100, "property_numeric_value": 76.2,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</si>
  <si>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10.1002/adma.202102635</t>
  </si>
  <si>
    <t xml:space="preserve">L15</t>
  </si>
  <si>
    <t xml:space="preserve">['L15', 'L15-based']</t>
  </si>
  <si>
    <t xml:space="preserve">{"power conversion efficiency": {"entity_name": "PCE", "entity_start": 210, "entity_end": 210, "property_value_start": 215, "property_value_end": 216, "property_numeric_value": 16.2,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</si>
  <si>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10.1002/adma.202100830</t>
  </si>
  <si>
    <t xml:space="preserve">{"power conversion efficiency": {"entity_name": "power conversion efficiency", "entity_start": 66, "entity_end": 68, "property_value_start": 71, "property_value_end": 72, "property_numeric_value": 18.0,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</si>
  <si>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10.1002/adma.202008158</t>
  </si>
  <si>
    <t xml:space="preserve">Y6-BO</t>
  </si>
  <si>
    <t xml:space="preserve">CCCCCCCCCCCc3c(C=c2c(=O)c1cc(F)c(F)cc1c2=C(C#N)C#N)sc%11c3sc%12c%10c4nsnc4c9c8sc7c(CCCCCCCCCCC)c(C=c6c(=O)c5cc(F)c(F)cc5c6=C(C#N)C#N)sc7c8n(CC(CCCC)CCCCCC)c9c%10n(CC(CCCC)CCCCCC)c%11%12</t>
  </si>
  <si>
    <t xml:space="preserve">['Y6-BO']</t>
  </si>
  <si>
    <t xml:space="preserve">{"power conversion efficiency": {"entity_name": "PCE", "entity_start": 222, "entity_end": 222, "property_value_start": 224, "property_value_end": 225, "property_numeric_value": 13.65,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</si>
  <si>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10.1002/adma.201301494</t>
  </si>
  <si>
    <t xml:space="preserve">PBDTP-DTBT</t>
  </si>
  <si>
    <t xml:space="preserve">['PBDTP-DTBT']</t>
  </si>
  <si>
    <t xml:space="preserve">{"power conversion efficiency": {"entity_name": "power conversion efficiency", "entity_start": 33, "entity_end": 35, "property_value_start": 58, "property_value_end": 59, "property_numeric_value": 8.07,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</si>
  <si>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10.1002/adma.201700144</t>
  </si>
  <si>
    <t xml:space="preserve">{"power conversion efficiency": {"entity_name": "PCE", "entity_start": 271, "entity_end": 271, "property_value_start": 273, "property_value_end": 274, "property_numeric_value": 5.22,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</si>
  <si>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10.1002/celc.202101137</t>
  </si>
  <si>
    <t xml:space="preserve">PYT</t>
  </si>
  <si>
    <t xml:space="preserve">['PYT', 'PYT- TOE(x)']</t>
  </si>
  <si>
    <t xml:space="preserve">{"power conversion efficiency": {"entity_name": "PCE", "entity_start": 201, "entity_end": 201, "property_value_start": 205, "property_value_end": 206, "property_numeric_value": 11.75,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</si>
  <si>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PYT-TOE(10)</t>
  </si>
  <si>
    <t xml:space="preserve">['PYT-TOE(10)']</t>
  </si>
  <si>
    <t xml:space="preserve">{"power conversion efficiency": {"entity_name": "PCE", "entity_start": 201, "entity_end": 201, "property_value_start": 216, "property_value_end": 217, "property_numeric_value": 12.77,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</si>
  <si>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10.1002/cssc.202100689</t>
  </si>
  <si>
    <t xml:space="preserve">poly{[2,6'-4,8-di(5-ethylhexylthienyl)benzo [1,2-b:4,5-b']dithiophene]-alt-[5,5-(1',3'-di-2-thienyl-5',7'-bis(2-ethylhexyl)benzo[1',2'-c)</t>
  </si>
  <si>
    <t xml:space="preserve">["poly{[2,6'-4,8-di(5-ethylhexylthienyl)benzo [1,2-b:4,5-b']dithiophene]-alt-[5,5-(1',3'-di-2-thienyl-5',7'-bis(2-ethylhexyl)benzo[1',2'-c)"]</t>
  </si>
  <si>
    <t xml:space="preserve"> 4',5'-c']dithiophene-4,8-dione</t>
  </si>
  <si>
    <t xml:space="preserve">{"power conversion efficiency": {"entity_name": "power conversion efficiency", "entity_start": 174, "entity_end": 176, "property_value_start": 178, "property_value_end": 179, "property_numeric_value": 10.55,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</si>
  <si>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10.1002/cssc.202101232</t>
  </si>
  <si>
    <t xml:space="preserve">PBDSe-T</t>
  </si>
  <si>
    <t xml:space="preserve">['PBDSe-T']</t>
  </si>
  <si>
    <t xml:space="preserve">{"power conversion efficiency": {"entity_name": "PCE", "entity_start": 164, "entity_end": 164, "property_value_start": 167, "property_value_end": 168, "property_numeric_value": 14.5, "property_unit": "%", "property_value_descriptor": ""}, "open circuit voltage": {"entity_name": "V_{oc}", "entity_start": 201, "entity_end": 202, "property_value_start": 205, "property_value_end": 206, "property_numeric_value": 0.89,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</si>
  <si>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10.1002/cssc.202100787</t>
  </si>
  <si>
    <t xml:space="preserve">TEHPor-PDI</t>
  </si>
  <si>
    <t xml:space="preserve">['TEHPor-PDI']</t>
  </si>
  <si>
    <t xml:space="preserve">Por-PDI</t>
  </si>
  <si>
    <t xml:space="preserve">['Por-PDI']</t>
  </si>
  <si>
    <t xml:space="preserve">{"power conversion efficiency": {"entity_name": "PCEs", "entity_start": 68, "entity_end": 68, "property_value_start": 71, "property_value_end": 74, "property_numeric_value": 4.445,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</si>
  <si>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115, "entity_end": 115, "property_value_start": 117, "property_value_end": 118, "property_numeric_value": 5.21,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</si>
  <si>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10.1002/cssc.202100627</t>
  </si>
  <si>
    <t xml:space="preserve">ZY-4Cl</t>
  </si>
  <si>
    <t xml:space="preserve">['ZY-4Cl']</t>
  </si>
  <si>
    <t xml:space="preserve">{"power conversion efficiency": {"entity_name": "PCE", "entity_start": 152, "entity_end": 152, "property_value_start": 154, "property_value_end": 155,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</si>
  <si>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10.1002/smll.201804271</t>
  </si>
  <si>
    <t xml:space="preserve">{"power conversion efficiency": {"entity_name": "power conversion efficiency", "entity_start": 124, "entity_end": 126, "property_value_start": 128, "property_value_end": 129, "property_numeric_value": 11.2,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</si>
  <si>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10.1002/smll.202007746</t>
  </si>
  <si>
    <t xml:space="preserve">['DR8', 'PM6', 'PM6-based']</t>
  </si>
  <si>
    <t xml:space="preserve">{"power conversion efficiency": {"entity_name": "PCE", "entity_start": 125, "entity_end": 125, "property_value_start": 127, "property_value_end": 128, "property_numeric_value": 14.94,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</si>
  <si>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DR8</t>
  </si>
  <si>
    <t xml:space="preserve">{"power conversion efficiency": {"entity_name": "PCE", "entity_start": 125, "entity_end": 125, "property_value_start": 151, "property_value_end": 152, "property_numeric_value": 16.73,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</si>
  <si>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10.1016/j.polymer.2021.124322</t>
  </si>
  <si>
    <t xml:space="preserve">BTP-4F-C9-20</t>
  </si>
  <si>
    <t xml:space="preserve">['BTP-4F-C9-20']</t>
  </si>
  <si>
    <t xml:space="preserve">{"power conversion efficiency": {"entity_name": "PCE", "entity_start": 113, "entity_end": 113, "property_value_start": 115, "property_value_end": 116, "property_numeric_value": 16.5,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</si>
  <si>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Y7-BO</t>
  </si>
  <si>
    <t xml:space="preserve">['Y7-BO']</t>
  </si>
  <si>
    <t xml:space="preserve">{"power conversion efficiency": {"entity_name": "PCE", "entity_start": 199, "entity_end": 199, "property_value_start": 201, "property_value_end": 202, "property_numeric_value": 17.3,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</si>
  <si>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10.1002/marc.202100828</t>
  </si>
  <si>
    <t xml:space="preserve">tMBCIC</t>
  </si>
  <si>
    <t xml:space="preserve">['tMBCIC']</t>
  </si>
  <si>
    <t xml:space="preserve">BODIPY; tMBCIC</t>
  </si>
  <si>
    <t xml:space="preserve">{"power conversion efficiency": {"entity_name": "PCE", "entity_start": 208, "entity_end": 208, "property_value_start": 211, "property_value_end": 212, "property_numeric_value": 9.22, "property_unit": "%", "property_value_descriptor": ""}, "open circuit voltage": {"entity_name": "V_{oc}", "entity_start": 220, "entity_end": 222, "property_value_start": 231, "property_value_end": 232, "property_numeric_value": 0.739,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</si>
  <si>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10.1016/j.cej.2021.132832</t>
  </si>
  <si>
    <t xml:space="preserve">PM6Ir0</t>
  </si>
  <si>
    <t xml:space="preserve">['PM6', 'PM6Ir1', 'PM6Ir0']</t>
  </si>
  <si>
    <t xml:space="preserve">{"power conversion efficiency": {"entity_name": "PCE", "entity_start": 113, "entity_end": 113, "property_value_start": 116, "property_value_end": 117, "property_numeric_value": 16.71,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</si>
  <si>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PM6Ir1</t>
  </si>
  <si>
    <t xml:space="preserve">{"power conversion efficiency": {"entity_name": "PCE", "entity_start": 173, "entity_end": 173, "property_value_start": 175, "property_value_end": 176, "property_numeric_value": 15.65, "property_unit": "%", "property_value_descriptor": ""}, "open circuit voltage": {"entity_name": "V_{OC}", "entity_start": 139, "entity_end": 141, "property_value_start": 143, "property_value_end": 144, "property_numeric_value": 0.848, "property_unit": "V", "property_value_descriptor": ""}, "short circuit current": {"entity_name": "J_{SC}", "entity_start": 125, "entity_end": 127, "property_value_start": 129, "property_value_end": 132, "property_numeric_value": 26.16, "property_unit": "mA cm^{-2}", "property_value_descriptor": ""}, "fill factor": {"entity_name": "FF", "entity_start": 149, "entity_end": 149, "property_value_start": 152, "property_value_end": 153, "property_numeric_value": 75.33,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</si>
  <si>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10.1016/j.cej.2021.134117</t>
  </si>
  <si>
    <t xml:space="preserve">['PF1']</t>
  </si>
  <si>
    <t xml:space="preserve">{"power conversion efficiency": {"entity_name": "PCE", "entity_start": 183, "entity_end": 183, "property_value_start": 188, "property_value_end": 189, "property_numeric_value": 17.3,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</si>
  <si>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207, "entity_end": 207, "property_value_start": 209, "property_value_end": 210, "property_numeric_value": 16.2,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</si>
  <si>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10.1016/j.cej.2022.134862</t>
  </si>
  <si>
    <t xml:space="preserve">BTP-2T2F.</t>
  </si>
  <si>
    <t xml:space="preserve">['BTP-2T2F', 'BTP-2T2F.']</t>
  </si>
  <si>
    <t xml:space="preserve">{"power conversion efficiency": {"entity_name": "PCE", "entity_start": 211, "entity_end": 211, "property_value_start": 213, "property_value_end": 214, "property_numeric_value": 16.04,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</si>
  <si>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10.1016/j.cej.2022.134878</t>
  </si>
  <si>
    <t xml:space="preserve">{"power conversion efficiency": {"entity_name": "power conversion efficiency", "entity_start": 170, "entity_end": 172, "property_value_start": 174, "property_value_end": 175, "property_numeric_value": 16.4, "property_unit": "%", "property_value_descriptor": ""}, "open circuit voltage": {"entity_name": "open-circuit voltage", "entity_start": 142, "entity_end": 145, "property_value_start": 147, "property_value_end": 148, "property_numeric_value": 0.86, "property_unit": "V", "property_value_descriptor": ""}, "short circuit current": {}, "fill factor": {}, "highest occupied molecular orbital": {}, "lowest unoccupied molecular orbital": {}, "bandgap": {"entity_name": "optical bandgap", "entity_start": 88, "entity_end": 89, "property_value_start": 91, "property_value_end": 92, "property_numeric_value": 1.86, "property_unit": "eV", "property_value_descriptor": ""}, "hole mobility": {}, "electron mobility": {}, "external quantum efficiency": {}}</t>
  </si>
  <si>
    <t xml:space="preserve">10.1016/j.cej.2022.135182</t>
  </si>
  <si>
    <t xml:space="preserve">PBDTTS-2ClQx</t>
  </si>
  <si>
    <t xml:space="preserve">['benzodithiophene', 'BDTTS', 'PBDTTS-2FQx', 'PBDTTS-2ClQx']</t>
  </si>
  <si>
    <t xml:space="preserve">{"power conversion efficiency": {"entity_name": "PCE", "entity_start": 231, "entity_end": 231, "property_value_start": 233, "property_value_end": 234, "property_numeric_value": 16.1,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</si>
  <si>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10.1016/j.cej.2022.135198</t>
  </si>
  <si>
    <t xml:space="preserve">PBDP-Cl</t>
  </si>
  <si>
    <t xml:space="preserve">['PBDP-Cl']</t>
  </si>
  <si>
    <t xml:space="preserve">BTIC-BO-4Cl</t>
  </si>
  <si>
    <t xml:space="preserve">['BTIC-BO-4Cl']</t>
  </si>
  <si>
    <t xml:space="preserve">{"power conversion efficiency": {"entity_name": "PCE", "entity_start": 154, "entity_end": 154, "property_value_start": 193, "property_value_end": 194, "property_numeric_value": 9.84,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</si>
  <si>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PBDP-H</t>
  </si>
  <si>
    <t xml:space="preserve">['PBDP-H']</t>
  </si>
  <si>
    <t xml:space="preserve">{"power conversion efficiency": {"entity_name": "PCE", "entity_start": 154, "entity_end": 154, "property_value_start": 201, "property_value_end": 202, "property_numeric_value": 6.66,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</si>
  <si>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10.1016/j.dyepig.2021.109949</t>
  </si>
  <si>
    <t xml:space="preserve">['BTA3', 'BTA3d', 'BTA3f', 'BTA3b', 'BTA3c', 'BTA3e']</t>
  </si>
  <si>
    <t xml:space="preserve">{"power conversion efficiency": {"entity_name": "PCEs", "entity_start": 199, "entity_end": 199, "property_value_start": 203, "property_value_end": 204, "property_numeric_value": 6.15,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</si>
  <si>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10.1016/j.dyepig.2021.109987</t>
  </si>
  <si>
    <t xml:space="preserve">IT-DSM</t>
  </si>
  <si>
    <t xml:space="preserve">['m-ITTC-Oeh-SM', 'IT-SM', 'm-ITTC-Oeh-DSM', 'IT-DSM']</t>
  </si>
  <si>
    <t xml:space="preserve">{"power conversion efficiency": {"entity_name": "PCE", "entity_start": 149, "entity_end": 149, "property_value_start": 163, "property_value_end": 164, "property_numeric_value": 3.02,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</si>
  <si>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10.1016/j.dyepig.2022.110081</t>
  </si>
  <si>
    <t xml:space="preserve">PTBD-BZ</t>
  </si>
  <si>
    <t xml:space="preserve">['PTBD-BZ']</t>
  </si>
  <si>
    <t xml:space="preserve">PNDIOD-30Se</t>
  </si>
  <si>
    <t xml:space="preserve">['PNDIOD-30Se']</t>
  </si>
  <si>
    <t xml:space="preserve">{"power conversion efficiency": {"entity_name": "power conversion efficiency", "entity_start": 88, "entity_end": 90, "property_value_start": 104, "property_value_end": 105, "property_numeric_value": 6.42, "property_unit": "%", "property_value_descriptor": ""}, "open circuit voltage": {"entity_name": "open circuit voltage", "entity_start": 109, "entity_end": 111, "property_value_start": 113, "property_value_end": 114, "property_numeric_value": 0.91,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</si>
  <si>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10.1016/j.dyepig.2022.110180</t>
  </si>
  <si>
    <t xml:space="preserve">PAL1</t>
  </si>
  <si>
    <t xml:space="preserve">['PAL1', 'PAL1-based']</t>
  </si>
  <si>
    <t xml:space="preserve">{"power conversion efficiency": {"entity_name": "PCE", "entity_start": 236, "entity_end": 236, "property_value_start": 240, "property_value_end": 241, "property_numeric_value": 4.2,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</si>
  <si>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10.1016/j.electacta.2021.139298</t>
  </si>
  <si>
    <t xml:space="preserve">PBDTSe-FBT</t>
  </si>
  <si>
    <t xml:space="preserve">['PBDTSe-FBT']</t>
  </si>
  <si>
    <t xml:space="preserve">{"power conversion efficiency": {}, "open circuit voltage": {}, "short circuit current": {"entity_name": "J_{SC}", "entity_start": 177, "entity_end": 178, "property_value_start": 180, "property_value_end": 183, "property_numeric_value": 7.24, "property_unit": "mA cm^{-2}", "property_value_descriptor": ""}, "fill factor": {"entity_name": "FF", "entity_start": 191, "entity_end": 191, "property_value_start": 193, "property_value_end": 194, "property_numeric_value": 50.6,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</si>
  <si>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PBDTSe-FFBT</t>
  </si>
  <si>
    <t xml:space="preserve">['PBDTSe-FFBT']</t>
  </si>
  <si>
    <t xml:space="preserve">{"power conversion efficiency": {"entity_name": "PCE", "entity_start": 206, "entity_end": 206, "property_value_start": 208, "property_value_end": 209, "property_numeric_value": 2.39, "property_unit": "%", "property_value_descriptor": ""}, "open circuit voltage": {"entity_name": "V_{OC}", "entity_start": 185, "entity_end": 186, "property_value_start": 188, "property_value_end": 189, "property_numeric_value": 0.72,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</si>
  <si>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10.1016/j.matlet.2021.131466</t>
  </si>
  <si>
    <t xml:space="preserve">PSS)-S</t>
  </si>
  <si>
    <t xml:space="preserve">['PSS)-S']</t>
  </si>
  <si>
    <t xml:space="preserve">{"power conversion efficiency": {"entity_name": "PCE", "entity_start": 167, "entity_end": 167, "property_value_start": 169, "property_value_end": 170, "property_numeric_value": 13.44, "property_unit": "%", "property_value_descriptor": ""}, "open circuit voltage": {"entity_name": "V_{oc}", "entity_start": 176, "entity_end": 177, "property_value_start": 179, "property_value_end": 180, "property_numeric_value": 0.645,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</si>
  <si>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10.1016/j.nanoen.2021.106718</t>
  </si>
  <si>
    <t xml:space="preserve">PY2Se-Cl</t>
  </si>
  <si>
    <t xml:space="preserve">['PY2Se-Cl']</t>
  </si>
  <si>
    <t xml:space="preserve">{"power conversion efficiency": {"entity_name": "PCE", "entity_start": 223, "entity_end": 223, "property_value_start": 225, "property_value_end": 226, "property_numeric_value": 16.1, "property_unit": "%", "property_value_descriptor": ""}, "open circuit voltage": {}, "short circuit current": {"entity_name": "J_{sc}", "entity_start": 236, "entity_end": 237, "property_value_start": 240, "property_value_end": 243, "property_numeric_value": 24.5, "property_unit": "mA cm^{-2}", "property_value_descriptor": ""}, "fill factor": {"entity_name": "FF", "entity_start": 248, "entity_end": 248, "property_value_start": 251, "property_value_end": 251, "property_numeric_value": 74.3,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</si>
  <si>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10.1016/j.nanoen.2021.106858</t>
  </si>
  <si>
    <t xml:space="preserve">PYT; PBDB-T</t>
  </si>
  <si>
    <t xml:space="preserve">{"power conversion efficiency": {"entity_name": "PCE", "entity_start": 176, "entity_end": 176, "property_value_start": 179, "property_value_end": 180, "property_numeric_value": 16.05, "property_unit": "%", "property_value_descriptor": ""}, "open circuit voltage": {}, "short circuit current": {}, "fill factor": {"entity_name": "FF", "entity_start": 201, "entity_end": 201, "property_value_start": 204, "property_value_end": 204, "property_numeric_value": 77.0,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</si>
  <si>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10.1016/j.orgel.2022.106446</t>
  </si>
  <si>
    <t xml:space="preserve">BOACl; IDTT -</t>
  </si>
  <si>
    <t xml:space="preserve">{"power conversion efficiency": {"entity_name": "PCE", "entity_start": 262, "entity_end": 262, "property_value_start": 264, "property_value_end": 265, "property_numeric_value": 7.83,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</si>
  <si>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10.1038/s41598-021-03763-1</t>
  </si>
  <si>
    <t xml:space="preserve">PBCl-MTQF</t>
  </si>
  <si>
    <t xml:space="preserve">['PBCl-MTQF']</t>
  </si>
  <si>
    <t xml:space="preserve">PBCl-MTQCN</t>
  </si>
  <si>
    <t xml:space="preserve">['PBCl-MTQCN']</t>
  </si>
  <si>
    <t xml:space="preserve">{"power conversion efficiency": {"entity_name": "power conversion efficiency", "entity_start": 144, "entity_end": 146, "property_value_start": 164, "property_value_end": 165, "property_numeric_value": 3.52,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</si>
  <si>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10.1038/s41598-021-99095-1</t>
  </si>
  <si>
    <t xml:space="preserve">{"power conversion efficiency": {"entity_name": "PCE", "entity_start": 146, "entity_end": 146, "property_value_start": 167, "property_value_end": 168, "property_numeric_value": 7.35,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</si>
  <si>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10.1039/d1tc05653k</t>
  </si>
  <si>
    <t xml:space="preserve">P </t>
  </si>
  <si>
    <t xml:space="preserve">['P', 'P ']</t>
  </si>
  <si>
    <t xml:space="preserve">{"power conversion efficiency": {"entity_name": "PCE", "entity_start": 128, "entity_end": 128, "property_value_start": 130, "property_value_end": 131, "property_numeric_value": 15.27,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</si>
  <si>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10.1007/s10854-022-07732-w</t>
  </si>
  <si>
    <t xml:space="preserve">{"power conversion efficiency": {"entity_name": "power conversion efficiency", "entity_start": 165, "entity_end": 167, "property_value_start": 169, "property_value_end": 170, "property_numeric_value": 12.85,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</si>
  <si>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10.1007/s10854-021-07267-6</t>
  </si>
  <si>
    <t xml:space="preserve">['C61-butyric acid methyl ester', 'P3HT']</t>
  </si>
  <si>
    <t xml:space="preserve">{"power conversion efficiency": {"entity_name": "PCE", "entity_start": 92, "entity_end": 92, "property_value_start": 105, "property_value_end": 106, "property_numeric_value": 3.56,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</si>
  <si>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10.1002/adfm.202112433</t>
  </si>
  <si>
    <t xml:space="preserve">BT-O2</t>
  </si>
  <si>
    <t xml:space="preserve">['BT-O2', 'BT-O2-based']</t>
  </si>
  <si>
    <t xml:space="preserve">{"power conversion efficiency": {"entity_name": "PCE", "entity_start": 245, "entity_end": 245, "property_value_start": 251, "property_value_end": 252, "property_numeric_value": 14.6,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</si>
  <si>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10.1080/15421406.2017.1350004</t>
  </si>
  <si>
    <t xml:space="preserve">poly(4-vinyl N-ethyl pyridinium bromide)</t>
  </si>
  <si>
    <t xml:space="preserve">[Br-].CC[n+]1ccc(C(C[*])[*])cc1</t>
  </si>
  <si>
    <t xml:space="preserve">['poly(4-vinyl N-ethyl pyridinium bromide)', 'PVPy-EtBr']</t>
  </si>
  <si>
    <t xml:space="preserve">{"power conversion efficiency": {"entity_name": "PCE", "entity_start": 183, "entity_end": 183, "property_value_start": 193, "property_value_end": 194, "property_numeric_value": 2.88,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</si>
  <si>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10.1039/b918362k</t>
  </si>
  <si>
    <t xml:space="preserve">{"power conversion efficiency": {"entity_name": "power conversion efficiency", "entity_start": 94, "entity_end": 96, "property_value_start": 98, "property_value_end": 99, "property_numeric_value": 4.5,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</si>
  <si>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10.1002/aenm.201201114</t>
  </si>
  <si>
    <t xml:space="preserve">poly(dithienogermole-thienopyrrolodione)</t>
  </si>
  <si>
    <t xml:space="preserve">['poly(dithienogermole-thienopyrrolodione)', 'PDTG-TPD']</t>
  </si>
  <si>
    <t xml:space="preserve">{"power conversion efficiency": {"entity_name": "Power conversion efficiencies", "entity_start": 148, "entity_end": 150, "property_value_start": 152, "property_value_end": 153,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{"entity_name": "EQE", "entity_start": 182, "entity_end": 182, "property_value_start": 184, "property_value_end": 185, "property_numeric_value": 65.0, "property_unit": "%", "property_value_descriptor": ""}}</t>
  </si>
  <si>
    <t xml:space="preserve">10.1016/j.mtener.2017.12.010</t>
  </si>
  <si>
    <t xml:space="preserve">PET</t>
  </si>
  <si>
    <t xml:space="preserve">['PET']</t>
  </si>
  <si>
    <t xml:space="preserve">{"power conversion efficiency": {"entity_name": "power conversion efficiency", "entity_start": 116, "entity_end": 118, "property_value_start": 121, "property_value_end": 122,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</si>
  <si>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10.1016/j.orgel.2019.06.007</t>
  </si>
  <si>
    <t xml:space="preserve">PBDTTFTQ-DO</t>
  </si>
  <si>
    <t xml:space="preserve">[*]c%11ccc(c9cc(F)c(c6ccc(c5cc4c(c1cc(CCCCCCCC)c(CCCCCCCC)s1)c2sc([*])cc2c(c3cc(CCCCCCCC)c(CCCCCCCC)s3)c4s5)s6)c%10nc(c7cccc(OCCCCCCCC)c7)c(c8cccc(OCCCCCCCC)c8)nc9%10)s%11</t>
  </si>
  <si>
    <t xml:space="preserve">['PBDTTFTQ-DO']</t>
  </si>
  <si>
    <t xml:space="preserve">{"power conversion efficiency": {"entity_name": "power conversion efficiency", "entity_start": 192, "entity_end": 194, "property_value_start": 196, "property_value_end": 197, "property_numeric_value": 7.81, "property_unit": "%", "property_value_descriptor": ""}, "open circuit voltage": {}, "short circuit current": {}, "fill factor": {}, "highest occupied molecular orbital": {"entity_name": "HOMO", "entity_start": 84, "entity_end": 84, "property_value_start": 88, "property_value_end": 89, "property_numeric_value": -5.37, "property_unit": "eV", "property_value_descriptor": ""}, "lowest unoccupied molecular orbital": {}, "bandgap": {"entity_name": "bandgap", "entity_start": 93, "entity_end": 93, "property_value_start": 95, "property_value_end": 96, "property_numeric_value": 1.8, "property_unit": "eV", "property_value_descriptor": ""}, "hole mobility": {}, "electron mobility": {}, "external quantum efficiency": {}}</t>
  </si>
  <si>
    <t xml:space="preserve">10.1039/c0jm04452k</t>
  </si>
  <si>
    <t xml:space="preserve">{"power conversion efficiency": {"entity_name": "power conversion efficiency", "entity_start": 239, "entity_end": 241, "property_value_start": 243, "property_value_end": 244, "property_numeric_value": 0.37,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</si>
  <si>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10.1039/c3ta10637c</t>
  </si>
  <si>
    <t xml:space="preserve">{"power conversion efficiency": {"entity_name": "PCE", "entity_start": 304, "entity_end": 304, "property_value_start": 306, "property_value_end": 307, "property_numeric_value": 6.42,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</si>
  <si>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10.1021/acsami.8b15028</t>
  </si>
  <si>
    <t xml:space="preserve">{"power conversion efficiency": {"entity_name": "PCE", "entity_start": 110, "entity_end": 110, "property_value_start": 113, "property_value_end": 114, "property_numeric_value": 8.61, "property_unit": "%", "property_value_descriptor": ""}, "open circuit voltage": {}, "short circuit current": {}, "fill factor": {"entity_name": "FF", "entity_start": 121, "entity_end": 121, "property_value_start": 126, "property_value_end": 127, "property_numeric_value": 75.4,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</si>
  <si>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10.1039/c3tc31945h</t>
  </si>
  <si>
    <t xml:space="preserve">poly(indacenodiselenophene-difluorobenzothiadiazole)</t>
  </si>
  <si>
    <t xml:space="preserve">[*]c1cc9c([se]1)C8=C(C=C7c4[se]c(c2c(F)c(F)c([*])c3nsnc23)cc4C(c5ccc(CCCCCC)cc5)(c6ccc(CCCCCC)cc6)C7C8)C9(c%10ccc(CCCCCC)cc%10)c%11ccc(CCCCCC)cc%11</t>
  </si>
  <si>
    <t xml:space="preserve">['poly(indacenodiselenophene-difluorobenzothiadiazole)']</t>
  </si>
  <si>
    <t xml:space="preserve">{"power conversion efficiency": {"entity_name": "power conversion efficiency", "entity_start": 21, "entity_end": 23, "property_value_start": 25, "property_value_end": 26, "property_numeric_value": 2.5,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</si>
  <si>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10.1016/j.orgel.2015.06.010</t>
  </si>
  <si>
    <t xml:space="preserve">{"power conversion efficiency": {"entity_name": "PCE", "entity_start": 136, "entity_end": 136, "property_value_start": 138, "property_value_end": 139, "property_numeric_value": 5.31,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</si>
  <si>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10.1021/acsami.7b05417</t>
  </si>
  <si>
    <t xml:space="preserve">2-(3-oxo-2,3-dihydroinden-1-ylidene)malononitrile</t>
  </si>
  <si>
    <t xml:space="preserve">{"power conversion efficiency": {"entity_name": "PCE", "entity_start": 113, "entity_end": 113, "property_value_start": 132, "property_value_end": 133, "property_numeric_value": 2.75,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</si>
  <si>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10.1021/acs.chemmater.7b03770</t>
  </si>
  <si>
    <t xml:space="preserve">{"power conversion efficiency": {"entity_name": "PCE", "entity_start": 214, "entity_end": 214, "property_value_start": 216, "property_value_end": 217, "property_numeric_value": 8.0, "property_unit": "%", "property_value_descriptor": ""}, "open circuit voltage": {"entity_name": "V_{OC}", "entity_start": 182, "entity_end": 183, "property_value_start": 185, "property_value_end": 186, "property_numeric_value": 1.08, "property_unit": "V", "property_value_descriptor": ""}, "short circuit current": {}, "fill factor": {}, "highest occupied molecular orbital": {}, "lowest unoccupied molecular orbital": {"entity_name": "lowest unoccupied molecular orbital", "entity_start": 149, "entity_end": 152, "property_value_start": 155, "property_value_end": 156, "property_numeric_value": -3.75, "property_unit": "eV", "property_value_descriptor": ""}, "bandgap": {}, "hole mobility": {}, "electron mobility": {}, "external quantum efficiency": {}}</t>
  </si>
  <si>
    <t xml:space="preserve">10.1007/s00339-015-9444-1</t>
  </si>
  <si>
    <t xml:space="preserve">{"power conversion efficiency": {"entity_name": "PCE", "entity_start": 64, "entity_end": 64, "property_value_start": 66, "property_value_end": 67, "property_numeric_value": 1.02,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</si>
  <si>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10.1038/srep06570</t>
  </si>
  <si>
    <t xml:space="preserve">polyanilines</t>
  </si>
  <si>
    <t xml:space="preserve">['polyanilines', 'HAPAN']</t>
  </si>
  <si>
    <t xml:space="preserve">{"power conversion efficiency": {"entity_name": "PCE", "entity_start": 72, "entity_end": 72, "property_value_start": 74, "property_value_end": 75, "property_numeric_value": 9.0,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</si>
  <si>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10.1002/adma.200304150</t>
  </si>
  <si>
    <t xml:space="preserve">{"power conversion efficiency": {"entity_name": "power conversion efficiency", "entity_start": 29, "entity_end": 31, "property_value_start": 33, "property_value_end": 34, "property_numeric_value": 2.2,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</si>
  <si>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10.1016/j.solmat.2014.06.030</t>
  </si>
  <si>
    <t xml:space="preserve">{"power conversion efficiency": {"entity_name": "PCE", "entity_start": 32, "entity_end": 32, "property_value_start": 42, "property_value_end": 43, "property_numeric_value": 6.18, "property_unit": "%", "property_value_descriptor": ""}, "open circuit voltage": {}, "short circuit current": {"entity_name": "J sc", "entity_start": 57, "entity_end": 58, "property_value_start": 63, "property_value_end": 67, "property_numeric_value": 15.65,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</si>
  <si>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10.1039/c6ra09045a</t>
  </si>
  <si>
    <t xml:space="preserve">{"power conversion efficiency": {"entity_name": "PCE", "entity_start": 193, "entity_end": 193, "property_value_start": 217, "property_value_end": 218, "property_numeric_value": 0.47,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</si>
  <si>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10.1016/j.tsf.2011.01.173</t>
  </si>
  <si>
    <t xml:space="preserve">{"power conversion efficiency": {"entity_name": "power conversion efficiency", "entity_start": 232, "entity_end": 234, "property_value_start": 236, "property_value_end": 237, "property_numeric_value": 0.36, "property_unit": "%", "property_value_descriptor": ""}, "open circuit voltage": {"entity_name": "V_{oc}", "entity_start": 204, "entity_end": 205, "property_value_start": 207, "property_value_end": 208, "property_numeric_value": 0.85, "property_unit": "V", "property_value_descriptor": ""}, "short circuit current": {"entity_name": "short-circuit current", "entity_start": 211, "entity_end": 214, "property_value_start": 216, "property_value_end": 220, "property_numeric_value": 1.57, "property_unit": "mA/cm^{2}", "property_value_descriptor": ""}, "fill factor": {"entity_name": "fill factor", "entity_start": 224, "entity_end": 225, "property_value_start": 227, "property_value_end": 227, "property_numeric_value": 27.0,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</si>
  <si>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10.1016/j.orgel.2017.04.026</t>
  </si>
  <si>
    <t xml:space="preserve">PTB7-NBr</t>
  </si>
  <si>
    <t xml:space="preserve">['PTB7-NBr']</t>
  </si>
  <si>
    <t xml:space="preserve">{"power conversion efficiency": {"entity_name": "PCEs", "entity_start": 122, "entity_end": 122, "property_value_start": 133, "property_value_end": 134, "property_numeric_value": 9.0,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</si>
  <si>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10.1002/pola.25853</t>
  </si>
  <si>
    <t xml:space="preserve">{"power conversion efficiency": {"entity_name": "PCE", "entity_start": 216, "entity_end": 216, "property_value_start": 220, "property_value_end": 221, "property_numeric_value": 0.86, "property_unit": "%", "property_value_descriptor": ""}, "open circuit voltage": {"entity_name": "V_{oc}", "entity_start": 245, "entity_end": 246, "property_value_start": 249, "property_value_end": 250, "property_numeric_value": 0.55, "property_unit": "V", "property_value_descriptor": ""}, "short circuit current": {"entity_name": "J_{sc}", "entity_start": 230, "entity_end": 231, "property_value_start": 234, "property_value_end": 238, "property_numeric_value": 4.97, "property_unit": "mA/cm^{2}", "property_value_descriptor": ""}, "fill factor": {"entity_name": "FF", "entity_start": 257, "entity_end": 257, "property_value_start": 260, "property_value_end": 261, "property_numeric_value": 31.5,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</si>
  <si>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10.1080/21663831.2018.1556183</t>
  </si>
  <si>
    <t xml:space="preserve">polydimethylsiloxane</t>
  </si>
  <si>
    <t xml:space="preserve">['polydimethylsiloxane', 'PDMS']</t>
  </si>
  <si>
    <t xml:space="preserve">{"power conversion efficiency": {"entity_name": "power conversion efficiency", "entity_start": 75, "entity_end": 77, "property_value_start": 86, "property_value_end": 87, "property_numeric_value": 7.28,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</si>
  <si>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10.1039/c8ta10923k</t>
  </si>
  <si>
    <t xml:space="preserve">{"power conversion efficiency": {"entity_name": "PCE", "entity_start": 162, "entity_end": 162, "property_value_start": 164, "property_value_end": 165, "property_numeric_value": 8.18,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</si>
  <si>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10.1039/c8ta07992g</t>
  </si>
  <si>
    <t xml:space="preserve">{"power conversion efficiency": {"entity_name": "PCE", "entity_start": 121, "entity_end": 121, "property_value_start": 125, "property_value_end": 126, "property_numeric_value": 2.3,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</si>
  <si>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10.1016/j.orgel.2012.07.005</t>
  </si>
  <si>
    <t xml:space="preserve">{"power conversion efficiency": {"entity_name": "PCE", "entity_start": 93, "entity_end": 93, "property_value_start": 130, "property_value_end": 131, "property_numeric_value": 2.27,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</si>
  <si>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10.1039/c8ta10549a</t>
  </si>
  <si>
    <t xml:space="preserve">{"power conversion efficiency": {"entity_name": "PCE", "entity_start": 149, "entity_end": 149, "property_value_start": 156, "property_value_end": 157, "property_numeric_value": 13.67,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</si>
  <si>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"PCEs", "entity_start": 200, "entity_end": 200, "property_value_start": 206, "property_value_end": 207, "property_numeric_value": 11.86,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</si>
  <si>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10.1016/j.synthmet.2015.10.009</t>
  </si>
  <si>
    <t xml:space="preserve">{"power conversion efficiency": {"entity_name": "PCE", "entity_start": 205, "entity_end": 205, "property_value_start": 208, "property_value_end": 209, "property_numeric_value": 2.7, "property_unit": "%", "property_value_descriptor": ""}, "open circuit voltage": {"entity_name": "V_{oc}", "entity_start": 215, "entity_end": 217, "property_value_start": 219, "property_value_end": 220, "property_numeric_value": 0.83, "property_unit": "V", "property_value_descriptor": ""}, "short circuit current": {"entity_name": "J_{sc}", "entity_start": 226, "entity_end": 228, "property_value_start": 230, "property_value_end": 234, "property_numeric_value": 7.4, "property_unit": "mA/cm^{2}", "property_value_descriptor": ""}, "fill factor": {"entity_name": "FF", "entity_start": 239, "entity_end": 239, "property_value_start": 242, "property_value_end": 243, "property_numeric_value": 43.1,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</si>
  <si>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10.1039/c7tc01455d</t>
  </si>
  <si>
    <t xml:space="preserve">benzodithiophene-co-thieno[3,4-b]thiophene</t>
  </si>
  <si>
    <t xml:space="preserve">['benzodithiophene-co-thieno[3,4-b]thiophene', 'BDT-TT', 'PBDT-TT']</t>
  </si>
  <si>
    <t xml:space="preserve">{"power conversion efficiency": {"entity_name": "power conversion efficiency", "entity_start": 49, "entity_end": 51, "property_value_start": 54, "property_value_end": 55,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</si>
  <si>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10.1039/c6ta02622b</t>
  </si>
  <si>
    <t xml:space="preserve">{"power conversion efficiency": {"entity_name": "PCE", "entity_start": 185, "entity_end": 185, "property_value_start": 189, "property_value_end": 190, "property_numeric_value": 8.67, "property_unit": "%", "property_value_descriptor": ""}, "open circuit voltage": {"entity_name": "V_{oc}", "entity_start": 79, "entity_end": 81, "property_value_start": 91, "property_value_end": 92, "property_numeric_value": 0.85, "property_unit": "V", "property_value_descriptor": ""}, "short circuit current": {}, "fill factor": {}, "highest occupied molecular orbital": {"entity_name": "HOMO energy level", "entity_start": 65, "entity_end": 67, "property_value_start": 70, "property_value_end": 71, "property_numeric_value": -5.65, "property_unit": "eV", "property_value_descriptor": ""}, "lowest unoccupied molecular orbital": {}, "bandgap": {"entity_name": "band gap", "entity_start": 53, "entity_end": 54, "property_value_start": 57, "property_value_end": 58, "property_numeric_value": 1.75, "property_unit": "eV", "property_value_descriptor": ""}, "hole mobility": {}, "electron mobility": {}, "external quantum efficiency": {}}</t>
  </si>
  <si>
    <t xml:space="preserve">10.1016/j.orgel.2010.10.010</t>
  </si>
  <si>
    <t xml:space="preserve">{"power conversion efficiency": {"entity_name": "PCE", "entity_start": 176, "entity_end": 176, "property_value_start": 187, "property_value_end": 188, "property_numeric_value": 2.43,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</si>
  <si>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polyethylene terephthalate</t>
  </si>
  <si>
    <t xml:space="preserve">['polyethylene terephthalate', 'PET']</t>
  </si>
  <si>
    <t xml:space="preserve">{"power conversion efficiency": {"entity_name": "PCE", "entity_start": 201, "entity_end": 201, "property_value_start": 203, "property_value_end": 204, "property_numeric_value": 2.76,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</si>
  <si>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10.1002/pola.25998</t>
  </si>
  <si>
    <t xml:space="preserve">{"power conversion efficiency": {"entity_name": "PCE", "entity_start": 136, "entity_end": 136, "property_value_start": 138, "property_value_end": 139, "property_numeric_value": 0.93, "property_unit": "%", "property_value_descriptor": ""}, "open circuit voltage": {"entity_name": "open-circuit voltage", "entity_start": 118, "entity_end": 121, "property_value_start": 123, "property_value_end": 124, "property_numeric_value": 0.85, "property_unit": "V", "property_value_descriptor": ""}, "short circuit current": {"entity_name": "J_{SC}", "entity_start": 147, "entity_end": 149, "property_value_start": 151, "property_value_end": 154, "property_numeric_value": 4.88,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</si>
  <si>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10.1002/pola.26086</t>
  </si>
  <si>
    <t xml:space="preserve">PF-BTTQ</t>
  </si>
  <si>
    <t xml:space="preserve">['PF-BTTQ', 'PP-BTTQ']</t>
  </si>
  <si>
    <t xml:space="preserve">{"power conversion efficiency": {"entity_name": "power conversion efficiency", "entity_start": 139, "entity_end": 141, "property_value_start": 144, "property_value_end": 145, "property_numeric_value": 3.3,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</si>
  <si>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10.1038/pj.2013.13</t>
  </si>
  <si>
    <t xml:space="preserve">{"power conversion efficiency": {"entity_name": "power conversion efficiency", "entity_start": 107, "entity_end": 109, "property_value_start": 111, "property_value_end": 112, "property_numeric_value": 3.46,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</si>
  <si>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10.1002/pola.24311</t>
  </si>
  <si>
    <t xml:space="preserve">{"power conversion efficiency": {}, "open circuit voltage": {}, "short circuit current": {}, "fill factor": {}, "highest occupied molecular orbital": {}, "lowest unoccupied molecular orbital": {}, "bandgap": {"entity_name": "band gaps", "entity_start": 31, "entity_end": 32, "property_value_start": 34, "property_value_end": 35, "property_numeric_value": 1.5, "property_unit": "eV", "property_value_descriptor": "~"}, "hole mobility": {}, "electron mobility": {}, "external quantum efficiency": {}}</t>
  </si>
  <si>
    <t xml:space="preserve">PCDCN</t>
  </si>
  <si>
    <t xml:space="preserve">[*]c7ccc(N(c2ccc(/C=C/c1ccc(/C=C(C#N)/C#N)s1)cc2)c6ccc(c5ccc4c3ccc([*])cc3n(C(CCCCCCCC)CCCCCCCC)c4c5)cc6)cc7</t>
  </si>
  <si>
    <t xml:space="preserve">['PCDCN', 'PCDCN-']</t>
  </si>
  <si>
    <t xml:space="preserve">{"power conversion efficiency": {"entity_name": "power conversion efficiencies", "entity_start": 83, "entity_end": 85, "property_value_start": 104, "property_value_end": 105, "property_numeric_value": 2.47,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</si>
  <si>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10.1002/polb.23396</t>
  </si>
  <si>
    <t xml:space="preserve">PS-Mo6-PT2</t>
  </si>
  <si>
    <t xml:space="preserve">['PS-Mo6-PT2', 'PS-Mo6-PT1', 'PS-Mo6-PT1-3', 'PS-Mo6-PT3']</t>
  </si>
  <si>
    <t xml:space="preserve">{"power conversion efficiency": {"entity_name": "power conversion efficiencies", "entity_start": 58, "entity_end": 60, "property_value_start": 64, "property_value_end": 65, "property_numeric_value": 0.055,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</si>
  <si>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10.1002/adma.200600124</t>
  </si>
  <si>
    <t xml:space="preserve">{"power conversion efficiency": {"entity_name": "power-conversion efficiency", "entity_start": 58, "entity_end": 61, "property_value_start": 63, "property_value_end": 64, "property_numeric_value": 2.2,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</si>
  <si>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10.1016/j.cplett.2019.06.017</t>
  </si>
  <si>
    <t xml:space="preserve">DTFFQx-TS</t>
  </si>
  <si>
    <t xml:space="preserve">[*]c%11ccc(C9=C(OCCCCCCCC)C(OCCCCCCCC)=C(c6ccc(c5cc4c(c1ccc(SCC(CCCC)CCCCCC)s1)c2sc([*])cc2c(c3ccc(SCC(CCCC)CCCCCC)s3)c4s5)s6)C%10N=C(c7cc(F)cc(F)c7)C(c8cc(F)cc(F)c8)=NC9%10)s%11</t>
  </si>
  <si>
    <t xml:space="preserve">['DTFFQx-TS']</t>
  </si>
  <si>
    <t xml:space="preserve">{"power conversion efficiency": {"entity_name": "PCE", "entity_start": 60, "entity_end": 60, "property_value_start": 63, "property_value_end": 64, "property_numeric_value": 5.26, "property_unit": "%", "property_value_descriptor": ""}, "open circuit voltage": {"entity_name": "V_{oc}", "entity_start": 73, "entity_end": 75, "property_value_start": 77, "property_value_end": 78, "property_numeric_value": 0.99,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</si>
  <si>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10.1039/c6ta00612d</t>
  </si>
  <si>
    <t xml:space="preserve">{"power conversion efficiency": {"entity_name": "power conversion efficiency", "entity_start": 64, "entity_end": 66, "property_value_start": 68, "property_value_end": 69, "property_numeric_value": 6.5, "property_unit": "%", "property_value_descriptor": ""}, "open circuit voltage": {"entity_name": "open circuit voltage", "entity_start": 75, "entity_end": 77, "property_value_start": 79, "property_value_end": 80, "property_numeric_value": 0.94,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{"entity_name": "external quantum efficiency", "entity_start": 95, "entity_end": 97, "property_value_start": 101, "property_value_end": 102, "property_numeric_value": 63.0, "property_unit": "%", "property_value_descriptor": ""}}</t>
  </si>
  <si>
    <t xml:space="preserve">10.1021/mz5004272</t>
  </si>
  <si>
    <t xml:space="preserve">{"power conversion efficiency": {"entity_name": "Power conversion efficiency", "entity_start": 91, "entity_end": 93, "property_value_start": 97, "property_value_end": 98, "property_numeric_value": 2.59,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</si>
  <si>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10.1021/jp5036663</t>
  </si>
  <si>
    <t xml:space="preserve">{"power conversion efficiency": {"entity_name": "PCE", "entity_start": 88, "entity_end": 88, "property_value_start": 91, "property_value_end": 92, "property_numeric_value": 7.03, "property_unit": "%", "property_value_descriptor": ""}, "open circuit voltage": {}, "short circuit current": {}, "fill factor": {}, "highest occupied molecular orbital": {"entity_name": "HOMO", "entity_start": 174, "entity_end": 174, "property_value_start": 178, "property_value_end": 179, "property_numeric_value": 5.1, "property_unit": "eV", "property_value_descriptor": ""}, "lowest unoccupied molecular orbital": {}, "bandgap": {}, "hole mobility": {}, "electron mobility": {}, "external quantum efficiency": {}}</t>
  </si>
  <si>
    <t xml:space="preserve">poly(3,4-ethylene dioxythiophene)-(polystyrene sulfonic acid)</t>
  </si>
  <si>
    <t xml:space="preserve">['poly(3,4-ethylene dioxythiophene)-(polystyrene sulfonic acid)', 'PEDOT']</t>
  </si>
  <si>
    <t xml:space="preserve">{"power conversion efficiency": {"entity_name": "PCE", "entity_start": 88, "entity_end": 88, "property_value_start": 94, "property_value_end": 95, "property_numeric_value": 4.14,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</si>
  <si>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10.1021/acssuschemeng.8b00491</t>
  </si>
  <si>
    <t xml:space="preserve">{"power conversion efficiency": {"entity_name": "PCE", "entity_start": 82, "entity_end": 82, "property_value_start": 92, "property_value_end": 93, "property_numeric_value": 2.77,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</si>
  <si>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10.1002/adfm.201501971</t>
  </si>
  <si>
    <t xml:space="preserve">["poly[[4,8-bis[(2-ethylhexyl)oxy]benzo[1,2-b:4,5-b']dithiophene-2,6-diyl][3-fluoro-2-[(2-ethylhexyl)carbonyl]thieno[3,4-b]thiophenediyl]]", 'PTB7', 'PTB7-Th']</t>
  </si>
  <si>
    <t xml:space="preserve">{"power conversion efficiency": {"entity_name": "PCE", "entity_start": 198, "entity_end": 198, "property_value_start": 201, "property_value_end": 202, "property_numeric_value": 6.41,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</si>
  <si>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10.1021/ja408363c</t>
  </si>
  <si>
    <t xml:space="preserve">PFEN -</t>
  </si>
  <si>
    <t xml:space="preserve">['PFEN -']</t>
  </si>
  <si>
    <t xml:space="preserve">{"power conversion efficiency": {"entity_name": "power conversion efficiencies", "entity_start": 29, "entity_end": 31, "property_value_start": 33, "property_value_end": 34, "property_numeric_value": 9.0,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</si>
  <si>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10.1021/cm500953e</t>
  </si>
  <si>
    <t xml:space="preserve">polythienothiophene-co-benzodithiophene</t>
  </si>
  <si>
    <t xml:space="preserve">['polythienothiophene-co-benzodithiophene']</t>
  </si>
  <si>
    <t xml:space="preserve">{"power conversion efficiency": {"entity_name": "PCE", "entity_start": 60, "entity_end": 60, "property_value_start": 62, "property_value_end": 63, "property_numeric_value": 8.75,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</si>
  <si>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10.1021/acs.chemmater.6b02222</t>
  </si>
  <si>
    <t xml:space="preserve">['PNDI']</t>
  </si>
  <si>
    <t xml:space="preserve">{"power conversion efficiency": {"entity_name": "power conversion efficiency", "entity_start": 147, "entity_end": 149, "property_value_start": 151, "property_value_end": 152, "property_numeric_value": 7.1,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</si>
  <si>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10.1039/c9ta04611a</t>
  </si>
  <si>
    <t xml:space="preserve">PN1</t>
  </si>
  <si>
    <t xml:space="preserve">['PN1']</t>
  </si>
  <si>
    <t xml:space="preserve">{"power conversion efficiency": {"entity_name": "PCE", "entity_start": 162, "entity_end": 162, "property_value_start": 165, "property_value_end": 166, "property_numeric_value": 10.5, "property_unit": "%", "property_value_descriptor": ""}, "open circuit voltage": {"entity_name": "V_{oc}", "entity_start": 170, "entity_end": 171, "property_value_start": 173, "property_value_end": 174, "property_numeric_value": 1.0, "property_unit": "V", "property_value_descriptor": ""}, "short circuit current": {"entity_name": "J_{sc}", "entity_start": 183, "entity_end": 184, "property_value_start": 187, "property_value_end": 190, "property_numeric_value": 15.2, "property_unit": "mA cm^{-2}", "property_value_descriptor": ""}, "fill factor": {"entity_name": "FF", "entity_start": 197, "entity_end": 197, "property_value_start": 200, "property_value_end": 200, "property_numeric_value": 69.0, "property_unit": "%", "property_value_descriptor": ""}, "highest occupied molecular orbital": {}, "lowest unoccupied molecular orbital": {"entity_name": "LUMO", "entity_start": 115, "entity_end": 115, "property_value_start": 118, "property_value_end": 119, "property_numeric_value": -3.85, "property_unit": "eV", "property_value_descriptor": ""}, "bandgap": {}, "hole mobility": {}, "electron mobility": {"entity_name": "electron mobility", "entity_start": 82, "entity_end": 83, "property_value_start": 85, "property_value_end": 94, "property_numeric_value": 0.0009390000000000001, "property_unit": "cm^{2} V^{-1} s^{-1}", "property_value_descriptor": ""}, "external quantum efficiency": {}}</t>
  </si>
  <si>
    <t xml:space="preserve">10.1021/acs.chemmater.7b03495</t>
  </si>
  <si>
    <t xml:space="preserve">P_{D}P_{A}</t>
  </si>
  <si>
    <t xml:space="preserve">['P_{D}P_{A}']</t>
  </si>
  <si>
    <t xml:space="preserve">{"power conversion efficiency": {"entity_name": "PCEs", "entity_start": 192, "entity_end": 192, "property_value_start": 217, "property_value_end": 218, "property_numeric_value": 5.32,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</si>
  <si>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['poly(benzo[1,2-b:4,5-b]-dithiophene-thieno[3,4-c]pyrrole-4,6-dione)', 'PBDTTPD', 'PBDT-TPD', 'PBDTT-TPD']</t>
  </si>
  <si>
    <t xml:space="preserve">{"power conversion efficiency": {"entity_name": "PCEs", "entity_start": 192, "entity_end": 192, "property_value_start": 225, "property_value_end": 226, "property_numeric_value": 6.6,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</si>
  <si>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10.1016/j.orgel.2016.03.004</t>
  </si>
  <si>
    <t xml:space="preserve">polyethylenimine</t>
  </si>
  <si>
    <t xml:space="preserve">[*]CCN[*]</t>
  </si>
  <si>
    <t xml:space="preserve">['polyethylenimine']</t>
  </si>
  <si>
    <t xml:space="preserve">{"power conversion efficiency": {"entity_name": "power conversion efficiencies", "entity_start": 34, "entity_end": 36, "property_value_start": 42, "property_value_end": 43, "property_numeric_value": 7.56,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</si>
  <si>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10.1021/acsami.8b01147</t>
  </si>
  <si>
    <t xml:space="preserve">perylene diimide</t>
  </si>
  <si>
    <t xml:space="preserve">['perylene diimide']</t>
  </si>
  <si>
    <t xml:space="preserve">{"power conversion efficiency": {"entity_name": "PCE", "entity_start": 100, "entity_end": 100, "property_value_start": 103, "property_value_end": 104, "property_numeric_value": 11.23,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</si>
  <si>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PDI-z</t>
  </si>
  <si>
    <t xml:space="preserve">['PDI-z']</t>
  </si>
  <si>
    <t xml:space="preserve">{"power conversion efficiency": {"entity_name": "PCE", "entity_start": 174, "entity_end": 174, "property_value_start": 176, "property_value_end": 177, "property_numeric_value": 9.38,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</si>
  <si>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10.1016/j.orgel.2016.03.032</t>
  </si>
  <si>
    <t xml:space="preserve">BDT-Qx-T</t>
  </si>
  <si>
    <t xml:space="preserve">['BDT-Qx-T']</t>
  </si>
  <si>
    <t xml:space="preserve">{"power conversion efficiency": {"entity_name": "PCE", "entity_start": 141, "entity_end": 141, "property_value_start": 143, "property_value_end": 144, "property_numeric_value": 5.35,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</si>
  <si>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10.1002/adma.201305092</t>
  </si>
  <si>
    <t xml:space="preserve">FBT-Th4(1,4)</t>
  </si>
  <si>
    <t xml:space="preserve">['FBT-Th4(1,4)']</t>
  </si>
  <si>
    <t xml:space="preserve">{"power conversion efficiency": {"entity_name": "PCEs", "entity_start": 67, "entity_end": 67, "property_value_start": 69, "property_value_end": 70, "property_numeric_value": 6.5, "property_unit": "%", "property_value_descriptor": ""}, "open circuit voltage": {}, "short circuit current": {}, "fill factor": {}, "highest occupied molecular orbital": {"entity_name": "HOMO", "entity_start": 24, "entity_end": 24, "property_value_start": 26, "property_value_end": 27, "property_numeric_value": -5.36, "property_unit": "eV", "property_value_descriptor": ""}, "lowest unoccupied molecular orbital": {}, "bandgap": {"entity_name": "E_{g}", "entity_start": 17, "entity_end": 18, "property_value_start": 20, "property_value_end": 21, "property_numeric_value": 1.62, "property_unit": "eV", "property_value_descriptor": ""}, "hole mobility": {}, "electron mobility": {}, "external quantum efficiency": {}}</t>
  </si>
  <si>
    <t xml:space="preserve">10.1016/j.cap.2009.06.021</t>
  </si>
  <si>
    <t xml:space="preserve">{"power conversion efficiency": {"entity_name": "power conversion efficiency", "entity_start": 81, "entity_end": 83, "property_value_start": 85, "property_value_end": 86, "property_numeric_value": 3.8, "property_unit": "%", "property_value_descriptor": ""}, "open circuit voltage": {}, "short circuit current": {"entity_name": "short-circuit currents", "entity_start": 88, "entity_end": 91, "property_value_start": 93, "property_value_end": 96, "property_numeric_value": -9.9,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</si>
  <si>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10.1002/macp.200900641</t>
  </si>
  <si>
    <t xml:space="preserve">{"power conversion efficiency": {"entity_name": "power conversion efficiencies", "entity_start": 32, "entity_end": 34, "property_value_start": 62, "property_value_end": 63, "property_numeric_value": 0.56,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</si>
  <si>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10.1016/j.tsf.2016.01.026</t>
  </si>
  <si>
    <t xml:space="preserve">{"power conversion efficiency": {"entity_name": "power conversion efficiency", "entity_start": 135, "entity_end": 137, "property_value_start": 139, "property_value_end": 140, "property_numeric_value": 9.1,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</si>
  <si>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10.1007/s10854-016-5061-9</t>
  </si>
  <si>
    <t xml:space="preserve">poly{4-(5-(4,8-bis(dodecyloxy)-6-methylbenzo[1,2-b:4,5-b']-dithiophen-2-yl) -4-dodecylthiophen-2-yl)-2-dodecyl-7-(4-dodecyl-5-methylthiophen-2-yl)-2H-benzo[d] triazole}</t>
  </si>
  <si>
    <t xml:space="preserve">CCCCCCCCCCCCOc6c5cc(c4sc(c2ccc(c1cc(CCCCCCCCCCCC)c([*])s1)c3nn(CCCCCCCCCCCC)nc23)cc4CCCCCCCCCCCC)sc5c(OCCCCCCCCCCCC)c7cc([*])sc67</t>
  </si>
  <si>
    <t xml:space="preserve">["poly{4-(5-(4,8-bis(dodecyloxy)-6-methylbenzo[1,2-b:4,5-b']-dithiophen-2-yl) -4-dodecylthiophen-2-yl)-2-dodecyl-7-(4-dodecyl-5-methylthiophen-2-yl)-2H-benzo[d] triazole}", 'P1', 'P2']</t>
  </si>
  <si>
    <t xml:space="preserve">{"power conversion efficiency": {"entity_name": "PCE", "entity_start": 157, "entity_end": 157, "property_value_start": 159, "property_value_end": 160, "property_numeric_value": 2.9,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</si>
  <si>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10.1007/s10854-016-5132-y</t>
  </si>
  <si>
    <t xml:space="preserve">{"power conversion efficiency": {"entity_name": "power conversion efficiency", "entity_start": 164, "entity_end": 166, "property_value_start": 168, "property_value_end": 169, "property_numeric_value": 0.27,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</si>
  <si>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10.1039/c7cp01326d</t>
  </si>
  <si>
    <t xml:space="preserve">poly(9,9-dihexylfluorenyl-2,7-diyl)</t>
  </si>
  <si>
    <t xml:space="preserve">[*]c3ccc2c1ccc([*])cc1C(CCCCCC)(CCCCCC)c2c3.CC</t>
  </si>
  <si>
    <t xml:space="preserve">['poly(9,9-dihexylfluorenyl-2,7-diyl)', 'PDF']</t>
  </si>
  <si>
    <t xml:space="preserve">{"power conversion efficiency": {"entity_name": "PCE", "entity_start": 128, "entity_end": 128, "property_value_start": 135, "property_value_end": 136, "property_numeric_value": 7.97,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</si>
  <si>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10.1016/j.orgel.2018.11.040</t>
  </si>
  <si>
    <t xml:space="preserve">{"power conversion efficiency": {"entity_name": "PCE", "entity_start": 135, "entity_end": 135, "property_value_start": 137, "property_value_end": 138, "property_numeric_value": 6.9, "property_unit": "%", "property_value_descriptor": ""}, "open circuit voltage": {}, "short circuit current": {}, "fill factor": {"entity_name": "FF", "entity_start": 141, "entity_end": 141, "property_value_start": 144, "property_value_end": 145, "property_numeric_value": 56.0,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</si>
  <si>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10.1002/aenm.201100441</t>
  </si>
  <si>
    <t xml:space="preserve">{"power conversion efficiency": {}, "open circuit voltage": {}, "short circuit current": {}, "fill factor": {}, "highest occupied molecular orbital": {}, "lowest unoccupied molecular orbital": {}, "bandgap": {"entity_name": "bandgap", "entity_start": 26, "entity_end": 26, "property_value_start": 28, "property_value_end": 29, "property_numeric_value": 1.3, "property_unit": "eV", "property_value_descriptor": ""}, "hole mobility": {}, "electron mobility": {}, "external quantum efficiency": {}}</t>
  </si>
  <si>
    <t xml:space="preserve">{"power conversion efficiency": {"entity_name": "power conversion efficiency", "entity_start": 44, "entity_end": 46, "property_value_start": 48, "property_value_end": 49, "property_numeric_value": 0.46,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</si>
  <si>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10.1039/c0cc03036h</t>
  </si>
  <si>
    <t xml:space="preserve">PCDTTz</t>
  </si>
  <si>
    <t xml:space="preserve">['PCDTTz']</t>
  </si>
  <si>
    <t xml:space="preserve">{"power conversion efficiency": {"entity_name": "power conversion efficiency", "entity_start": 53, "entity_end": 55, "property_value_start": 57, "property_value_end": 58, "property_numeric_value": 4.88,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</si>
  <si>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10.1016/j.jallcom.2018.11.040</t>
  </si>
  <si>
    <t xml:space="preserve">{"power conversion efficiency": {"entity_name": "PCE", "entity_start": 167, "entity_end": 167, "property_value_start": 169, "property_value_end": 170, "property_numeric_value": 7.87,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</si>
  <si>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10.1039/b602084d</t>
  </si>
  <si>
    <t xml:space="preserve">{"power conversion efficiency": {"entity_name": "power conversion efficiencies", "entity_start": 179, "entity_end": 181, "property_value_start": 185, "property_value_end": 186, "property_numeric_value": 0.2,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</si>
  <si>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10.1002/adma.201203246</t>
  </si>
  <si>
    <t xml:space="preserve">PIDTT</t>
  </si>
  <si>
    <t xml:space="preserve">['PIDTT', 'DFBT']</t>
  </si>
  <si>
    <t xml:space="preserve">{"power conversion efficiency": {"entity_name": "power conversion efficiency", "entity_start": 63, "entity_end": 65, "property_value_start": 67, "property_value_end": 68, "property_numeric_value": 7.03, "property_unit": "%", "property_value_descriptor": ""}, "open circuit voltage": {"entity_name": "open-circuit voltage", "entity_start": 72, "entity_end": 75, "property_value_start": 77, "property_value_end": 78, "property_numeric_value": 0.95,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</si>
  <si>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10.1021/nl202435t</t>
  </si>
  <si>
    <t xml:space="preserve">{"power conversion efficiency": {"entity_name": "power conversion efficiency", "entity_start": 100, "entity_end": 102, "property_value_start": 104, "property_value_end": 105, "property_numeric_value": 4.1,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</si>
  <si>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10.1016/j.synthmet.2018.03.011</t>
  </si>
  <si>
    <t xml:space="preserve">PTB7-Th:2CIC</t>
  </si>
  <si>
    <t xml:space="preserve">['PTB7-Th:2CIC', 'PTB7-Th:1CIC']</t>
  </si>
  <si>
    <t xml:space="preserve">{"power conversion efficiency": {"entity_name": "PCE", "entity_start": 97, "entity_end": 97, "property_value_start": 99, "property_value_end": 100, "property_numeric_value": 0.26, "property_unit": "%", "property_value_descriptor": ""}, "open circuit voltage": {"entity_name": "V_{oc}", "entity_start": 68, "entity_end": 69, "property_value_start": 72, "property_value_end": 73, "property_numeric_value": 0.75, "property_unit": "V", "property_value_descriptor": ""}, "short circuit current": {"entity_name": "J_{sc}", "entity_start": 81, "entity_end": 82, "property_value_start": 85, "property_value_end": 88, "property_numeric_value": 10.97,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</si>
  <si>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10.1002/marc.201700405</t>
  </si>
  <si>
    <t xml:space="preserve">TriPDI</t>
  </si>
  <si>
    <t xml:space="preserve">['TriPDI', 'TriPDI-Se', 'Se', 'S']</t>
  </si>
  <si>
    <t xml:space="preserve">{"power conversion efficiency": {"entity_name": "power conversion efficiency", "entity_start": 177, "entity_end": 179, "property_value_start": 192, "property_value_end": 193, "property_numeric_value": 8.82, "property_unit": "%", "property_value_descriptor": ""}, "open circuit voltage": {"entity_name": "V_{oc}", "entity_start": 154, "entity_end": 155, "property_value_start": 157, "property_value_end": 158, "property_numeric_value": 0.74, "property_unit": "V", "property_value_descriptor": ""}, "short circuit current": {"entity_name": "J_{sc}", "entity_start": 109, "entity_end": 110, "property_value_start": 112, "property_value_end": 115, "property_numeric_value": 16.71, "property_unit": "mA cm^{-2}", "property_value_descriptor": ""}, "fill factor": {"entity_name": "FF", "entity_start": 117, "entity_end": 117, "property_value_start": 119, "property_value_end": 120, "property_numeric_value": 63.6,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</si>
  <si>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10.1002/adfm.200400416</t>
  </si>
  <si>
    <t xml:space="preserve">{"power conversion efficiency": {"entity_name": "power conversion efficiency", "entity_start": 90, "entity_end": 92, "property_value_start": 94, "property_value_end": 95, "property_numeric_value": 0.9,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</si>
  <si>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10.1016/j.jiec.2019.01.024</t>
  </si>
  <si>
    <t xml:space="preserve">{"power conversion efficiency": {"entity_name": "PCE", "entity_start": 159, "entity_end": 159, "property_value_start": 161, "property_value_end": 162, "property_numeric_value": 4.54, "property_unit": "%", "property_value_descriptor": ""}, "open circuit voltage": {"entity_name": "open-circuit voltage", "entity_start": 187, "entity_end": 190, "property_value_start": 192, "property_value_end": 193, "property_numeric_value": 0.92, "property_unit": "V", "property_value_descriptor": ""}, "short circuit current": {"entity_name": "short circuit current density", "entity_start": 175, "entity_end": 178, "property_value_start": 180, "property_value_end": 184, "property_numeric_value": 9.3, "property_unit": "mA/cm^{2}", "property_value_descriptor": ""}, "fill factor": {"entity_name": "fill factor", "entity_start": 197, "entity_end": 198, "property_value_start": 213, "property_value_end": 214, "property_numeric_value": 2.83,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</si>
  <si>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10.1002/adma.201305500</t>
  </si>
  <si>
    <t xml:space="preserve">PWTV</t>
  </si>
  <si>
    <t xml:space="preserve">['PWTV']</t>
  </si>
  <si>
    <t xml:space="preserve">{"power conversion efficiency": {"entity_name": "power conversion efficiency", "entity_start": 52, "entity_end": 54, "property_value_start": 56, "property_value_end": 57, "property_numeric_value": 4.1,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</si>
  <si>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10.1021/am500891z</t>
  </si>
  <si>
    <t xml:space="preserve">['PCDTBT', 'PCDTFBT', 'PCDT2FBT']</t>
  </si>
  <si>
    <t xml:space="preserve">{"power conversion efficiency": {"entity_name": "PCE", "entity_start": 277, "entity_end": 277, "property_value_start": 279, "property_value_end": 280, "property_numeric_value": 2.07, "property_unit": "%", "property_value_descriptor": ""}, "open circuit voltage": {"entity_name": "V_{OC}", "entity_start": 285, "entity_end": 286, "property_value_start": 288, "property_value_end": 289, "property_numeric_value": 0.88,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</si>
  <si>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10.1021/acs.chemmater.6b03292</t>
  </si>
  <si>
    <t xml:space="preserve">{"power conversion efficiency": {"entity_name": "PCE", "entity_start": 246, "entity_end": 246, "property_value_start": 251, "property_value_end": 252, "property_numeric_value": 7.55,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</si>
  <si>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10.1021/acs.chemmater.6b04862</t>
  </si>
  <si>
    <t xml:space="preserve">{"power conversion efficiency": {"entity_name": "PCE", "entity_start": 60, "entity_end": 60, "property_value_start": 63, "property_value_end": 64, "property_numeric_value": 5.6,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</si>
  <si>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10.1021/acs.chemmater.5b03256</t>
  </si>
  <si>
    <t xml:space="preserve">4,4'-didodecyl-2,2'-bithiophene</t>
  </si>
  <si>
    <t xml:space="preserve">{"power conversion efficiency": {"entity_name": "power conversion efficiency", "entity_start": 185, "entity_end": 187, "property_value_start": 189, "property_value_end": 190, "property_numeric_value": 5.06,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</si>
  <si>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10.1021/acs.chemmater.7b00964</t>
  </si>
  <si>
    <t xml:space="preserve">['Perylenediimide', 'PDI']</t>
  </si>
  <si>
    <t xml:space="preserve">{"power conversion efficiency": {"entity_name": "PCEs", "entity_start": 221, "entity_end": 221, "property_value_start": 223, "property_value_end": 224, "property_numeric_value": 5.0,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</si>
  <si>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10.1002/adma.201303391</t>
  </si>
  <si>
    <t xml:space="preserve">{"power conversion efficiency": {"entity_name": "power conversion efficiencies", "entity_start": 239, "entity_end": 241, "property_value_start": 243, "property_value_end": 244,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</si>
  <si>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10.1021/am5021759</t>
  </si>
  <si>
    <t xml:space="preserve">P3HT)-base</t>
  </si>
  <si>
    <t xml:space="preserve">{"power conversion efficiency": {"entity_name": "Power conversion efficiencies", "entity_start": 92, "entity_end": 94, "property_value_start": 97, "property_value_end": 98, "property_numeric_value": 4.6,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</si>
  <si>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10.1021/acs.chemmater.7b01052</t>
  </si>
  <si>
    <t xml:space="preserve">3,3'-dialkynyl-2,2'-bithiophene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</si>
  <si>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226, "entity_end": 227, "property_value_start": 228, "property_value_end": 234, "property_numeric_value": 0.01, "property_unit": "cm^{2} V^{-1} s^{-1}", "property_value_descriptor": "~"}, "electron mobility": {"entity_name": "electron mobility", "entity_start": 215, "entity_end": 216, "property_value_start": 218, "property_value_end": 224, "property_numeric_value": 0.05, "property_unit": "cm^{2} V^{-1} s^{-1}", "property_value_descriptor": ""}, "external quantum efficiency": {}}</t>
  </si>
  <si>
    <t xml:space="preserve">10.1002/aenm.201800550</t>
  </si>
  <si>
    <t xml:space="preserve">{"power conversion efficiency": {"entity_name": "PCE", "entity_start": 207, "entity_end": 207, "property_value_start": 209, "property_value_end": 210, "property_numeric_value": 9.6,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</si>
  <si>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10.1016/j.solener.2019.07.095</t>
  </si>
  <si>
    <t xml:space="preserve">{"power conversion efficiency": {"entity_name": "PCE", "entity_start": 96, "entity_end": 96, "property_value_start": 99, "property_value_end": 100,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</si>
  <si>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108, "entity_end": 108, "property_value_start": 110, "property_value_end": 111, "property_numeric_value": 3.76,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</si>
  <si>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10.1021/acsami.6b12389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</si>
  <si>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164, "entity_end": 165, "property_value_start": 169, "property_value_end": 178, "property_numeric_value": 0.0006780000000000001, "property_unit": "cm^{2} V^{-1} s^{-1}", "property_value_descriptor": ""}, "electron mobility": {}, "external quantum efficiency": {}}</t>
  </si>
  <si>
    <t xml:space="preserve">['PSS', 'poly(3,4-ethylenedioxythiophene)']</t>
  </si>
  <si>
    <t xml:space="preserve">{"power conversion efficiency": {"entity_name": "power conversion efficiency", "entity_start": 226, "entity_end": 228, "property_value_start": 233, "property_value_end": 234, "property_numeric_value": 9.28, "property_unit": "%", "property_value_descriptor": ""}, "open circuit voltage": {}, "short circuit current": {"entity_name": "short-circuit current-density", "entity_start": 205, "entity_end": 210, "property_value_start": 214, "property_value_end": 217, "property_numeric_value": 16.48,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</si>
  <si>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10.1038/nmat1500</t>
  </si>
  <si>
    <t xml:space="preserve">{"power conversion efficiency": {"entity_name": "power-conversion efficiency", "entity_start": 116, "entity_end": 119, "property_value_start": 121, "property_value_end": 122, "property_numeric_value": 4.4,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</si>
  <si>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10.1016/j.tsf.2012.06.036</t>
  </si>
  <si>
    <t xml:space="preserve">poly(3-hexylthiophene)-b-poly(zinc dimethacrylate)</t>
  </si>
  <si>
    <t xml:space="preserve">['poly(3-hexylthiophene)-b-poly(zinc dimethacrylate)', 'P3HT-b-PZn(MA) 2']</t>
  </si>
  <si>
    <t xml:space="preserve">{"power conversion efficiency": {"entity_name": "power conversion efficiency", "entity_start": 198, "entity_end": 200, "property_value_start": 202, "property_value_end": 203, "property_numeric_value": 0.45,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</si>
  <si>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10.1016/j.orgel.2015.07.047</t>
  </si>
  <si>
    <t xml:space="preserve">{"power conversion efficiency": {"entity_name": "PCE", "entity_start": 125, "entity_end": 125, "property_value_start": 127, "property_value_end": 128, "property_numeric_value": 1.1,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</si>
  <si>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10.1016/j.cap.2015.07.027</t>
  </si>
  <si>
    <t xml:space="preserve">{"power conversion efficiency": {"entity_name": "PCE", "entity_start": 162, "entity_end": 162, "property_value_start": 164, "property_value_end": 165, "property_numeric_value": 4.26, "property_unit": "%", "property_value_descriptor": ""}, "open circuit voltage": {"entity_name": "V_{oc}", "entity_start": 142, "entity_end": 143, "property_value_start": 145, "property_value_end": 146, "property_numeric_value": 0.63, "property_unit": "V", "property_value_descriptor": ""}, "short circuit current": {"entity_name": "J_{sc}", "entity_start": 148, "entity_end": 149, "property_value_start": 151, "property_value_end": 155, "property_numeric_value": 12.52, "property_unit": "mA/cm^{2}", "property_value_descriptor": ""}, "fill factor": {"entity_name": "FF", "entity_start": 157, "entity_end": 157, "property_value_start": 159, "property_value_end": 160, "property_numeric_value": 54.0,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</si>
  <si>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10.1016/j.polymer.2015.08.003</t>
  </si>
  <si>
    <t xml:space="preserve">P4TI</t>
  </si>
  <si>
    <t xml:space="preserve">['P4TI']</t>
  </si>
  <si>
    <t xml:space="preserve">{"power conversion efficiency": {"entity_name": "PCE", "entity_start": 176, "entity_end": 176, "property_value_start": 179, "property_value_end": 180, "property_numeric_value": 3.5, "property_unit": "%", "property_value_descriptor": ""}, "open circuit voltage": {"entity_name": "open-circuit voltage", "entity_start": 197, "entity_end": 200, "property_value_start": 202, "property_value_end": 203, "property_numeric_value": 0.7, "property_unit": "V", "property_value_descriptor": ""}, "short circuit current": {"entity_name": "short-circuit current density", "entity_start": 184, "entity_end": 188, "property_value_start": 190, "property_value_end": 194, "property_numeric_value": 7.2, "property_unit": "mA/cm^{2}", "property_value_descriptor": ""}, "fill factor": {"entity_name": "fill factor", "entity_start": 207, "entity_end": 208, "property_value_start": 210, "property_value_end": 211, "property_numeric_value": 66.0,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</si>
  <si>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10.1016/j.orgel.2016.02.021</t>
  </si>
  <si>
    <t xml:space="preserve">PIDT-DTQ</t>
  </si>
  <si>
    <t xml:space="preserve">CCCCCCCCOc%20cccc(c%18nc%17c([*])ccc(c%16ccc(c%14ccc(c%11ccc(c1cc3c(s1)c2cc8c(cc2C3(c4ccc(CCCCCC)cc4)c5ccc(CCCCCC)cc5)c7sc(c6ccc([*])s6)cc7C8(c9ccc(CCCCCC)cc9)c%10ccc(CCCCCC)cc%10)s%11)c%15nc(c%12cccc(OCCCCCCCC)c%12)c(c%13cccc(OCCCCCCCC)c%13)nc%14%15)s%16)c%17nc%18c%19cccc(OCCCCCCCC)c%19)c%20</t>
  </si>
  <si>
    <t xml:space="preserve">['PIDT-DTQ']</t>
  </si>
  <si>
    <t xml:space="preserve">{"power conversion efficiency": {"entity_name": "PCE", "entity_start": 225, "entity_end": 225, "property_value_start": 228, "property_value_end": 229, "property_numeric_value": 6.41, "property_unit": "%", "property_value_descriptor": ""}, "open circuit voltage": {"entity_name": "V_{oc}", "entity_start": 201, "entity_end": 202, "property_value_start": 204, "property_value_end": 205, "property_numeric_value": 0.86, "property_unit": "V", "property_value_descriptor": ""}, "short circuit current": {"entity_name": "J_{sc}", "entity_start": 192, "entity_end": 193, "property_value_start": 195, "property_value_end": 199, "property_numeric_value": 11.42, "property_unit": "mA/cm^{2}", "property_value_descriptor": ""}, "fill factor": {"entity_name": "FF", "entity_start": 207, "entity_end": 207, "property_value_start": 209, "property_value_end": 210, "property_numeric_value": 65.77,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</si>
  <si>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10.1002/pola.28079</t>
  </si>
  <si>
    <t xml:space="preserve">PDBTPO</t>
  </si>
  <si>
    <t xml:space="preserve">['PDBTPO']</t>
  </si>
  <si>
    <t xml:space="preserve">{"power conversion efficiency": {"entity_name": "power conversion efficiency", "entity_start": 140, "entity_end": 142, "property_value_start": 144, "property_value_end": 145, "property_numeric_value": 3.77, "property_unit": "%", "property_value_descriptor": ""}, "open circuit voltage": {}, "short circuit current": {}, "fill factor": {}, "highest occupied molecular orbital": {}, "lowest unoccupied molecular orbital": {}, "bandgap": {"entity_name": "optical bandgap", "entity_start": 78, "entity_end": 79, "property_value_start": 81, "property_value_end": 82, "property_numeric_value": 1.9, "property_unit": "eV", "property_value_descriptor": ""}, "hole mobility": {}, "electron mobility": {}, "external quantum efficiency": {}}</t>
  </si>
  <si>
    <t xml:space="preserve">PDBTPN</t>
  </si>
  <si>
    <t xml:space="preserve">['PDBTPN']</t>
  </si>
  <si>
    <t xml:space="preserve">{"power conversion efficiency": {}, "open circuit voltage": {"entity_name": "open-circuit voltage", "entity_start": 123, "entity_end": 126, "property_value_start": 129, "property_value_end": 130, "property_numeric_value": 0.9, "property_unit": "V", "property_value_descriptor": ""}, "short circuit current": {}, "fill factor": {}, "highest occupied molecular orbital": {"entity_name": "highest occupied molecular orbital levels", "entity_start": 102, "entity_end": 106, "property_value_start": 109, "property_value_end": 110, "property_numeric_value": -5.7, "property_unit": "eV", "property_value_descriptor": ""}, "lowest unoccupied molecular orbital": {}, "bandgap": {}, "hole mobility": {}, "electron mobility": {}, "external quantum efficiency": {}}</t>
  </si>
  <si>
    <t xml:space="preserve">10.1039/c6ra03251f</t>
  </si>
  <si>
    <t xml:space="preserve">P11</t>
  </si>
  <si>
    <t xml:space="preserve">['P11']</t>
  </si>
  <si>
    <t xml:space="preserve">{"power conversion efficiency": {"entity_name": "power conversion efficiencies", "entity_start": 130, "entity_end": 132, "property_value_start": 135, "property_value_end": 136, "property_numeric_value": 0.31,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</si>
  <si>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10.1016/j.orgel.2016.08.008</t>
  </si>
  <si>
    <t xml:space="preserve">PHBCDPPDT</t>
  </si>
  <si>
    <t xml:space="preserve">['PHBCDPPDT']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</si>
  <si>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"field-effect hole mobilities", "entity_start": 212, "entity_end": 216, "property_value_start": 233, "property_value_end": 242, "property_numeric_value": 0.0086, "property_unit": "cm^{2} V^{-1} s^{-1}", "property_value_descriptor": ""}, "electron mobility": {}, "external quantum efficiency": {}}</t>
  </si>
  <si>
    <t xml:space="preserve">PHBCDPPC20</t>
  </si>
  <si>
    <t xml:space="preserve">['PHBCDPPC20']</t>
  </si>
  <si>
    <t xml:space="preserve">{"power conversion efficiency": {"entity_name": "PCEs", "entity_start": 254, "entity_end": 254, "property_value_start": 265, "property_value_end": 266, "property_numeric_value": 2.74,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</si>
  <si>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10.1016/j.orgel.2016.08.028</t>
  </si>
  <si>
    <t xml:space="preserve">P(BDTT-PDBT)</t>
  </si>
  <si>
    <t xml:space="preserve">CCCCCCCCCCC(CCCCCCCC)Cn%17c(=O)c%16c(c1ccc([*])s1)n(CCCCCCCC)c(c%15ccc(c%14ccc(c%12ccc(c%11ccc(c%10ccc(c9c2c(=O)n(CC(CCCCCCCC)CCCCCCCCCC)c(=O)c2c(c8ccc(c7cc6c(c3ccc(CC(CC)CCCC)s3)c4sc([*])cc4c(c5ccc(CC(CC)CCCC)s5)c6s7)s8)n9CCCCCCCC)s%10)s%11)c%13nsnc%12%13)s%14)s%15)c%16c%17=O</t>
  </si>
  <si>
    <t xml:space="preserve">['P(BDTT-PDBT)']</t>
  </si>
  <si>
    <t xml:space="preserve">{"power conversion efficiency": {"entity_name": "PCE", "entity_start": 155, "entity_end": 155, "property_value_start": 158, "property_value_end": 159, "property_numeric_value": 5.73, "property_unit": "%", "property_value_descriptor": ""}, "open circuit voltage": {"entity_name": "V oc", "entity_start": 167, "entity_end": 168, "property_value_start": 171, "property_value_end": 172, "property_numeric_value": 0.9, "property_unit": "V", "property_value_descriptor": ""}, "short circuit current": {"entity_name": "J sc", "entity_start": 180, "entity_end": 181, "property_value_start": 184, "property_value_end": 188, "property_numeric_value": 9.73, "property_unit": "mA/cm^{2}", "property_value_descriptor": ""}, "fill factor": {"entity_name": "FF", "entity_start": 195, "entity_end": 195, "property_value_start": 198, "property_value_end": 198, "property_numeric_value": 66.0, "property_unit": "%", "property_value_descriptor": ""}, "highest occupied molecular orbital": {}, "lowest unoccupied molecular orbital": {}, "bandgap": {}, "hole mobility": {"entity_name": "hole mobility", "entity_start": 117, "entity_end": 118, "property_value_start": 120, "property_value_end": 128, "property_numeric_value": 0.0032, "property_unit": "cm^{2} V^{-1} s^{-1}", "property_value_descriptor": ""}, "electron mobility": {}, "external quantum efficiency": {}}</t>
  </si>
  <si>
    <t xml:space="preserve">PDBT</t>
  </si>
  <si>
    <t xml:space="preserve">['PDBT']</t>
  </si>
  <si>
    <t xml:space="preserve">{"power conversion efficiency": {"entity_name": "PCE", "entity_start": 213, "entity_end": 213, "property_value_start": 215, "property_value_end": 216, "property_numeric_value": 4.84, "property_unit": "%", "property_value_descriptor": ""}, "open circuit voltage": {"entity_name": "V_{oc}", "entity_start": 218, "entity_end": 219, "property_value_start": 221, "property_value_end": 222, "property_numeric_value": 0.92, "property_unit": "V", "property_value_descriptor": ""}, "short circuit current": {"entity_name": "J_{sc}", "entity_start": 224, "entity_end": 225, "property_value_start": 227, "property_value_end": 231, "property_numeric_value": 8.08, "property_unit": "mA/cm^{2}", "property_value_descriptor": ""}, "fill factor": {"entity_name": "FF", "entity_start": 234, "entity_end": 234, "property_value_start": 236, "property_value_end": 236, "property_numeric_value": 65.0,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</si>
  <si>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10.1039/c2ra21193a</t>
  </si>
  <si>
    <t xml:space="preserve">['6]-phenyl-C61-butyric acid methyl ester', 'PCBM']</t>
  </si>
  <si>
    <t xml:space="preserve">{"power conversion efficiency": {"entity_name": "PCE", "entity_start": 254, "entity_end": 254, "property_value_start": 260, "property_value_end": 261, "property_numeric_value": 1.84,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</si>
  <si>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10.1039/c2jm33466f</t>
  </si>
  <si>
    <t xml:space="preserve">{"power conversion efficiency": {"entity_name": "PCEs", "entity_start": 158, "entity_end": 158, "property_value_start": 167, "property_value_end": 170, "property_numeric_value": 4.46,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</si>
  <si>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poly[4,8-bis(triisopropylsilylethynyl)benzo[1,2-b:4,5-b']dithiophene-2,6-diyl-alt-[4,6-{(1-thieno[3,4-b]thiophen-2-yl)-2-ethylhexan-1-one}]</t>
  </si>
  <si>
    <t xml:space="preserve">["poly[4,8-bis(triisopropylsilylethynyl)benzo[1,2-b:4,5-b']dithiophene-2,6-diyl-alt-[4,6-{(1-thieno[3,4-b]thiophen-2-yl)-2-ethylhexan-1-one}]", 'P2', 'P1']</t>
  </si>
  <si>
    <t xml:space="preserve">{"power conversion efficiency": {}, "open circuit voltage": {"entity_name": "V_{oc}", "entity_start": 195, "entity_end": 196, "property_value_start": 199, "property_value_end": 200, "property_numeric_value": 0.82, "property_unit": "V", "property_value_descriptor": ""}, "short circuit current": {"entity_name": "J_{sc}", "entity_start": 209, "entity_end": 210, "property_value_start": 213, "property_value_end": 216, "property_numeric_value": 12.75,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</si>
  <si>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10.1016/j.solener.2018.08.036</t>
  </si>
  <si>
    <t xml:space="preserve">{"power conversion efficiency": {"entity_name": "PCE", "entity_start": 137, "entity_end": 137, "property_value_start": 139, "property_value_end": 140, "property_numeric_value": 6.8, "property_unit": "%", "property_value_descriptor": ""}, "open circuit voltage": {"entity_name": "V_{OC}", "entity_start": 145, "entity_end": 146, "property_value_start": 148, "property_value_end": 149, "property_numeric_value": 0.77, "property_unit": "V", "property_value_descriptor": ""}, "short circuit current": {"entity_name": "J_{SC}", "entity_start": 152, "entity_end": 153, "property_value_start": 155, "property_value_end": 158, "property_numeric_value": 13.67, "property_unit": "mA cm^{-2}", "property_value_descriptor": ""}, "fill factor": {"entity_name": "FF", "entity_start": 161, "entity_end": 161, "property_value_start": 163, "property_value_end": 164, "property_numeric_value": 64.2,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</si>
  <si>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10.1002/pola.29325</t>
  </si>
  <si>
    <t xml:space="preserve">{"power conversion efficiency": {"entity_name": "power conversion efficiency", "entity_start": 52, "entity_end": 54, "property_value_start": 56, "property_value_end": 57, "property_numeric_value": 5.0,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</si>
  <si>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10.1016/j.orgel.2018.12.014</t>
  </si>
  <si>
    <t xml:space="preserve">['FTQ']</t>
  </si>
  <si>
    <t xml:space="preserve">{"power conversion efficiency": {"entity_name": "PCE", "entity_start": 198, "entity_end": 198, "property_value_start": 201, "property_value_end": 202, "property_numeric_value": 8.19,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{"entity_name": "external quantum efficiency", "entity_start": 205, "entity_end": 207, "property_value_start": 209, "property_value_end": 210, "property_numeric_value": 71.0, "property_unit": "%", "property_value_descriptor": ""}}</t>
  </si>
  <si>
    <t xml:space="preserve">10.1039/c7ta06476d</t>
  </si>
  <si>
    <t xml:space="preserve">PBFZ-OP</t>
  </si>
  <si>
    <t xml:space="preserve">CCCCCCCCC(CCCCCC)Cn9nc8c(c1ccc([*])s1)c(F)c(F)c(c7ccc(c6cc5c(c2cccc(OCC(CC)CCCC)c2)c3sc([*])cc3c(c4cccc(OCC(CC)CCCC)c4)c5s6)s7)c8n9</t>
  </si>
  <si>
    <t xml:space="preserve">['PBFZ-OP']</t>
  </si>
  <si>
    <t xml:space="preserve">{"power conversion efficiency": {"entity_name": "PCE", "entity_start": 161, "entity_end": 161, "property_value_start": 163, "property_value_end": 164, "property_numeric_value": 5.5, "property_unit": "%", "property_value_descriptor": ""}, "open circuit voltage": {"entity_name": "V_{oc}", "entity_start": 167, "entity_end": 168, "property_value_start": 170, "property_value_end": 171, "property_numeric_value": 0.73, "property_unit": "V", "property_value_descriptor": ""}, "short circuit current": {"entity_name": "J_{sc}", "entity_start": 173, "entity_end": 174, "property_value_start": 176, "property_value_end": 179, "property_numeric_value": 13.1, "property_unit": "mA cm^{-2}", "property_value_descriptor": ""}, "fill factor": {"entity_name": "FF", "entity_start": 182, "entity_end": 182, "property_value_start": 184, "property_value_end": 185, "property_numeric_value": 57.8, "property_unit": "%", "property_value_descriptor": ""}, "highest occupied molecular orbital": {"entity_name": "HOMO energy level", "entity_start": 93, "entity_end": 95, "property_value_start": 97, "property_value_end": 98, "property_numeric_value": -5.33, "property_unit": "eV", "property_value_descriptor": ""}, "lowest unoccupied molecular orbital": {}, "bandgap": {"entity_name": "bandgap", "entity_start": 69, "entity_end": 69, "property_value_start": 71, "property_value_end": 72, "property_numeric_value": 1.99, "property_unit": "eV", "property_value_descriptor": ""}, "hole mobility": {"entity_name": "hole mobility", "entity_start": 102, "entity_end": 103, "property_value_start": 105, "property_value_end": 113, "property_numeric_value": 0.000728, "property_unit": "cm^{2} V^{-1} s^{-1}", "property_value_descriptor": ""}, "electron mobility": {}, "external quantum efficiency": {}}</t>
  </si>
  <si>
    <t xml:space="preserve">10.1002/macp.201200382</t>
  </si>
  <si>
    <t xml:space="preserve">{"power conversion efficiency": {"entity_name": "power conversion efficiencies", "entity_start": 102, "entity_end": 104, "property_value_start": 107, "property_value_end": 108, "property_numeric_value": 0.64,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</si>
  <si>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10.1039/c6ta05471d</t>
  </si>
  <si>
    <t xml:space="preserve">PCDPP</t>
  </si>
  <si>
    <t xml:space="preserve">['PCDPP']</t>
  </si>
  <si>
    <t xml:space="preserve">{"power conversion efficiency": {"entity_name": "PCE", "entity_start": 154, "entity_end": 154, "property_value_start": 157, "property_value_end": 158, "property_numeric_value": 9.02, "property_unit": "%", "property_value_descriptor": ""}, "open circuit voltage": {"entity_name": "V_{oc}", "entity_start": 181, "entity_end": 182, "property_value_start": 205, "property_value_end": 206, "property_numeric_value": 0.7, "property_unit": "V", "property_value_descriptor": ""}, "short circuit current": {}, "fill factor": {}, "highest occupied molecular orbital": {}, "lowest unoccupied molecular orbital": {}, "bandgap": {"entity_name": "optical band gap", "entity_start": 88, "entity_end": 90, "property_value_start": 92, "property_value_end": 93, "property_numeric_value": 1.55, "property_unit": "eV", "property_value_descriptor": ""}, "hole mobility": {}, "electron mobility": {}, "external quantum efficiency": {}}</t>
  </si>
  <si>
    <t xml:space="preserve">10.1039/c4ta06648k</t>
  </si>
  <si>
    <t xml:space="preserve">CCCCCCCCc8ccc(n7c(=O)c6c([*])sc(c5cc4c(c1ccc(CC(CC)CCCC)s1)c2sc([*])cc2c(c3ccc(CC(CC)CCCC)s3)c4s5)c6c7=O)cc8</t>
  </si>
  <si>
    <t xml:space="preserve">{"power conversion efficiency": {"entity_name": "PCE", "entity_start": 230, "entity_end": 230, "property_value_start": 233, "property_value_end": 234, "property_numeric_value": 4.35, "property_unit": "%", "property_value_descriptor": ""}, "open circuit voltage": {"entity_name": "V_{oc}", "entity_start": 218, "entity_end": 219, "property_value_start": 222, "property_value_end": 223, "property_numeric_value": 1.0, "property_unit": "V", "property_value_descriptor": "~"},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</si>
  <si>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10.1039/c4ta02929a</t>
  </si>
  <si>
    <t xml:space="preserve">PBCDTBT</t>
  </si>
  <si>
    <t xml:space="preserve">CCCCCCCCC7(CCCCCCCC)Oc1cc([*])ccc1c6ccc(c5ccc(c3ccc(c2ccc([*])s2)c4nsnc34)s5)cc67</t>
  </si>
  <si>
    <t xml:space="preserve">['PBCDTBT']</t>
  </si>
  <si>
    <t xml:space="preserve">{"power conversion efficiency": {"entity_name": "PCE", "entity_start": 82, "entity_end": 82, "property_value_start": 102, "property_value_end": 103, "property_numeric_value": 2.56,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</si>
  <si>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10.1016/j.orgel.2013.12.018</t>
  </si>
  <si>
    <t xml:space="preserve">{"power conversion efficiency": {"entity_name": "PCE", "entity_start": 108, "entity_end": 108, "property_value_start": 111, "property_value_end": 112,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</si>
  <si>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10.1021/ja409881g</t>
  </si>
  <si>
    <t xml:space="preserve">PBDT_{TEH}-DT_{H}BTff</t>
  </si>
  <si>
    <t xml:space="preserve">['PBDT_{TEH}-DT_{H}BTff', 'P1', 'PBDT_{TEH}-DT_{EH}BTff', 'P2', 'P1-', 'P2-']</t>
  </si>
  <si>
    <t xml:space="preserve">{"power conversion efficiency": {"entity_name": "power conversion efficiencies", "entity_start": 56, "entity_end": 58, "property_value_start": 65, "property_value_end": 66, "property_numeric_value": 8.3,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</si>
  <si>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PBDT_{HDO}-DT_{H}BTff</t>
  </si>
  <si>
    <t xml:space="preserve">['PBDT_{HDO}-DT_{H}BTff', 'P3', 'P3-based']</t>
  </si>
  <si>
    <t xml:space="preserve">{"power conversion efficiency": {"entity_name": "PCEs", "entity_start": 151, "entity_end": 151, "property_value_start": 155, "property_value_end": 156, "property_numeric_value": 6.56,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</si>
  <si>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10.1016/j.orgel.2011.01.011</t>
  </si>
  <si>
    <t xml:space="preserve">{"power conversion efficiency": {"entity_name": "power conversion efficiency", "entity_start": 68, "entity_end": 70, "property_value_start": 77, "property_value_end": 78, "property_numeric_value": 1.52,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</si>
  <si>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10.1002/app.42982</t>
  </si>
  <si>
    <t xml:space="preserve">{"power conversion efficiency": {"entity_name": "power conversion efficiency", "entity_start": 107, "entity_end": 109, "property_value_start": 111, "property_value_end": 112, "property_numeric_value": 3.31,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</si>
  <si>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10.1002/marc.201500466</t>
  </si>
  <si>
    <t xml:space="preserve">PC-TBTBT</t>
  </si>
  <si>
    <t xml:space="preserve">['PC-TBTBT']</t>
  </si>
  <si>
    <t xml:space="preserve">{"power conversion efficiency": {"entity_name": "PCE", "entity_start": 149, "entity_end": 149, "property_value_start": 152, "property_value_end": 153, "property_numeric_value": 4.74, "property_unit": "%", "property_value_descriptor": ""}, "open circuit voltage": {"entity_name": "V_{OC}", "entity_start": 156, "entity_end": 157, "property_value_start": 159, "property_value_end": 160, "property_numeric_value": 0.99, "property_unit": "V", "property_value_descriptor": ""}, "short circuit current": {"entity_name": "J_{SC}", "entity_start": 163, "entity_end": 164, "property_value_start": 166, "property_value_end": 168, "property_numeric_value": 9.7,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</si>
  <si>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10.1016/j.dyepig.2013.08.017</t>
  </si>
  <si>
    <t xml:space="preserve">{"power conversion efficiency": {"entity_name": "power conversion efficiency", "entity_start": 106, "entity_end": 108, "property_value_start": 112, "property_value_end": 113, "property_numeric_value": 1.1, "property_unit": "%", "property_value_descriptor": ""}, "open circuit voltage": {}, "short circuit current": {"entity_name": "J_{SC}", "entity_start": 120, "entity_end": 121, "property_value_start": 124, "property_value_end": 128, "property_numeric_value": 2.9,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</si>
  <si>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10.1016/j.dyepig.2016.03.048</t>
  </si>
  <si>
    <t xml:space="preserve">{"power conversion efficiency": {"entity_name": "power conversion efficiency", "entity_start": 123, "entity_end": 125, "property_value_start": 127, "property_value_end": 128, "property_numeric_value": 3.54,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</si>
  <si>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mobilities", "entity_start": 151, "entity_end": 152, "property_value_start": 154, "property_value_end": 159, "property_numeric_value": 0.07, "property_unit": "cm^{2} V^{-1} s^{-1}", "property_value_descriptor": ""}, "electron mobility": {}, "external quantum efficiency": {}}</t>
  </si>
  <si>
    <t xml:space="preserve">10.1016/j.solmat.2017.03.035</t>
  </si>
  <si>
    <t xml:space="preserve">PFEX</t>
  </si>
  <si>
    <t xml:space="preserve">['PFEX']</t>
  </si>
  <si>
    <t xml:space="preserve">{"power conversion efficiency": {"entity_name": "power conversion efficiency", "entity_start": 253, "entity_end": 255, "property_value_start": 266, "property_value_end": 267, "property_numeric_value": 6.8,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</si>
  <si>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10.1039/c7ta02510f</t>
  </si>
  <si>
    <t xml:space="preserve">{"power conversion efficiency": {"entity_name": "PCE", "entity_start": 42, "entity_end": 42, "property_value_start": 50, "property_value_end": 51,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</si>
  <si>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10.1002/pen.24585</t>
  </si>
  <si>
    <t xml:space="preserve">{"power conversion efficiency": {"entity_name": "PCE", "entity_start": 210, "entity_end": 210, "property_value_start": 213, "property_value_end": 214, "property_numeric_value": 0.5,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</si>
  <si>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10.1002/aenm.201100581</t>
  </si>
  <si>
    <t xml:space="preserve">{"power conversion efficiency": {"entity_name": "power conversion efficiency", "entity_start": 239, "entity_end": 241, "property_value_start": 243, "property_value_end": 244, "property_numeric_value": 2.87,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</si>
  <si>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10.1002/pola.29058</t>
  </si>
  <si>
    <t xml:space="preserve">12OD</t>
  </si>
  <si>
    <t xml:space="preserve">['12OD']</t>
  </si>
  <si>
    <t xml:space="preserve">{"power conversion efficiency": {"entity_name": "PCE", "entity_start": 133, "entity_end": 133, "property_value_start": 135, "property_value_end": 138, "property_numeric_value": 2.5,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</si>
  <si>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8OD-2</t>
  </si>
  <si>
    <t xml:space="preserve">['8OD-2']</t>
  </si>
  <si>
    <t xml:space="preserve">{"power conversion efficiency": {"entity_name": "PCE", "entity_start": 169, "entity_end": 169, "property_value_start": 173, "property_value_end": 174, "property_numeric_value": 4.3,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</si>
  <si>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10.1002/macp.201800418</t>
  </si>
  <si>
    <t xml:space="preserve">{"power conversion efficiency": {"entity_name": "PCE", "entity_start": 147, "entity_end": 147, "property_value_start": 149, "property_value_end": 150, "property_numeric_value": 5.33,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</si>
  <si>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10.1016/j.polymer.2016.07.082</t>
  </si>
  <si>
    <t xml:space="preserve">{"power conversion efficiency": {"entity_name": "PCE", "entity_start": 187, "entity_end": 187, "property_value_start": 189, "property_value_end": 190, "property_numeric_value": 4.5, "property_unit": "%", "property_value_descriptor": ""}, "open circuit voltage": {"entity_name": "V_{OC}", "entity_start": 205, "entity_end": 206, "property_value_start": 209, "property_value_end": 210, "property_numeric_value": 0.88, "property_unit": "V", "property_value_descriptor": ""}, "short circuit current": {"entity_name": "J_{SC}", "entity_start": 194, "entity_end": 195, "property_value_start": 198, "property_value_end": 202, "property_numeric_value": 8.6, "property_unit": "mA/cm^{2}", "property_value_descriptor": ""}, "fill factor": {"entity_name": "FF", "entity_start": 214, "entity_end": 214, "property_value_start": 217, "property_value_end": 218, "property_numeric_value": 59.4,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</si>
  <si>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10.1016/j.polymer.2008.09.013</t>
  </si>
  <si>
    <t xml:space="preserve">PQ</t>
  </si>
  <si>
    <t xml:space="preserve">['PQ']</t>
  </si>
  <si>
    <t xml:space="preserve">{"power conversion efficiency": {"entity_name": "power conversion efficiency", "entity_start": 102, "entity_end": 104, "property_value_start": 106, "property_value_end": 107, "property_numeric_value": 0.52, "property_unit": "%", "property_value_descriptor": ""}, "open circuit voltage": {"entity_name": "open-circuit voltage", "entity_start": 116, "entity_end": 119, "property_value_start": 121, "property_value_end": 122, "property_numeric_value": 0.48, "property_unit": "V", "property_value_descriptor": ""}, "short circuit current": {"entity_name": "short-circuit current", "entity_start": 125, "entity_end": 128, "property_value_start": 130, "property_value_end": 134, "property_numeric_value": 1.93, "property_unit": "mA/cm^{2}", "property_value_descriptor": ""}, "fill factor": {"entity_name": "fill factor", "entity_start": 110, "entity_end": 111, "property_value_start": 113, "property_value_end": 113, "property_numeric_value": 42.0,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</si>
  <si>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10.1016/j.polymer.2016.04.061</t>
  </si>
  <si>
    <t xml:space="preserve">{"power conversion efficiency": {"entity_name": "PCE", "entity_start": 223, "entity_end": 223, "property_value_start": 226, "property_value_end": 227, "property_numeric_value": 4.03, "property_unit": "%", "property_value_descriptor": ""}, "open circuit voltage": {"entity_name": "V_{OC}", "entity_start": 191, "entity_end": 192, "property_value_start": 194, "property_value_end": 195, "property_numeric_value": 0.63, "property_unit": "V", "property_value_descriptor": ""}, "short circuit current": {"entity_name": "J_{SC}", "entity_start": 198, "entity_end": 199, "property_value_start": 201, "property_value_end": 205, "property_numeric_value": 12.3, "property_unit": "mA/cm^{2}", "property_value_descriptor": ""}, "fill factor": {"entity_name": "FF", "entity_start": 212, "entity_end": 212, "property_value_start": 215, "property_value_end": 215, "property_numeric_value": 52.0,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</si>
  <si>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10.1039/c8tc01016a</t>
  </si>
  <si>
    <t xml:space="preserve">{"power conversion efficiency": {"entity_name": "PCE", "entity_start": 313, "entity_end": 313, "property_value_start": 315, "property_value_end": 316, "property_numeric_value": 3.16,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</si>
  <si>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10.1039/c3ta10863e</t>
  </si>
  <si>
    <t xml:space="preserve">{"power conversion efficiency": {"entity_name": "power conversion efficiency", "entity_start": 83, "entity_end": 85, "property_value_start": 89, "property_value_end": 90, "property_numeric_value": 6.67,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</si>
  <si>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10.1002/pola.24724</t>
  </si>
  <si>
    <t xml:space="preserve">PTTz</t>
  </si>
  <si>
    <t xml:space="preserve">[*]CCCOC(=O)c1ccc(C(=O)O[*])cc1</t>
  </si>
  <si>
    <t xml:space="preserve">['PTTz', 'PTT']</t>
  </si>
  <si>
    <t xml:space="preserve">{"power conversion efficiency": {"entity_name": "PCE", "entity_start": 220, "entity_end": 220, "property_value_start": 222, "property_value_end": 223, "property_numeric_value": 1.39, "property_unit": "%", "property_value_descriptor": ""}, "open circuit voltage": {"entity_name": "V_{oc}", "entity_start": 234, "entity_end": 235, "property_value_start": 237, "property_value_end": 238, "property_numeric_value": 0.58, "property_unit": "V", "property_value_descriptor": ""}, "short circuit current": {"entity_name": "J_{sc}", "entity_start": 225, "entity_end": 226, "property_value_start": 228, "property_value_end": 231, "property_numeric_value": 6.58,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</si>
  <si>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10.1002/masy.201350516</t>
  </si>
  <si>
    <t xml:space="preserve">Poly(3-hexyl thiophene)</t>
  </si>
  <si>
    <t xml:space="preserve">['Poly(3-hexyl thiophene)', 'P3HT']</t>
  </si>
  <si>
    <t xml:space="preserve">{"power conversion efficiency": {"entity_name": "PCE", "entity_start": 203, "entity_end": 203, "property_value_start": 205, "property_value_end": 206, "property_numeric_value": 10.6,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</si>
  <si>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10.1002/cjoc.201700759</t>
  </si>
  <si>
    <t xml:space="preserve">4,7-dithien-2-yl-2,1,3-benzothiadiazole</t>
  </si>
  <si>
    <t xml:space="preserve">{"power conversion efficiency": {"entity_name": "PCE", "entity_start": 82, "entity_end": 82, "property_value_start": 109, "property_value_end": 110, "property_numeric_value": 2.7,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</si>
  <si>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10.1002/cjoc.201400316</t>
  </si>
  <si>
    <t xml:space="preserve">{"power conversion efficiency": {"entity_name": "power conversion efficiency", "entity_start": 78, "entity_end": 80, "property_value_start": 82, "property_value_end": 83, "property_numeric_value": 1.75,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</si>
  <si>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10.1039/c6ta10018j</t>
  </si>
  <si>
    <t xml:space="preserve">{"power conversion efficiency": {"entity_name": "PCE", "entity_start": 282, "entity_end": 282, "property_value_start": 284, "property_value_end": 285, "property_numeric_value": 7.11,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</si>
  <si>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10.1039/c8ee03608j</t>
  </si>
  <si>
    <t xml:space="preserve">PBN-S</t>
  </si>
  <si>
    <t xml:space="preserve">[*]c%10ccc(c8sc(c6ccc(c5cc4c(c1cc(F)c(CC(CC)CCCC)s1)c2sc([*])cc2c(c3cc(F)c(CC(CC)CCCC)s3)c4s5)s6)c9c(=O)c7cc(SCC(CC)CCCC)c(SCC(CC)CCCC)cc7c(=O)c89)s%10.C</t>
  </si>
  <si>
    <t xml:space="preserve">['PBN-S']</t>
  </si>
  <si>
    <t xml:space="preserve">{"power conversion efficiency": {"entity_name": "PCEs", "entity_start": 176, "entity_end": 176, "property_value_start": 181, "property_value_end": 182, "property_numeric_value": 10.69, "property_unit": "%", "property_value_descriptor": ""}, "open circuit voltage": {}, "short circuit current": {}, "fill factor": {}, "highest occupied molecular orbital": {"entity_name": "HOMO", "entity_start": 81, "entity_end": 81, "property_value_start": 84, "property_value_end": 85, "property_numeric_value": -5.48, "property_unit": "eV", "property_value_descriptor": ""}, "lowest unoccupied molecular orbital": {}, "bandgap": {}, "hole mobility": {}, "electron mobility": {}, "external quantum efficiency": {}}</t>
  </si>
  <si>
    <t xml:space="preserve">10.1016/j.cclet.2018.01.052</t>
  </si>
  <si>
    <t xml:space="preserve">P-BNBP</t>
  </si>
  <si>
    <t xml:space="preserve">['P-BNBP']</t>
  </si>
  <si>
    <t xml:space="preserve">{"power conversion efficiency": {}, "open circuit voltage": {}, "short circuit current": {}, "fill factor": {}, "highest occupied molecular orbital": {}, "lowest unoccupied molecular orbital": {"entity_name": "LUMO energy level", "entity_start": 84, "entity_end": 86, "property_value_start": 88, "property_value_end": 89, "property_numeric_value": -3.59, "property_unit": "eV", "property_value_descriptor": ""}, "bandgap": {}, "hole mobility": {}, "electron mobility": {"entity_name": "electron mobility", "entity_start": 109, "entity_end": 110, "property_value_start": 112, "property_value_end": 120, "property_numeric_value": 4.37e-06, "property_unit": "cm^{2} V^{-1} s^{-1}", "property_value_descriptor": ""}, "external quantum efficiency": {}}</t>
  </si>
  <si>
    <t xml:space="preserve">10.1016/j.orgel.2016.10.021</t>
  </si>
  <si>
    <t xml:space="preserve">{"power conversion efficiency": {"entity_name": "power conversion efficiency", "entity_start": 161, "entity_end": 163, "property_value_start": 165, "property_value_end": 166, "property_numeric_value": 2.05, "property_unit": "%", "property_value_descriptor": ""}, "open circuit voltage": {}, "short circuit current": {"entity_name": "J_{sc}", "entity_start": 151, "entity_end": 152, "property_value_start": 154, "property_value_end": 158, "property_numeric_value": 4.5, "property_unit": "mA/cm^{2}", "property_value_descriptor": "~"}, "fill factor": {}, "highest occupied molecular orbital": {}, "lowest unoccupied molecular orbital": {}, "bandgap": {}, "hole mobility": {}, "electron mobility": {}, "external quantum efficiency": {}}</t>
  </si>
  <si>
    <t xml:space="preserve">10.1021/am200842y</t>
  </si>
  <si>
    <t xml:space="preserve">{"power conversion efficiency": {"entity_name": "power conversion efficiency", "entity_start": 127, "entity_end": 129, "property_value_start": 131, "property_value_end": 132, "property_numeric_value": 3.2,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</si>
  <si>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10.1007/s00339-015-9378-7</t>
  </si>
  <si>
    <t xml:space="preserve">Poly[(9,9-dioctylfluorenyl-2,7-diyl)-co-(4,4-(N-(4-sec-butylphenyl))diphenylamine)]</t>
  </si>
  <si>
    <t xml:space="preserve">[*]c6ccc(N(c4ccc(c3ccc2c1ccc([*])cc1C(CCCCCCCC)(CCCCCCCC)c2c3)cc4)c5ccc(C(C)CC)cc5)cc6</t>
  </si>
  <si>
    <t xml:space="preserve">['Poly[(9,9-dioctylfluorenyl-2,7-diyl)-co-(4,4-(N-(4-sec-butylphenyl))diphenylamine)]', 'TFB']</t>
  </si>
  <si>
    <t xml:space="preserve">{"power conversion efficiency": {"entity_name": "PCE", "entity_start": 117, "entity_end": 117, "property_value_start": 119, "property_value_end": 120, "property_numeric_value": 3.7, "property_unit": "%", "property_value_descriptor": ""}, "open circuit voltage": {"entity_name": "open-circuit voltage", "entity_start": 123, "entity_end": 126, "property_value_start": 128, "property_value_end": 129, "property_numeric_value": 0.58, "property_unit": "V", "property_value_descriptor": ""}, "short circuit current": {"entity_name": "short-circuit current density", "entity_start": 133, "entity_end": 137, "property_value_start": 139, "property_value_end": 142, "property_numeric_value": 11.39,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</si>
  <si>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10.1021/acsami.7b11863</t>
  </si>
  <si>
    <t xml:space="preserve">['BTZI-BTOR', 'P2', 'BTZI-BTzOR', 'P3']</t>
  </si>
  <si>
    <t xml:space="preserve">{"power conversion efficiency": {"entity_name": "power conversion efficiency", "entity_start": 252, "entity_end": 254, "property_value_start": 256, "property_value_end": 257, "property_numeric_value": 4.15, "property_unit": "%", "property_value_descriptor": ""}, "open circuit voltage": {"entity_name": "open-circuit voltage", "entity_start": 262, "entity_end": 265, "property_value_start": 267, "property_value_end": 268, "property_numeric_value": 0.69, "property_unit": "V", "property_value_descriptor": ""}, "short circuit current": {}, "fill factor": {}, "highest occupied molecular orbital": {}, "lowest unoccupied molecular orbital": {}, "bandgap": {"entity_name": "bandgap", "entity_start": 242, "entity_end": 242, "property_value_start": 244, "property_value_end": 245, "property_numeric_value": 1.13, "property_unit": "eV", "property_value_descriptor": ""}, "hole mobility": {}, "electron mobility": {}, "external quantum efficiency": {}}</t>
  </si>
  <si>
    <t xml:space="preserve">10.1021/am502673e</t>
  </si>
  <si>
    <t xml:space="preserve">['poly(3-hexylthiophene)', 'P3HT', 'PCBM']</t>
  </si>
  <si>
    <t xml:space="preserve">{"power conversion efficiency": {"entity_name": "power conversion efficiency", "entity_start": 138, "entity_end": 140, "property_value_start": 145, "property_value_end": 146, "property_numeric_value": 7.2,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</si>
  <si>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10.1002/aenm.201502120</t>
  </si>
  <si>
    <t xml:space="preserve">{"power conversion efficiency": {"entity_name": "PCE", "entity_start": 35, "entity_end": 35, "property_value_start": 38, "property_value_end": 39, "property_numeric_value": 10.3,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</si>
  <si>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10.1155/2013/104825</t>
  </si>
  <si>
    <t xml:space="preserve">{"power conversion efficiency": {"entity_name": "PCE", "entity_start": 66, "entity_end": 66, "property_value_start": 73, "property_value_end": 74, "property_numeric_value": 1.0, "property_unit": "%", "property_value_descriptor": ""}, "open circuit voltage": {"entity_name": "open-circuit voltage", "entity_start": 88, "entity_end": 91, "property_value_start": 93, "property_value_end": 94, "property_numeric_value": 0.48, "property_unit": "V", "property_value_descriptor": ""}, "short circuit current": {"entity_name": "short-circuit current density", "entity_start": 96, "entity_end": 100, "property_value_start": 102, "property_value_end": 106, "property_numeric_value": 5.4, "property_unit": "mA/cm^{2}", "property_value_descriptor": ""}, "fill factor": {"entity_name": "fill factor", "entity_start": 109, "entity_end": 110, "property_value_start": 112, "property_value_end": 113, "property_numeric_value": 39.0,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</si>
  <si>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10.1002/pola.26695</t>
  </si>
  <si>
    <t xml:space="preserve">PBDTTT-Br25</t>
  </si>
  <si>
    <t xml:space="preserve">['PBDTTT-Br25']</t>
  </si>
  <si>
    <t xml:space="preserve">{"power conversion efficiency": {"entity_name": "power conversion efficiency", "entity_start": 132, "entity_end": 134, "property_value_start": 165, "property_value_end": 166, "property_numeric_value": 4.26,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</si>
  <si>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10.1016/j.tsf.2013.05.059</t>
  </si>
  <si>
    <t xml:space="preserve">poly[(4,8-bis-(2-ethylhexyloxy)-benzo[1,2-b:4,5-b']dithiophene)-2,6-diyl-alt-(4-(2-ethylhexanoyl)-thieno[3,4-b]thiophene)-2,6-diyl]:phenyl -</t>
  </si>
  <si>
    <t xml:space="preserve">["poly[(4,8-bis-(2-ethylhexyloxy)-benzo[1,2-b:4,5-b']dithiophene)-2,6-diyl-alt-(4-(2-ethylhexanoyl)-thieno[3,4-b]thiophene)-2,6-diyl]:phenyl -", 'acid']</t>
  </si>
  <si>
    <t xml:space="preserve">{"power conversion efficiency": {"entity_name": "power conversion efficiency", "entity_start": 117, "entity_end": 119, "property_value_start": 121, "property_value_end": 124, "property_numeric_value": 6.3, "property_unit": "%", "property_value_descriptor": ""}, "open circuit voltage": {"entity_name": "open-circuit voltage", "entity_start": 83, "entity_end": 86, "property_value_start": 88, "property_value_end": 91, "property_numeric_value": 0.7, "property_unit": "V", "property_value_descriptor": ""}, "short circuit current": {"entity_name": "short-circuit current density", "entity_start": 94, "entity_end": 98, "property_value_start": 100, "property_value_end": 106, "property_numeric_value": 15.2, "property_unit": "mA/cm^{2}", "property_value_descriptor": ""}, "fill factor": {"entity_name": "fill factor", "entity_start": 109, "entity_end": 110, "property_value_start": 112, "property_value_end": 114, "property_numeric_value": 60.0,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</si>
  <si>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10.1002/chem.201302718</t>
  </si>
  <si>
    <t xml:space="preserve">G-PEDOT</t>
  </si>
  <si>
    <t xml:space="preserve">['G-PEDOT']</t>
  </si>
  <si>
    <t xml:space="preserve">{"power conversion efficiency": {"entity_name": "PCE", "entity_start": 63, "entity_end": 63, "property_value_start": 65, "property_value_end": 66, "property_numeric_value": 4.68,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</si>
  <si>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10.1016/j.solmat.2014.01.043</t>
  </si>
  <si>
    <t xml:space="preserve">{"power conversion efficiency": {"entity_name": "power conversion efficiencies", "entity_start": 162, "entity_end": 164, "property_value_start": 166, "property_value_end": 167, "property_numeric_value": 1.6,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</si>
  <si>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10.1039/c6tc02572b</t>
  </si>
  <si>
    <t xml:space="preserve">{"power conversion efficiency": {"entity_name": "power conversion efficiency", "entity_start": 108, "entity_end": 110, "property_value_start": 118, "property_value_end": 119, "property_numeric_value": 6.48,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</si>
  <si>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10.1080/15421406.2018.1456050</t>
  </si>
  <si>
    <t xml:space="preserve">FTF-</t>
  </si>
  <si>
    <t xml:space="preserve">['FTF-', 'FTF-NBr', 'FTF', 'NBr', 'FTF-NBr']</t>
  </si>
  <si>
    <t xml:space="preserve">{"power conversion efficiency": {}, "open circuit voltage": {}, "short circuit current": {}, "fill factor": {}, "highest occupied molecular orbital": {"entity_name": "HOMO", "entity_start": 109, "entity_end": 109, "property_value_start": 118, "property_value_end": 119, "property_numeric_value": -5.77, "property_unit": "eV", "property_value_descriptor": ""}, "lowest unoccupied molecular orbital": {}, "bandgap": {}, "hole mobility": {}, "electron mobility": {}, "external quantum efficiency": {}}</t>
  </si>
  <si>
    <t xml:space="preserve">FBF</t>
  </si>
  <si>
    <t xml:space="preserve">['FBF', 'NBr', 'FTF-NBr', 'NBr', 'FTF-NBr', 'FBF-', 'FTF', 'NBr', 'FTF-NBr']</t>
  </si>
  <si>
    <t xml:space="preserve">{"power conversion efficiency": {"entity_name": "PCE", "entity_start": 167, "entity_end": 167, "property_value_start": 176, "property_value_end": 177, "property_numeric_value": 8.05,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</si>
  <si>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10.1016/j.dyepig.2018.05.050</t>
  </si>
  <si>
    <t xml:space="preserve">PBDTS-TzBI</t>
  </si>
  <si>
    <t xml:space="preserve">[*]c%10ccc(c8c1nn(CCCCCCCC)nc1c(c7ccc(c6cc5c(c2ccc(SCC(CC)CCCC)s2)c3sc([*])cc3c(c4ccc(SCC(CC)CCCC)s4)c5s6)s7)c9c(=O)n(CCCCCCCC)c(=O)c89)s%10</t>
  </si>
  <si>
    <t xml:space="preserve">['PBDTS-TzBI']</t>
  </si>
  <si>
    <t xml:space="preserve">{"power conversion efficiency": {"entity_name": "power conversion efficiency", "entity_start": 110, "entity_end": 112, "property_value_start": 114, "property_value_end": 115, "property_numeric_value": 9.67, "property_unit": "%", "property_value_descriptor": ""}, "open circuit voltage": {"entity_name": "open-circuit voltage", "entity_start": 119, "entity_end": 122, "property_value_start": 124, "property_value_end": 125, "property_numeric_value": 0.91, "property_unit": "V", "property_value_descriptor": ""}, "short circuit current": {}, "fill factor": {}, "highest occupied molecular orbital": {"entity_name": "highest occupied molecular orbital energy level", "entity_start": 70, "entity_end": 75, "property_value_start": 77, "property_value_end": 78, "property_numeric_value": -5.39, "property_unit": "eV", "property_value_descriptor": ""}, "lowest unoccupied molecular orbital": {}, "bandgap": {"entity_name": "optical bandgap", "entity_start": 59, "entity_end": 60, "property_value_start": 62, "property_value_end": 63, "property_numeric_value": 1.8, "property_unit": "eV", "property_value_descriptor": ""}, "hole mobility": {}, "electron mobility": {}, "external quantum efficiency": {}}</t>
  </si>
  <si>
    <t xml:space="preserve">10.1002/pat.4334</t>
  </si>
  <si>
    <t xml:space="preserve">poly(9,9-bis(3'-[(N,N-dimethyl)-N-ethylammonium]-propyl)-2,7-fluorene dibromide)</t>
  </si>
  <si>
    <t xml:space="preserve">["poly(9,9-bis(3'-[(N,N-dimethyl)-N-ethylammonium]-propyl)-2,7-fluorene dibromide)", 'PFBr']</t>
  </si>
  <si>
    <t xml:space="preserve">{"power conversion efficiency": {"entity_name": "power conversion efficiency", "entity_start": 159, "entity_end": 161, "property_value_start": 176, "property_value_end": 177, "property_numeric_value": 1.89,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</si>
  <si>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10.1016/j.solener.2017.07.047</t>
  </si>
  <si>
    <t xml:space="preserve">{"power conversion efficiency": {"entity_name": "PCE", "entity_start": 59, "entity_end": 59, "property_value_start": 76, "property_value_end": 77, "property_numeric_value": 6.56,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</si>
  <si>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10.1016/j.solener.2017.07.049</t>
  </si>
  <si>
    <t xml:space="preserve">['[6,6]-phenyl C71-butyric acid methyl ester', 'PC_{71}BM']</t>
  </si>
  <si>
    <t xml:space="preserve">{"power conversion efficiency": {"entity_name": "PCE", "entity_start": 51, "entity_end": 51, "property_value_start": 54, "property_value_end": 55, "property_numeric_value": 9.15,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</si>
  <si>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10.1039/c9tc01082c</t>
  </si>
  <si>
    <t xml:space="preserve">{"power conversion efficiency": {"entity_name": "PCE", "entity_start": 64, "entity_end": 64, "property_value_start": 69, "property_value_end": 70, "property_numeric_value": 9.76,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</si>
  <si>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10.1002/pola.24750</t>
  </si>
  <si>
    <t xml:space="preserve">poly[4,4'-bis(2-ethylhexyl)-dithieno[3,2-b:2',3'-d]silole-alt-2,5-bis-(3-hexylthiophene-2-yl)thiazolo[5,4-d]thiazole]</t>
  </si>
  <si>
    <t xml:space="preserve">["poly[4,4'-bis(2-ethylhexyl)-dithieno[3,2-b:2',3'-d]silole-alt-2,5-bis-(3-hexylthiophene-2-yl)thiazolo[5,4-d]thiazole]"]</t>
  </si>
  <si>
    <t xml:space="preserve">{"power conversion efficiency": {"entity_name": "PCE", "entity_start": 172, "entity_end": 172, "property_value_start": 174, "property_value_end": 175, "property_numeric_value": 2.75, "property_unit": "%", "property_value_descriptor": ""}, "open circuit voltage": {"entity_name": "open circuit voltage", "entity_start": 189, "entity_end": 191, "property_value_start": 193, "property_value_end": 194, "property_numeric_value": 0.86, "property_unit": "V", "property_value_descriptor": ""}, "short circuit current": {"entity_name": "short-circuit current", "entity_start": 178, "entity_end": 181, "property_value_start": 183, "property_value_end": 187, "property_numeric_value": 8.12, "property_unit": "mA/cm^{2}", "property_value_descriptor": ""}, "fill factor": {"entity_name": "FF", "entity_start": 201, "entity_end": 201, "property_value_start": 204, "property_value_end": 204, "property_numeric_value": 39.0,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</si>
  <si>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10.1002/aenm.201900168</t>
  </si>
  <si>
    <t xml:space="preserve">PNTz4T-MTC</t>
  </si>
  <si>
    <t xml:space="preserve">['PNTz4T-MTC', 'PNTz4T-5MTC']</t>
  </si>
  <si>
    <t xml:space="preserve">{"power conversion efficiency": {"entity_name": "PCE", "entity_start": 210, "entity_end": 210, "property_value_start": 212, "property_value_end": 213,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</si>
  <si>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10.1039/c3cc44676j</t>
  </si>
  <si>
    <t xml:space="preserve">PBTPyDPP</t>
  </si>
  <si>
    <t xml:space="preserve">[*]c6ccc(c5ccc(c4c3c(=O)n(CC(CCCCCCCC)CCCCCCCCCC)c(c2ccc(c1ccc([*])s1)cn2)c3c(=O)n4CC(CCCCCCCC)CCCCCCCCCC)nc5)s6</t>
  </si>
  <si>
    <t xml:space="preserve">['BT', 'PBTPyDPP']</t>
  </si>
  <si>
    <t xml:space="preserve">{"power conversion efficiency": {"entity_name": "PCE", "entity_start": 76, "entity_end": 76, "property_value_start": 78, "property_value_end": 79, "property_numeric_value": 4.9, "property_unit": "%", "property_value_descriptor": ""}, "open circuit voltage": {"entity_name": "V_{OC}", "entity_start": 83, "entity_end": 84, "property_value_start": 86, "property_value_end": 87, "property_numeric_value": 0.9,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</si>
  <si>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10.1002/aenm.201802686</t>
  </si>
  <si>
    <t xml:space="preserve">['- m']</t>
  </si>
  <si>
    <t xml:space="preserve">{"power conversion efficiency": {"entity_name": "power conversion efficiency", "entity_start": 96, "entity_end": 98, "property_value_start": 101, "property_value_end": 102, "property_numeric_value": 12.0,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</si>
  <si>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10.1039/c8ta10015b</t>
  </si>
  <si>
    <t xml:space="preserve">PffBT-T4</t>
  </si>
  <si>
    <t xml:space="preserve">['PffBT-T4', 'PffBT-RT4']</t>
  </si>
  <si>
    <t xml:space="preserve">{"power conversion efficiency": {"entity_name": "PCE", "entity_start": 201, "entity_end": 201, "property_value_start": 203, "property_value_end": 204, "property_numeric_value": 7.23,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</si>
  <si>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10.1021/acs.chemmater.6b01194</t>
  </si>
  <si>
    <t xml:space="preserve">PBDT-BT</t>
  </si>
  <si>
    <t xml:space="preserve">['PBDT-BT']</t>
  </si>
  <si>
    <t xml:space="preserve">{"power conversion efficiency": {"entity_name": "power conversion efficiency", "entity_start": 91, "entity_end": 93, "property_value_start": 96, "property_value_end": 97, "property_numeric_value": 9.0,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</si>
  <si>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10.1002/adma.201703973</t>
  </si>
  <si>
    <t xml:space="preserve">PBDTS-TDZ</t>
  </si>
  <si>
    <t xml:space="preserve">['PBDTS-TDZ']</t>
  </si>
  <si>
    <t xml:space="preserve">{"power conversion efficiency": {"entity_name": "PCE", "entity_start": 229, "entity_end": 229, "property_value_start": 239, "property_value_end": 240, "property_numeric_value": 13.19, "property_unit": "%", "property_value_descriptor": ""}, "open circuit voltage": {"entity_name": "V_{oc}", "entity_start": 246, "entity_end": 247, "property_value_start": 249, "property_value_end": 250, "property_numeric_value": 2.13, "property_unit": "V", "property_value_descriptor": ""}, "short circuit current": {"entity_name": "J_{sc}", "entity_start": 181, "entity_end": 182, "property_value_start": 185, "property_value_end": 188, "property_numeric_value": 17.78, "property_unit": "mA cm^{-2}", "property_value_descriptor": ""}, "fill factor": {"entity_name": "fill factor", "entity_start": 190, "entity_end": 191, "property_value_start": 193, "property_value_end": 194, "property_numeric_value": 65.4, "property_unit": "%", "property_value_descriptor": ""}, "highest occupied molecular orbital": {"entity_name": "HOMO", "entity_start": 82, "entity_end": 82, "property_value_start": 88, "property_value_end": 89, "property_numeric_value": 0.13, "property_unit": "eV", "property_value_descriptor": ""}, "lowest unoccupied molecular orbital": {}, "bandgap": {"entity_name": "bandgaps", "entity_start": 35, "entity_end": 35, "property_value_start": 37, "property_value_end": 38, "property_numeric_value": 2.07, "property_unit": "eV", "property_value_descriptor": ""}, "hole mobility": {}, "electron mobility": {}, "external quantum efficiency": {}}</t>
  </si>
  <si>
    <t xml:space="preserve">10.1039/c2jm34004f</t>
  </si>
  <si>
    <t xml:space="preserve">benzo(1,2-b:4,5-b')dithiophene</t>
  </si>
  <si>
    <t xml:space="preserve">["benzo(1,2-b:4,5-b')dithiophene", 'BDT']</t>
  </si>
  <si>
    <t xml:space="preserve">{"power conversion efficiency": {"entity_name": "power conversion efficiency", "entity_start": 194, "entity_end": 196, "property_value_start": 198, "property_value_end": 199, "property_numeric_value": 5.54, "property_unit": "%", "property_value_descriptor": ""}, "open circuit voltage": {}, "short circuit current": {}, "fill factor": {}, "highest occupied molecular orbital": {"entity_name": "HOMO", "entity_start": 125, "entity_end": 125, "property_value_start": 132, "property_value_end": 133, "property_numeric_value": -5.24, "property_unit": "eV", "property_value_descriptor": ""}, "lowest unoccupied molecular orbital": {}, "bandgap": {}, "hole mobility": {"entity_name": "hole mobility", "entity_start": 181, "entity_end": 182, "property_value_start": 184, "property_value_end": 190, "property_numeric_value": 0.16, "property_unit": "cm^{2} V^{-1} s^{-1}", "property_value_descriptor": ""}, "electron mobility": {}, "external quantum efficiency": {}}</t>
  </si>
  <si>
    <t xml:space="preserve">10.1007/s11426-018-9408-7</t>
  </si>
  <si>
    <t xml:space="preserve">PBDT-3 T</t>
  </si>
  <si>
    <t xml:space="preserve">['PBDT-3 T']</t>
  </si>
  <si>
    <t xml:space="preserve">{"power conversion efficiency": {"entity_name": "PCE", "entity_start": 57, "entity_end": 57, "property_value_start": 64, "property_value_end": 65, "property_numeric_value": 1.05,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</si>
  <si>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PBDT-3TCO</t>
  </si>
  <si>
    <t xml:space="preserve">['PBDT-3TCO']</t>
  </si>
  <si>
    <t xml:space="preserve">{"power conversion efficiency": {"entity_name": "PCE", "entity_start": 69, "entity_end": 69, "property_value_start": 73, "property_value_end": 74, "property_numeric_value": 11.77,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</si>
  <si>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10.1002/aenm.201301771</t>
  </si>
  <si>
    <t xml:space="preserve">['benzodithiophene', 'PTB7)-base']</t>
  </si>
  <si>
    <t xml:space="preserve">{"power conversion efficiency": {"entity_name": "power conversion efficiency", "entity_start": 22, "entity_end": 24, "property_value_start": 26, "property_value_end": 27, "property_numeric_value": 8.42,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</si>
  <si>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10.1002/adma.201802499</t>
  </si>
  <si>
    <t xml:space="preserve">PBDB-TFS1</t>
  </si>
  <si>
    <t xml:space="preserve">['PBDB-TFS1']</t>
  </si>
  <si>
    <t xml:space="preserve">{"power conversion efficiency": {"entity_name": "PCEs", "entity_start": 182, "entity_end": 182, "property_value_start": 196, "property_value_end": 197, "property_numeric_value": 11.8,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</si>
  <si>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10.1021/jacs.6b01744</t>
  </si>
  <si>
    <t xml:space="preserve">{"power conversion efficiency": {"entity_name": "PCE", "entity_start": 289, "entity_end": 289, "property_value_start": 291, "property_value_end": 292, "property_numeric_value": 9.53, "property_unit": "%", "property_value_descriptor": ""}, "open circuit voltage": {"entity_name": "V_{OC}", "entity_start": 252, "entity_end": 253, "property_value_start": 255, "property_value_end": 256, "property_numeric_value": 0.89, "property_unit": "V", "property_value_descriptor": ""}, "short circuit current": {"entity_name": "J_{SC}", "entity_start": 241, "entity_end": 242, "property_value_start": 244, "property_value_end": 248, "property_numeric_value": 17.43,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</si>
  <si>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10.1039/c9ta03272j</t>
  </si>
  <si>
    <t xml:space="preserve">J101</t>
  </si>
  <si>
    <t xml:space="preserve">['J101']</t>
  </si>
  <si>
    <t xml:space="preserve">{"power conversion efficiency": {"entity_name": "PCE", "entity_start": 191, "entity_end": 191, "property_value_start": 193, "property_value_end": 194, "property_numeric_value": 11.04, "property_unit": "%", "property_value_descriptor": ""}, "open circuit voltage": {"entity_name": "V_{oc}", "entity_start": 130, "entity_end": 131, "property_value_start": 133, "property_value_end": 134, "property_numeric_value": 0.937, "property_unit": "V", "property_value_descriptor": ""}, "short circuit current": {"entity_name": "J_{sc}", "entity_start": 138, "entity_end": 139, "property_value_start": 141, "property_value_end": 144, "property_numeric_value": 21.25, "property_unit": "mA cm^{-2}", "property_value_descriptor": ""}, "fill factor": {"entity_name": "FF", "entity_start": 148, "entity_end": 148, "property_value_start": 150, "property_value_end": 151, "property_numeric_value": 72.48,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</si>
  <si>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10.1016/j.polymer.2009.05.031</t>
  </si>
  <si>
    <t xml:space="preserve">{"power conversion efficiency": {"entity_name": "power conversion efficiency", "entity_start": 175, "entity_end": 177, "property_value_start": 179, "property_value_end": 180, "property_numeric_value": 0.7, "property_unit": "%", "property_value_descriptor": ""}, "open circuit voltage": {}, "short circuit current": {}, "fill factor": {}, "highest occupied molecular orbital": {}, "lowest unoccupied molecular orbital": {"entity_name": "LUMO energies", "entity_start": 130, "entity_end": 131, "property_value_start": 139, "property_value_end": 142, "property_numeric_value": -4.4, "property_unit": "eV", "property_value_descriptor": "and"}, "bandgap": {"entity_name": "optical band gap", "entity_start": 104, "entity_end": 106, "property_value_start": 107, "property_value_end": 108, "property_numeric_value": 2.0, "property_unit": "eV", "property_value_descriptor": ""}, "hole mobility": {}, "electron mobility": {}, "external quantum efficiency": {}}</t>
  </si>
  <si>
    <t xml:space="preserve">10.1016/j.polymer.2015.03.010</t>
  </si>
  <si>
    <t xml:space="preserve">TTV2</t>
  </si>
  <si>
    <t xml:space="preserve">['TTV2']</t>
  </si>
  <si>
    <t xml:space="preserve">{"power conversion efficiency": {"entity_name": "PCEs", "entity_start": 77, "entity_end": 77, "property_value_start": 89, "property_value_end": 92, "property_numeric_value": 0.415,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</si>
  <si>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PDTS-NDI</t>
  </si>
  <si>
    <t xml:space="preserve">[*]c1cc7c(s1)c6sc(c2cc4c(=O)n(CCCCCC)c(=O)c5c([*])cc3c(=O)n(CCCCCC)c(=O)c2c3c45)cc6[Si]7(CCCCCCCC)CCCCCCCC</t>
  </si>
  <si>
    <t xml:space="preserve">['PDTS-NDI']</t>
  </si>
  <si>
    <t xml:space="preserve">{"power conversion efficiency": {"entity_name": "PCE", "entity_start": 144, "entity_end": 144, "property_value_start": 146, "property_value_end": 147, "property_numeric_value": 1.19,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</si>
  <si>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10.1016/j.polymer.2010.11.022</t>
  </si>
  <si>
    <t xml:space="preserve">{"power conversion efficiency": {"entity_name": "power conversion efficiency", "entity_start": 80, "entity_end": 82, "property_value_start": 84, "property_value_end": 85, "property_numeric_value": 2.68, "property_unit": "%", "property_value_descriptor": ""}, "open circuit voltage": {"entity_name": "open circuit voltage", "entity_start": 73, "entity_end": 75, "property_value_start": 77, "property_value_end": 78, "property_numeric_value": 0.95,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</si>
  <si>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10.1016/j.polymer.2011.07.009</t>
  </si>
  <si>
    <t xml:space="preserve">{"power conversion efficiency": {"entity_name": "power conversion efficiency", "entity_start": 65, "entity_end": 67, "property_value_start": 70, "property_value_end": 71, "property_numeric_value": 2.38,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</si>
  <si>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10.1016/j.polymer.2011.07.029</t>
  </si>
  <si>
    <t xml:space="preserve">OFbTs</t>
  </si>
  <si>
    <t xml:space="preserve">['oligo(fluorene-alt-bithiophene)s', 'OFbTs']</t>
  </si>
  <si>
    <t xml:space="preserve">{"power conversion efficiency": {"entity_name": "PCE", "entity_start": 234, "entity_end": 234, "property_value_start": 236, "property_value_end": 237, "property_numeric_value": 1.75,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</si>
  <si>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10.1016/j.polymer.2017.08.018</t>
  </si>
  <si>
    <t xml:space="preserve">1,4-dithienylphenylene</t>
  </si>
  <si>
    <t xml:space="preserve">{"power conversion efficiency": {"entity_name": "power conversion efficiency", "entity_start": 143, "entity_end": 145, "property_value_start": 167, "property_value_end": 168, "property_numeric_value": 4.13,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</si>
  <si>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10.1016/j.polymer.2015.11.052</t>
  </si>
  <si>
    <t xml:space="preserve">PBDT86-TQ</t>
  </si>
  <si>
    <t xml:space="preserve">[*]c%10cc9c(c1ccc(CC(CCCCCC)CCCCCCCC)s1)c7sc(c5ccc([*])c6nc4c2ccsc2c3sccc3c4nc56)cc7c(c8ccc(CC(CCCCCC)CCCCCCCC)s8)c9s%10</t>
  </si>
  <si>
    <t xml:space="preserve">['PBDT86-TQ']</t>
  </si>
  <si>
    <t xml:space="preserve">{"power conversion efficiency": {"entity_name": "PCE", "entity_start": 123, "entity_end": 123, "property_value_start": 125, "property_value_end": 128, "property_numeric_value": 0.745, "property_unit": "%", "property_value_descriptor": "-"}, "open circuit voltage": {}, "short circuit current": {}, "fill factor": {}, "highest occupied molecular orbital": {"entity_name": "HOMO", "entity_start": 78, "entity_end": 78, "property_value_start": 90, "property_value_end": 91, "property_numeric_value": -5.54, "property_unit": "eV", "property_value_descriptor": ""}, "lowest unoccupied molecular orbital": {}, "bandgap": {}, "hole mobility": {}, "electron mobility": {}, "external quantum efficiency": {}}</t>
  </si>
  <si>
    <t xml:space="preserve">PBDT88-TQ</t>
  </si>
  <si>
    <t xml:space="preserve">['PBDT88-TQ']</t>
  </si>
  <si>
    <t xml:space="preserve">{"power conversion efficiency": {"entity_name": "PCEs", "entity_start": 138, "entity_end": 138, "property_value_start": 142, "property_value_end": 145, "property_numeric_value": 4.1, "property_unit": "%", "property_value_descriptor": "-"}, "open circuit voltage": {"entity_name": "V_{oc}", "entity_start": 148, "entity_end": 149, "property_value_start": 153, "property_value_end": 154, "property_numeric_value": 0.98,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</si>
  <si>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10.1016/j.polymer.2010.05.015</t>
  </si>
  <si>
    <t xml:space="preserve">{"power conversion efficiency": {"entity_name": "power conversion efficiency", "entity_start": 138, "entity_end": 140, "property_value_start": 142, "property_value_end": 143, "property_numeric_value": 3.1,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</si>
  <si>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10.1016/j.polymer.2018.12.041</t>
  </si>
  <si>
    <t xml:space="preserve">PrPDIT</t>
  </si>
  <si>
    <t xml:space="preserve">['PrPDIT']</t>
  </si>
  <si>
    <t xml:space="preserve">{"power conversion efficiency": {"entity_name": "PCE", "entity_start": 187, "entity_end": 187, "property_value_start": 206, "property_value_end": 207, "property_numeric_value": 4.52,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</si>
  <si>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10.1016/j.polymer.2016.07.066</t>
  </si>
  <si>
    <t xml:space="preserve">P(T-DPP)</t>
  </si>
  <si>
    <t xml:space="preserve">[*]c5ccc(c4sc(c3c2c(=O)n(CC(CCCCCC)CCCCCCCC)c(c1cc(CCCCCCCCCC)c([*])s1)c2c(=O)n3CC(CCCCCC)CCCCCCCC)cc4CCCCCCCCCC)s5</t>
  </si>
  <si>
    <t xml:space="preserve">['P(T-DPP)', 'P(TT-DPP)']</t>
  </si>
  <si>
    <t xml:space="preserve">{"power conversion efficiency": {"entity_name": "PCE", "entity_start": 143, "entity_end": 143, "property_value_start": 146, "property_value_end": 147, "property_numeric_value": 3.0, "property_unit": "%", "property_value_descriptor": ""}, "open circuit voltage": {}, "short circuit current": {"entity_name": "J sc", "entity_start": 153, "entity_end": 154, "property_value_start": 157, "property_value_end": 160, "property_numeric_value": 10.4,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</si>
  <si>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10.1016/j.polymer.2015.04.079</t>
  </si>
  <si>
    <t xml:space="preserve">PNDTBT</t>
  </si>
  <si>
    <t xml:space="preserve">[*]c8ccc(c7ccc6c(OCC(CCCCCCCCCC)CCCCCCCCCCCC)c(c5ccc(c4ccc(c2ccc(c1ccc([*])s1)c3nsnc23)s4)s5)ccc6c7OCC(CCCCCCCCCC)CCCCCCCCCCCC)s8</t>
  </si>
  <si>
    <t xml:space="preserve">['PNDTBT']</t>
  </si>
  <si>
    <t xml:space="preserve">{"power conversion efficiency": {"entity_name": "power conversion efficiency", "entity_start": 133, "entity_end": 135, "property_value_start": 137, "property_value_end": 138, "property_numeric_value": 6.24, "property_unit": "%", "property_value_descriptor": ""}, "open circuit voltage": {"entity_name": "V_{oc}", "entity_start": 141, "entity_end": 142, "property_value_start": 144, "property_value_end": 145, "property_numeric_value": 0.94, "property_unit": "V", "property_value_descriptor": ""}, "short circuit current": {}, "fill factor": {}, "highest occupied molecular orbital": {"entity_name": "HOMO energy levels", "entity_start": 65, "entity_end": 67, "property_value_start": 70, "property_value_end": 71, "property_numeric_value": -5.61, "property_unit": "eV", "property_value_descriptor": ""}, "lowest unoccupied molecular orbital": {}, "bandgap": {"entity_name": "bandgaps", "entity_start": 55, "entity_end": 55, "property_value_start": 58, "property_value_end": 61, "property_numeric_value": 1.795, "property_unit": "eV", "property_value_descriptor": "to"}, "hole mobility": {}, "electron mobility": {}, "external quantum efficiency": {}}</t>
  </si>
  <si>
    <t xml:space="preserve">10.1016/j.polymer.2018.07.012</t>
  </si>
  <si>
    <t xml:space="preserve">{"power conversion efficiency": {"entity_name": "power conversion efficiency", "entity_start": 60, "entity_end": 62, "property_value_start": 64, "property_value_end": 65, "property_numeric_value": 4.85,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</si>
  <si>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poly(3-alkylthiophene)s</t>
  </si>
  <si>
    <t xml:space="preserve">['poly(3-alkylthiophene)s']</t>
  </si>
  <si>
    <t xml:space="preserve">{"power conversion efficiency": {"entity_name": "power conversion efficiency", "entity_start": 103, "entity_end": 105, "property_value_start": 107, "property_value_end": 108, "property_numeric_value": 5.51,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</si>
  <si>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10.1016/j.polymer.2016.08.076</t>
  </si>
  <si>
    <t xml:space="preserve">{"power conversion efficiency": {"entity_name": "PCE", "entity_start": 133, "entity_end": 133, "property_value_start": 137, "property_value_end": 138, "property_numeric_value": 2.13,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</si>
  <si>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10.1016/j.polymer.2016.10.011</t>
  </si>
  <si>
    <t xml:space="preserve">PFT1</t>
  </si>
  <si>
    <t xml:space="preserve">[*]c%10cc(CCCCCCCCCCCC)c(c1cc8c(s1)c7sc6c(sc5c3sc(c2sc([*])cc2CCCCCCCCCCCC)cc3c4sc(CCCCCCCC)c(CCCCCCCC)c4c56)c7c9c(CCCCCCCC)c(CCCCCCCC)sc89)s%10</t>
  </si>
  <si>
    <t xml:space="preserve">['PFT1']</t>
  </si>
  <si>
    <t xml:space="preserve">{"power conversion efficiency": {"entity_name": "PCE", "entity_start": 70, "entity_end": 70, "property_value_start": 73, "property_value_end": 74, "property_numeric_value": 1.95,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</si>
  <si>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"holes mobility", "entity_start": 80, "entity_end": 81, "property_value_start": 83, "property_value_end": 92, "property_numeric_value": 0.0204, "property_unit": "cm^{2} V^{-1} s^{-1}", "property_value_descriptor": ""}, "electron mobility": {}, "external quantum efficiency": {}}</t>
  </si>
  <si>
    <t xml:space="preserve">PFT2</t>
  </si>
  <si>
    <t xml:space="preserve">['PFT2']</t>
  </si>
  <si>
    <t xml:space="preserve">{"power conversion efficiency": {"entity_name": "PCE", "entity_start": 131, "entity_end": 131, "property_value_start": 134, "property_value_end": 135, "property_numeric_value": 3.34, "property_unit": "%", "property_value_descriptor": ""}, "open circuit voltage": {}, "short circuit current": {}, "fill factor": {}, "highest occupied molecular orbital": {}, "lowest unoccupied molecular orbital": {}, "bandgap": {}, "hole mobility": {"entity_name": "holes mobility", "entity_start": 143, "entity_end": 144, "property_value_start": 147, "property_value_end": 156, "property_numeric_value": 0.0393, "property_unit": "cm^{2} V^{-1} s^{-1}", "property_value_descriptor": ""}, "electron mobility": {}, "external quantum efficiency": {}}</t>
  </si>
  <si>
    <t xml:space="preserve">10.1021/ma800847f</t>
  </si>
  <si>
    <t xml:space="preserve">{"power conversion efficiency": {"entity_name": "power conversion efficiencies", "entity_start": 184, "entity_end": 186, "property_value_start": 192, "property_value_end": 193, "property_numeric_value": 0.45,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</si>
  <si>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10.1021/ma801420e</t>
  </si>
  <si>
    <t xml:space="preserve">{"power conversion efficiency": {"entity_name": "PCE", "entity_start": 237, "entity_end": 237, "property_value_start": 239, "property_value_end": 240, "property_numeric_value": 1.88, "property_unit": "%", "property_value_descriptor": ""}, "open circuit voltage": {}, "short circuit current": {"entity_name": "I_{sc}", "entity_start": 216, "entity_end": 217, "property_value_start": 220, "property_value_end": 224, "property_numeric_value": 5.93, "property_unit": "mA/cm^{2}", "property_value_descriptor": ""}, "fill factor": {"entity_name": "FF", "entity_start": 230, "entity_end": 230, "property_value_start": 233, "property_value_end": 234, "property_numeric_value": 43.0,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</si>
  <si>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10.1021/ma801368z</t>
  </si>
  <si>
    <t xml:space="preserve">{"power conversion efficiency": {"entity_name": "power conversion efficiency", "entity_start": 99, "entity_end": 101, "property_value_start": 103, "property_value_end": 104, "property_numeric_value": 3.78,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</si>
  <si>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10.1021/ma200287a</t>
  </si>
  <si>
    <t xml:space="preserve">{"power conversion efficiency": {"entity_name": "power conversion efficiency", "entity_start": 203, "entity_end": 205, "property_value_start": 207, "property_value_end": 208, "property_numeric_value": 2.07,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</si>
  <si>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10.1021/ma100051v</t>
  </si>
  <si>
    <t xml:space="preserve">["benzo[1,2-b:4,5-b']dithiophene", 'BnDT']</t>
  </si>
  <si>
    <t xml:space="preserve">{"power conversion efficiency": {"entity_name": "power conversion efficiencies", "entity_start": 106, "entity_end": 108, "property_value_start": 111, "property_value_end": 112,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</si>
  <si>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10.1021/ma801923c</t>
  </si>
  <si>
    <t xml:space="preserve">poly(3-hexylthienylene vinylene)</t>
  </si>
  <si>
    <t xml:space="preserve">['poly(3-hexylthienylene vinylene)', 'P3HTV']</t>
  </si>
  <si>
    <t xml:space="preserve">{"power conversion efficiency": {"entity_name": "power conversion efficiency", "entity_start": 130, "entity_end": 132, "property_value_start": 146, "property_value_end": 147, "property_numeric_value": 0.28,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</si>
  <si>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10.1021/ma201824g</t>
  </si>
  <si>
    <t xml:space="preserve">{"power conversion efficiency": {}, "open circuit voltage": {}, "short circuit current": {"entity_name": "J_{sc}", "entity_start": 131, "entity_end": 133, "property_value_start": 135, "property_value_end": 139, "property_numeric_value": 10.78,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</si>
  <si>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thienyl</t>
  </si>
  <si>
    <t xml:space="preserve">{[*]c5ccc(c4ccc(c3c2c(=O)n(CC(CC)CCCC)c(c1ccc([*])s1)c2c(=O)n3CC(CC)CCCC)s4)s5, [*]c%14ccc(c1cc3c(s1)c2cc9c(cc2C3(c4ccc(OCCCCCCCC)cc4)c5ccc(OCCCCCCCC)cc5)c8sc7c6cc%11c(cc6C(CCCCCCCC)(CCCCCCCC)c7c8C9(CCCCCCC)CCCCCCCC)c%10sc([*])cc%10C%11(c%12ccc(OCCCCCCCC)cc%12)c%13ccc(OCCCCCCCC)cc%13)s%14}</t>
  </si>
  <si>
    <t xml:space="preserve">['thienyl', 'TPTPT', 'PTPTPTBT11', 'PTPTPTBT12', 'PTPTPTDPP11', 'PTPTPTDPP12', 'PTPTPTDPP13']</t>
  </si>
  <si>
    <t xml:space="preserve">{"power conversion efficiency": {"entity_name": "PCE", "entity_start": 227, "entity_end": 227, "property_value_start": 229, "property_value_end": 230, "property_numeric_value": 5.1,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</si>
  <si>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10.1021/ma201835h</t>
  </si>
  <si>
    <t xml:space="preserve">benzo[1,2-b:4,5-b']dithiophene-thieno[3,4-b]thiophene</t>
  </si>
  <si>
    <t xml:space="preserve">["benzo[1,2-b:4,5-b']dithiophene-thieno[3,4-b]thiophene", 'PBnDT-TT', 'PBnDT-TTz']</t>
  </si>
  <si>
    <t xml:space="preserve">{"power conversion efficiency": {"entity_name": "power conversion efficiency", "entity_start": 119, "entity_end": 121, "property_value_start": 123, "property_value_end": 124, "property_numeric_value": 2.5, "property_unit": "%", "property_value_descriptor": ""}, "open circuit voltage": {}, "short circuit current": {}, "fill factor": {}, "highest occupied molecular orbital": {"entity_name": "HOMO level", "entity_start": 102, "entity_end": 103, "property_value_start": 105, "property_value_end": 106, "property_numeric_value": -5.06, "property_unit": "eV", "property_value_descriptor": ""}, "lowest unoccupied molecular orbital": {}, "bandgap": {}, "hole mobility": {}, "electron mobility": {}, "external quantum efficiency": {}}</t>
  </si>
  <si>
    <t xml:space="preserve">10.1021/ma1027164</t>
  </si>
  <si>
    <t xml:space="preserve">TTPz</t>
  </si>
  <si>
    <t xml:space="preserve">{"power conversion efficiency": {"entity_name": "power conversion efficiency", "entity_start": 182, "entity_end": 184, "property_value_start": 187, "property_value_end": 188, "property_numeric_value": 4.4,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</si>
  <si>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10.1021/ma2006206</t>
  </si>
  <si>
    <t xml:space="preserve">P1-P3</t>
  </si>
  <si>
    <t xml:space="preserve">['P1-P3']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</si>
  <si>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bandgaps", "entity_start": 156, "entity_end": 157, "property_value_start": 160, "property_value_end": 163, "property_numeric_value": 1.975, "property_unit": "eV", "property_value_descriptor": "to"}, "hole mobility": {}, "electron mobility": {}, "external quantum efficiency": {}}</t>
  </si>
  <si>
    <t xml:space="preserve">{"power conversion efficiency": {"entity_name": "power conversion efficiency", "entity_start": 243, "entity_end": 245, "property_value_start": 247, "property_value_end": 248, "property_numeric_value": 1.04, "property_unit": "%", "property_value_descriptor": ""}, "open circuit voltage": {"entity_name": "open-circuit voltage", "entity_start": 251, "entity_end": 254, "property_value_start": 256, "property_value_end": 257, "property_numeric_value": 0.77, "property_unit": "V", "property_value_descriptor": ""}, "short circuit current": {"entity_name": "short-circuit current density", "entity_start": 259, "entity_end": 263, "property_value_start": 265, "property_value_end": 268, "property_numeric_value": 3.42, "property_unit": "mA cm^{-2}", "property_value_descriptor": ""}, "fill factor": {"entity_name": "fill factor", "entity_start": 270, "entity_end": 271, "property_value_start": 273, "property_value_end": 273, "property_numeric_value": 39.0,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</si>
  <si>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10.1021/ma901829d</t>
  </si>
  <si>
    <t xml:space="preserve">{"power conversion efficiency": {"entity_name": "power conversion efficiency", "entity_start": 205, "entity_end": 207, "property_value_start": 209, "property_value_end": 210, "property_numeric_value": 3.7,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{"entity_name": "external quantum efficiency", "entity_start": 225, "entity_end": 227, "property_value_start": 229, "property_value_end": 230, "property_numeric_value": 69.0, "property_unit": "%", "property_value_descriptor": ""}}</t>
  </si>
  <si>
    <t xml:space="preserve">10.1021/ma102783d</t>
  </si>
  <si>
    <t xml:space="preserve">EWC3</t>
  </si>
  <si>
    <t xml:space="preserve">['EWC3', 'EWC1']</t>
  </si>
  <si>
    <t xml:space="preserve">{"power conversion efficiency": {"entity_name": "power conversion efficiency", "entity_start": 65, "entity_end": 67, "property_value_start": 69, "property_value_end": 70, "property_numeric_value": 3.7, "property_unit": "%", "property_value_descriptor": ""}, "open circuit voltage": {"entity_name": "V_{oc}", "entity_start": 78, "entity_end": 79, "property_value_start": 82, "property_value_end": 83, "property_numeric_value": 0.92,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</si>
  <si>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10.1021/ma900601y</t>
  </si>
  <si>
    <t xml:space="preserve">poly(2,7-(9,9-dioctylfluorene)-alt-5',5'-(4,7-bis(3'-hexyl-2,2'-bithiophen-5-yl)benzo[c][1,2,5]thiadiazole))</t>
  </si>
  <si>
    <t xml:space="preserve">[*]c9ccc8c7ccc(c6cc(CCCCCC)c(c5ccc(c3ccc(c2ccc(c1sc([*])cc1CCCCCC)s2)c4nsnc34)s5)s6)cc7C(CCCCCCCC)(CCCCCCCC)c8c9</t>
  </si>
  <si>
    <t xml:space="preserve">["poly(2,7-(9,9-dioctylfluorene)-alt-5',5'-(4,7-bis(3'-hexyl-2,2'-bithiophen-5-yl)benzo[c][1,2,5]thiadiazole))", 'PFO-M3']</t>
  </si>
  <si>
    <t xml:space="preserve">{"power conversion efficiency": {"entity_name": "power-conversion efficiency", "entity_start": 90, "entity_end": 93, "property_value_start": 95, "property_value_end": 96, "property_numeric_value": 2.63, "property_unit": "%", "property_value_descriptor": ""}, "open circuit voltage": {"entity_name": "open-circuit voltage", "entity_start": 99, "entity_end": 102, "property_value_start": 104, "property_value_end": 105, "property_numeric_value": 0.86,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</si>
  <si>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poly(2,7-(9,9-dioctylfluorene)-alt-5,5-(4',7'-di-2-thienylbenzo[c][1,2,5]thiadiazole))</t>
  </si>
  <si>
    <t xml:space="preserve">["poly(2,7-(9,9-dioctylfluorene)-alt-5,5-(4',7'-di-2-thienylbenzo[c][1,2,5]thiadiazole))", 'PFO-DBT']</t>
  </si>
  <si>
    <t xml:space="preserve">{"power conversion efficiency": {}, "open circuit voltage": {}, "short circuit current": {"entity_name": "short-circuit current density", "entity_start": 108, "entity_end": 112, "property_value_start": 114, "property_value_end": 117, "property_numeric_value": 5.86, "property_unit": "mA cm^{-2}", "property_value_descriptor": ""}, "fill factor": {"entity_name": "fill factor", "entity_start": 120, "entity_end": 121, "property_value_start": 123, "property_value_end": 123, "property_numeric_value": 52.0,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</si>
  <si>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10.1021/ma500333r</t>
  </si>
  <si>
    <t xml:space="preserve">{"power conversion efficiency": {"entity_name": "PCE", "entity_start": 178, "entity_end": 178, "property_value_start": 181, "property_value_end": 182, "property_numeric_value": 5.13, "property_unit": "%", "property_value_descriptor": ""}, "open circuit voltage": {"entity_name": "V_{oc}", "entity_start": 136, "entity_end": 138, "property_value_start": 140, "property_value_end": 141, "property_numeric_value": 0.97, "property_unit": "V", "property_value_descriptor": ""}, "short circuit current": {"entity_name": "J_{sc}", "entity_start": 149, "entity_end": 150, "property_value_start": 153, "property_value_end": 157, "property_numeric_value": 8.96, "property_unit": "mA/cm^{2}", "property_value_descriptor": ""}, "fill factor": {"entity_name": "FF", "entity_start": 164, "entity_end": 164, "property_value_start": 167, "property_value_end": 168, "property_numeric_value": 58.99, "property_unit": "%", "property_value_descriptor": ""}, "highest occupied molecular orbital": {}, "lowest unoccupied molecular orbital": {}, "bandgap": {}, "hole mobility": {"entity_name": "hole mobilities", "entity_start": 80, "entity_end": 81, "property_value_start": 83, "property_value_end": 89, "property_numeric_value": 0.01, "property_unit": "cm^{2} V^{-1} s^{-1}", "property_value_descriptor": ""}, "electron mobility": {}, "external quantum efficiency": {}}</t>
  </si>
  <si>
    <t xml:space="preserve">10.1021/ma401846n</t>
  </si>
  <si>
    <t xml:space="preserve">benzo[1,2-b:4,5-b']dithiophene-bithiophene</t>
  </si>
  <si>
    <t xml:space="preserve">["benzo[1,2-b:4,5-b']dithiophene-bithiophene", 'BDT-BT']</t>
  </si>
  <si>
    <t xml:space="preserve">{"power conversion efficiency": {"entity_name": "power conversion efficiency", "entity_start": 142, "entity_end": 144, "property_value_start": 146, "property_value_end": 147, "property_numeric_value": 4.25,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</si>
  <si>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10.1021/ma500829r</t>
  </si>
  <si>
    <t xml:space="preserve">PBDTTT-EFF</t>
  </si>
  <si>
    <t xml:space="preserve">[*]c7cc6c(c1ccc(CC(CC)CCCC)o1)c4sc(c2sc([*])c3c(F)c(C(=O)OCC(CC)CCCC)sc23)cc4c(c5ccc(CC(CC)CCCC)o5)c6s7</t>
  </si>
  <si>
    <t xml:space="preserve">['PBDTTT-EFF', 'PBDTTT-EFS']</t>
  </si>
  <si>
    <t xml:space="preserve">{"power conversion efficiency": {"entity_name": "PCEs", "entity_start": 198, "entity_end": 198, "property_value_start": 203, "property_value_end": 204, "property_numeric_value": 8.78, "property_unit": "%", "property_value_descriptor": ""}, "open circuit voltage": {"entity_name": "V_{oc}", "entity_start": 218, "entity_end": 219, "property_value_start": 221, "property_value_end": 222, "property_numeric_value": 0.69, "property_unit": "V", "property_value_descriptor": ""}, "short circuit current": {"entity_name": "J_{sc}", "entity_start": 225, "entity_end": 226, "property_value_start": 228, "property_value_end": 232, "property_numeric_value": 11.77,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</si>
  <si>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10.1021/ma201360r</t>
  </si>
  <si>
    <t xml:space="preserve">PBDTTTz-2</t>
  </si>
  <si>
    <t xml:space="preserve">['PBDTTTz-2']</t>
  </si>
  <si>
    <t xml:space="preserve">{"power conversion efficiency": {}, "open circuit voltage": {}, "short circuit current": {}, "fill factor": {}, "highest occupied molecular orbital": {}, "lowest unoccupied molecular orbital": {}, "bandgap": {"entity_name": "bandgap", "entity_start": 55, "entity_end": 55, "property_value_start": 59, "property_value_end": 60, "property_numeric_value": 1.7, "property_unit": "eV", "property_value_descriptor": ""}, "hole mobility": {}, "electron mobility": {}, "external quantum efficiency": {}}</t>
  </si>
  <si>
    <t xml:space="preserve">PBDTTTz-1</t>
  </si>
  <si>
    <t xml:space="preserve">['PBDTTTz-1']</t>
  </si>
  <si>
    <t xml:space="preserve">{"power conversion efficiency": {"entity_name": "power conversion efficiency", "entity_start": 107, "entity_end": 109, "property_value_start": 116, "property_value_end": 117, "property_numeric_value": 1.7, "property_unit": "%", "property_value_descriptor": ""}, "open circuit voltage": {}, "short circuit current": {}, "fill factor": {}, "highest occupied molecular orbital": {"entity_name": "HOMO energy level", "entity_start": 71, "entity_end": 73, "property_value_start": 80, "property_value_end": 81, "property_numeric_value": -5.4, "property_unit": "eV", "property_value_descriptor": ""}, "lowest unoccupied molecular orbital": {}, "bandgap": {}, "hole mobility": {}, "electron mobility": {}, "external quantum efficiency": {}}</t>
  </si>
  <si>
    <t xml:space="preserve">10.1021/acs.macromol.9b00793</t>
  </si>
  <si>
    <t xml:space="preserve">PDCBT-Cl</t>
  </si>
  <si>
    <t xml:space="preserve">["poly[5,5'-bis(2-hexyldecyl)-(2,2'-bithiophene)-4,4'-dicarboxylate-alt-5,5'-3-chloro-2,2'-bithiophene]", 'PDCBT-Cl']</t>
  </si>
  <si>
    <t xml:space="preserve">{"power conversion efficiency": {"entity_name": "PCEs", "entity_start": 211, "entity_end": 211, "property_value_start": 231, "property_value_end": 232, "property_numeric_value": 6.94,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</si>
  <si>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10.1021/ma4005555</t>
  </si>
  <si>
    <t xml:space="preserve">P(BDT-TT-BO)</t>
  </si>
  <si>
    <t xml:space="preserve">['P(BDT-TT-BO)', 'P(BDT-TT-BO)-based']</t>
  </si>
  <si>
    <t xml:space="preserve">{"power conversion efficiency": {"entity_name": "Power conversion efficiency", "entity_start": 73, "entity_end": 75, "property_value_start": 91, "property_value_end": 92, "property_numeric_value": 7.05,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</si>
  <si>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10.1021/acs.macromol.5b00702</t>
  </si>
  <si>
    <t xml:space="preserve">oligo(ethylene glycol)</t>
  </si>
  <si>
    <t xml:space="preserve">['oligo(ethylene glycol)', 'OEG']</t>
  </si>
  <si>
    <t xml:space="preserve">{"power conversion efficiency": {"entity_name": "power conversion efficiency", "entity_start": 171, "entity_end": 173, "property_value_start": 175, "property_value_end": 176, "property_numeric_value": 4.04,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</si>
  <si>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10.1021/acs.macromol.6b01069</t>
  </si>
  <si>
    <t xml:space="preserve">PDFQx3 T</t>
  </si>
  <si>
    <t xml:space="preserve">['PDFQx3 T']</t>
  </si>
  <si>
    <t xml:space="preserve">{"power conversion efficiency": {"entity_name": "power conversion efficiency", "entity_start": 217, "entity_end": 219, "property_value_start": 221, "property_value_end": 222, "property_numeric_value": 5.11, "property_unit": "%", "property_value_descriptor": ""}, "open circuit voltage": {"entity_name": "open-circuit voltage", "entity_start": 158, "entity_end": 161, "property_value_start": 163, "property_value_end": 164, "property_numeric_value": 0.8, "property_unit": "V", "property_value_descriptor": ""}, "short circuit current": {}, "fill factor": {"entity_name": "fill factor", "entity_start": 167, "entity_end": 168, "property_value_start": 170, "property_value_end": 170, "property_numeric_value": 60.0,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</si>
  <si>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10.1021/ma501756p</t>
  </si>
  <si>
    <t xml:space="preserve">{"power conversion efficiency": {"entity_name": "PCE", "entity_start": 152, "entity_end": 152, "property_value_start": 155, "property_value_end": 156, "property_numeric_value": 7.3, "property_unit": "%", "property_value_descriptor": ""}, "open circuit voltage": {"entity_name": "open-circuit voltage", "entity_start": 160, "entity_end": 163, "property_value_start": 165, "property_value_end": 166, "property_numeric_value": 0.9,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</si>
  <si>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10.1021/ma402637e</t>
  </si>
  <si>
    <t xml:space="preserve">{"power conversion efficiency": {"entity_name": "PCE", "entity_start": 151, "entity_end": 151, "property_value_start": 159, "property_value_end": 160, "property_numeric_value": 0.07,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</si>
  <si>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10.1021/ma400452j</t>
  </si>
  <si>
    <t xml:space="preserve">DTP</t>
  </si>
  <si>
    <t xml:space="preserve">{"power conversion efficiency": {"entity_name": "power conversion efficiencies", "entity_start": 199, "entity_end": 201, "property_value_start": 203, "property_value_end": 204, "property_numeric_value": 8.0, "property_unit": "%", "property_value_descriptor": ""}, "open circuit voltage": {}, "short circuit current": {}, "fill factor": {}, "highest occupied molecular orbital": {}, "lowest unoccupied molecular orbital": {}, "bandgap": {"entity_name": "bandgap", "entity_start": 95, "entity_end": 95, "property_value_start": 97, "property_value_end": 98, "property_numeric_value": 1.38, "property_unit": "eV", "property_value_descriptor": ""}, "hole mobility": {}, "electron mobility": {}, "external quantum efficiency": {}}</t>
  </si>
  <si>
    <t xml:space="preserve">10.1021/acs.macromol.5b02658</t>
  </si>
  <si>
    <t xml:space="preserve">{"power conversion efficiency": {"entity_name": "power conversion efficiency", "entity_start": 157, "entity_end": 159, "property_value_start": 162, "property_value_end": 163,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mobility", "entity_start": 102, "entity_end": 103, "property_value_start": 105, "property_value_end": 108, "property_numeric_value": 0.26, "property_unit": "cm^{2}(V s)", "property_value_descriptor": ""}, "external quantum efficiency": {}}</t>
  </si>
  <si>
    <t xml:space="preserve">10.1021/ma202540j</t>
  </si>
  <si>
    <t xml:space="preserve">{"power conversion efficiency": {"entity_name": "power conversion efficiencies", "entity_start": 108, "entity_end": 110, "property_value_start": 113, "property_value_end": 114, "property_numeric_value": 1.8, "property_unit": "%", "property_value_descriptor": ""}, "open circuit voltage": {"entity_name": "V_{oc}", "entity_start": 78, "entity_end": 79, "property_value_start": 85, "property_value_end": 86, "property_numeric_value": 1.07,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</si>
  <si>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10.1021/ma301312d</t>
  </si>
  <si>
    <t xml:space="preserve">naphtho[2,3-b:6,7-d']dithiophene</t>
  </si>
  <si>
    <t xml:space="preserve">["naphtho[2,3-b:6,7-d']dithiophene", "poly[4,9-bis(2-ethylhexyloxy)naphtho[2,3-b:6,7-d']dithiophene-2,7-diyl-alt-1,3-(5-heptadecan-9-yl)-4H-thieno[3,4-c]pyrrole-4,6-dione]", 'NDT)-base']</t>
  </si>
  <si>
    <t xml:space="preserve">{"power conversion efficiency": {"entity_name": "power conversion efficiency", "entity_start": 98, "entity_end": 100, "property_value_start": 102, "property_value_end": 103, "property_numeric_value": 4.0, "property_unit": "%", "property_value_descriptor": ""}, "open circuit voltage": {"entity_name": "open-circuit voltage", "entity_start": 119, "entity_end": 122, "property_value_start": 124, "property_value_end": 125, "property_numeric_value": 0.69, "property_unit": "V", "property_value_descriptor": ""}, "short circuit current": {"entity_name": "short-circuit current density", "entity_start": 106, "entity_end": 110, "property_value_start": 112, "property_value_end": 116, "property_numeric_value": 11.54, "property_unit": "mA/cm^{2}", "property_value_descriptor": ""}, "fill factor": {"entity_name": "fill factor", "entity_start": 129, "entity_end": 130, "property_value_start": 132, "property_value_end": 132, "property_numeric_value": 50.0,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</si>
  <si>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10.1021/ma301987p</t>
  </si>
  <si>
    <t xml:space="preserve">5,10-dihydroindolo[3,2-b]indole</t>
  </si>
  <si>
    <t xml:space="preserve">{"power conversion efficiency": {"entity_name": "power conversion efficiency", "entity_start": 166, "entity_end": 168, "property_value_start": 172, "property_value_end": 173,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</si>
  <si>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10.1021/ma400440q</t>
  </si>
  <si>
    <t xml:space="preserve">{"power conversion efficiency": {"entity_name": "power conversion efficiency", "entity_start": 77, "entity_end": 79, "property_value_start": 81, "property_value_end": 82, "property_numeric_value": 4.6, "property_unit": "%", "property_value_descriptor": ""}, "open circuit voltage": {}, "short circuit current": {}, "fill factor": {"entity_name": "fill factor", "entity_start": 68, "entity_end": 69, "property_value_start": 73, "property_value_end": 74, "property_numeric_value": 70.0,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</si>
  <si>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10.1021/ma202661b</t>
  </si>
  <si>
    <t xml:space="preserve">{"power conversion efficiency": {"entity_name": "PCE", "entity_start": 215, "entity_end": 215, "property_value_start": 218, "property_value_end": 219, "property_numeric_value": 1.69,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</si>
  <si>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PPTDTBT</t>
  </si>
  <si>
    <t xml:space="preserve">[*]c7ccc(c1ccc6c(c1)sc5cc(c4ccc(c2ccc([*])c3nsnc23)s4)ccc5n6CC(CCCCCCCCCC)CCCCCCCCCCCC)s7</t>
  </si>
  <si>
    <t xml:space="preserve">['PPTDTBT']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</si>
  <si>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"\u03bc", "entity_start": 244, "entity_end": 244, "property_value_start": 246, "property_value_end": 255, "property_numeric_value": 0.0006900000000000001, "property_unit": "cm^{2} V^{-1} s^{-1}", "property_value_descriptor": ""}, "electron mobility": {}, "external quantum efficiency": {}}</t>
  </si>
  <si>
    <t xml:space="preserve">10.1021/acs.macromol.5b02416</t>
  </si>
  <si>
    <t xml:space="preserve">PBT4 T</t>
  </si>
  <si>
    <t xml:space="preserve">[*]c6ccc(c5ccc(c4sc(c2ccc(c1cc(CC(CCCCCCCC)CCCCCCCCCC)c([*])s1)c3nsnc23)cc4CC(CCCCCCCC)CCCCCCCCCC)s5)s6</t>
  </si>
  <si>
    <t xml:space="preserve">['PBT4 T']</t>
  </si>
  <si>
    <t xml:space="preserve">{"power conversion efficiency": {"entity_name": "PCE", "entity_start": 183, "entity_end": 183, "property_value_start": 185, "property_value_end": 186, "property_numeric_value": 8.38,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</si>
  <si>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PDTBT-TT</t>
  </si>
  <si>
    <t xml:space="preserve">['PDTBT-TT']</t>
  </si>
  <si>
    <t xml:space="preserve">{"power conversion efficiency": {"entity_name": "PCE", "entity_start": 206, "entity_end": 206, "property_value_start": 208, "property_value_end": 209, "property_numeric_value": 9.18,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</si>
  <si>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10.1021/ma501888z</t>
  </si>
  <si>
    <t xml:space="preserve">{"power conversion efficiency": {"entity_name": "PCEs", "entity_start": 100, "entity_end": 100, "property_value_start": 103, "property_value_end": 106, "property_numeric_value": 5.305, "property_unit": "%", "property_value_descriptor": "and"},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</si>
  <si>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10.1021/ma5023956</t>
  </si>
  <si>
    <t xml:space="preserve">{"power conversion efficiency": {"entity_name": "power conversion efficiencies", "entity_start": 48, "entity_end": 50, "property_value_start": 52, "property_value_end": 53, "property_numeric_value": 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</si>
  <si>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10.1021/ma502186g</t>
  </si>
  <si>
    <t xml:space="preserve">PnTQTI(F)</t>
  </si>
  <si>
    <t xml:space="preserve">['PnTQTI(F)']</t>
  </si>
  <si>
    <t xml:space="preserve">{"power conversion efficiency": {"entity_name": "PCE", "entity_start": 222, "entity_end": 222, "property_value_start": 225, "property_value_end": 226, "property_numeric_value": 7.0,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</si>
  <si>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10.1021/acs.macromol.6b00269</t>
  </si>
  <si>
    <t xml:space="preserve">PDTSTTBDT</t>
  </si>
  <si>
    <t xml:space="preserve">['PDTSTTBDT']</t>
  </si>
  <si>
    <t xml:space="preserve">{"power conversion efficiency": {"entity_name": "power conversion efficiency", "entity_start": 133, "entity_end": 135, "property_value_start": 139, "property_value_end": 140, "property_numeric_value": 6.14, "property_unit": "%", "property_value_descriptor": ""}, "open circuit voltage": {}, "short circuit current": {}, "fill factor": {}, "highest occupied molecular orbital": {}, "lowest unoccupied molecular orbital": {}, "bandgap": {"entity_name": "optical bandgap", "entity_start": 70, "entity_end": 71, "property_value_start": 73, "property_value_end": 74, "property_numeric_value": 1.45, "property_unit": "eV", "property_value_descriptor": ""}, "hole mobility": {}, "electron mobility": {}, "external quantum efficiency": {}}</t>
  </si>
  <si>
    <t xml:space="preserve">10.1021/acs.macromol.7b01738</t>
  </si>
  <si>
    <t xml:space="preserve">{"power conversion efficiency": {"entity_name": "PCE", "entity_start": 165, "entity_end": 165, "property_value_start": 167, "property_value_end": 168, "property_numeric_value": 8.26,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</si>
  <si>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PDMIDT-TPD</t>
  </si>
  <si>
    <t xml:space="preserve">['PDMIDT-TPD']</t>
  </si>
  <si>
    <t xml:space="preserve">{"power conversion efficiency": {"entity_name": "PCE", "entity_start": 208, "entity_end": 208, "property_value_start": 210, "property_value_end": 211, "property_numeric_value": 6.88,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</si>
  <si>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10.1021/ma501736m</t>
  </si>
  <si>
    <t xml:space="preserve">TTDBC</t>
  </si>
  <si>
    <t xml:space="preserve">{"power conversion efficiency": {"entity_name": "PCE", "entity_start": 136, "entity_end": 136, "property_value_start": 138, "property_value_end": 139, "property_numeric_value": 4.5, "property_unit": "%", "property_value_descriptor": ""}, "open circuit voltage": {"entity_name": "V_{oc}", "entity_start": 102, "entity_end": 103, "property_value_start": 105, "property_value_end": 106, "property_numeric_value": 0.91, "property_unit": "V", "property_value_descriptor": ""}, "short circuit current": {"entity_name": "J_{sc}", "entity_start": 118, "entity_end": 119, "property_value_start": 121, "property_value_end": 124, "property_numeric_value": 9.27, "property_unit": "mA cm^{-2}", "property_value_descriptor": ""}, "fill factor": {"entity_name": "FF", "entity_start": 127, "entity_end": 127, "property_value_start": 129, "property_value_end": 129, "property_numeric_value": 51.0,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</si>
  <si>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10.1021/acs.macromol.7b01613</t>
  </si>
  <si>
    <t xml:space="preserve">['PFBT', 'FTh']</t>
  </si>
  <si>
    <t xml:space="preserve">{"power conversion efficiency": {"entity_name": "power conversion efficiency", "entity_start": 53, "entity_end": 55, "property_value_start": 63, "property_value_end": 64, "property_numeric_value": 7.29,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</si>
  <si>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10.1021/ma501989s</t>
  </si>
  <si>
    <t xml:space="preserve">PCOAEHDPP</t>
  </si>
  <si>
    <t xml:space="preserve">['PCOAEHDPP']</t>
  </si>
  <si>
    <t xml:space="preserve">{"power conversion efficiency": {"entity_name": "PCE", "entity_start": 146, "entity_end": 146, "property_value_start": 149, "property_value_end": 150, "property_numeric_value": 2.15,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</si>
  <si>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10.1021/acs.macromol.6b00927</t>
  </si>
  <si>
    <t xml:space="preserve">PBT-O8</t>
  </si>
  <si>
    <t xml:space="preserve">['PBT-O8', 'PBT-C8']</t>
  </si>
  <si>
    <t xml:space="preserve">{"power conversion efficiency": {"entity_name": "PCE", "entity_start": 136, "entity_end": 136, "property_value_start": 137, "property_value_end": 138, "property_numeric_value": 7.5, "property_unit": "%", "property_value_descriptor": ""}, "open circuit voltage": {}, "short circuit current": {"entity_name": "J_{SC}", "entity_start": 98, "entity_end": 100, "property_value_start": 104, "property_value_end": 108, "property_numeric_value": 14.3,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</si>
  <si>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10.1021/acs.macromol.7b00934</t>
  </si>
  <si>
    <t xml:space="preserve">{"power conversion efficiency": {"entity_name": "PCE", "entity_start": 146, "entity_end": 146, "property_value_start": 149, "property_value_end": 150, "property_numeric_value": 2.72, "property_unit": "%", "property_value_descriptor": ""}, "open circuit voltage": {"entity_name": "V_{OC}", "entity_start": 159, "entity_end": 160, "property_value_start": 163, "property_value_end": 164, "property_numeric_value": 1.04,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</si>
  <si>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10.1021/acs.macromol.8b00126</t>
  </si>
  <si>
    <t xml:space="preserve">{"power conversion efficiency": {"entity_name": "PCE", "entity_start": 254, "entity_end": 254, "property_value_start": 256, "property_value_end": 257, "property_numeric_value": 9.37,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</si>
  <si>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10.1021/acs.macromol.8b02445</t>
  </si>
  <si>
    <t xml:space="preserve">{"power conversion efficiency": {"entity_name": "PCE", "entity_start": 117, "entity_end": 117, "property_value_start": 120, "property_value_end": 121, "property_numeric_value": 9.89,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</si>
  <si>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10.1021/acs.macromol.9b00495</t>
  </si>
  <si>
    <t xml:space="preserve">{"power conversion efficiency": {"entity_name": "PCE", "entity_start": 189, "entity_end": 189, "property_value_start": 197, "property_value_end": 198, "property_numeric_value": 1.92,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</si>
  <si>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10.1021/acs.macromol.8b01036</t>
  </si>
  <si>
    <t xml:space="preserve">J62</t>
  </si>
  <si>
    <t xml:space="preserve">['J61', 'J62', 'J63', 'J64']</t>
  </si>
  <si>
    <t xml:space="preserve">{"power conversion efficiency": {"entity_name": "PCE", "entity_start": 155, "entity_end": 155, "property_value_start": 164, "property_value_end": 165, "property_numeric_value": 92.0,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</si>
  <si>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10.1021/acs.macromol.8b00805</t>
  </si>
  <si>
    <t xml:space="preserve">PETVTTBT</t>
  </si>
  <si>
    <t xml:space="preserve">['PETVTTBT', 'PTVTTBT']</t>
  </si>
  <si>
    <t xml:space="preserve">{"power conversion efficiency": {"entity_name": "PCE", "entity_start": 141, "entity_end": 141, "property_value_start": 162, "property_value_end": 163, "property_numeric_value": 8.18,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</si>
  <si>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10.1021/acs.macromol.7b01509</t>
  </si>
  <si>
    <t xml:space="preserve">{"power conversion efficiency": {"entity_name": "PCE", "entity_start": 158, "entity_end": 158, "property_value_start": 160, "property_value_end": 161, "property_numeric_value": 7.57,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</si>
  <si>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10.1021/acs.macromol.5b00829</t>
  </si>
  <si>
    <t xml:space="preserve">PBQ-4</t>
  </si>
  <si>
    <t xml:space="preserve">[*]c%11ccc(c9c(F)c(F)c(c6ccc(c5cc4c(c1cc(F)c(CC(CC)CCCC)s1)c2sc([*])cc2c(c3cc(F)c(CC(CC)CCCC)s3)c4s5)s6)c%10nc(c7cccc(OCCCCCCCC)c7)c(c8cccc(OCCCCCCCCC)c8)nc9%10)s%11</t>
  </si>
  <si>
    <t xml:space="preserve">['PBQ-4']</t>
  </si>
  <si>
    <t xml:space="preserve">{"power conversion efficiency": {"entity_name": "PCE", "entity_start": 185, "entity_end": 185, "property_value_start": 188, "property_value_end": 189, "property_numeric_value": 8.55, "property_unit": "%", "property_value_descriptor": ""}, "open circuit voltage": {"entity_name": "V_{OC}", "entity_start": 145, "entity_end": 146, "property_value_start": 148, "property_value_end": 149, "property_numeric_value": 0.9,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</si>
  <si>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10.1021/acs.macromol.8b00161</t>
  </si>
  <si>
    <t xml:space="preserve">TffBT-TETOR</t>
  </si>
  <si>
    <t xml:space="preserve">['TffBT-TETOR']</t>
  </si>
  <si>
    <t xml:space="preserve">{"power conversion efficiency": {"entity_name": "PCE", "entity_start": 216, "entity_end": 216, "property_value_start": 218, "property_value_end": 219, "property_numeric_value": 10.08,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</si>
  <si>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TRTOR</t>
  </si>
  <si>
    <t xml:space="preserve">['TRTOR', 'TffBT-TRTOR']</t>
  </si>
  <si>
    <t xml:space="preserve">{"power conversion efficiency": {}, "open circuit voltage": {"entity_name": "V_{oc}", "entity_start": 223, "entity_end": 224, "property_value_start": 226, "property_value_end": 227, "property_numeric_value": 0.76, "property_unit": "V", "property_value_descriptor": ""}, "short circuit current": {"entity_name": "J_{sc}", "entity_start": 232, "entity_end": 233, "property_value_start": 235, "property_value_end": 238, "property_numeric_value": 18.3,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</si>
  <si>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10.1021/acs.macromol.8b00975</t>
  </si>
  <si>
    <t xml:space="preserve">ffBT</t>
  </si>
  <si>
    <t xml:space="preserve">['ffBT']</t>
  </si>
  <si>
    <t xml:space="preserve">{"power conversion efficiency": {"entity_name": "PCE", "entity_start": 183, "entity_end": 183, "property_value_start": 185, "property_value_end": 186, "property_numeric_value": 2.6, "property_unit": "%", "property_value_descriptor": ""}, "open circuit voltage": {"entity_name": "V_{oc}", "entity_start": 189, "entity_end": 190, "property_value_start": 192, "property_value_end": 193, "property_numeric_value": 0.49,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</si>
  <si>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10.1039/c3py00195d</t>
  </si>
  <si>
    <t xml:space="preserve">poly[alkylidenefluorene-alt-di-2-thienyl-2,1,3-benzothiadiazole]</t>
  </si>
  <si>
    <t xml:space="preserve">['poly[alkylidenefluorene-alt-di-2-thienyl-2,1,3-benzothiadiazole]']</t>
  </si>
  <si>
    <t xml:space="preserve">{"power conversion efficiency": {"entity_name": "PCE", "entity_start": 214, "entity_end": 214, "property_value_start": 217, "property_value_end": 218, "property_numeric_value": 3.6, "property_unit": "%", "property_value_descriptor": ""}, "open circuit voltage": {"entity_name": "V_{oc}", "entity_start": 243, "entity_end": 244, "property_value_start": 247, "property_value_end": 248, "property_numeric_value": 0.88, "property_unit": "V", "property_value_descriptor": ""}, "short circuit current": {"entity_name": "J_{sc}", "entity_start": 228, "entity_end": 230, "property_value_start": 232, "property_value_end": 235, "property_numeric_value": 8.9, "property_unit": "mA cm^{-2}", "property_value_descriptor": ""}, "fill factor": {"entity_name": "FF", "entity_start": 255, "entity_end": 255, "property_value_start": 258, "property_value_end": 259, "property_numeric_value": 45.7,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</si>
  <si>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poly[9,9-bis(6'-(diethanolamino)hexyl)fluorene]</t>
  </si>
  <si>
    <t xml:space="preserve">["poly[9,9-bis(6'-(diethanolamino)hexyl)fluorene]", 'PFN-OH']</t>
  </si>
  <si>
    <t xml:space="preserve">{"power conversion efficiency": {"entity_name": "PCE", "entity_start": 274, "entity_end": 274, "property_value_start": 276, "property_value_end": 277, "property_numeric_value": 3.9,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</si>
  <si>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10.1039/c3py00251a</t>
  </si>
  <si>
    <t xml:space="preserve">{"power conversion efficiency": {"entity_name": "PCE", "entity_start": 162, "entity_end": 162, "property_value_start": 164, "property_value_end": 165, "property_numeric_value": 4.2, "property_unit": "%", "property_value_descriptor": ""}, "open circuit voltage": {"entity_name": "V_{oc}", "entity_start": 171, "entity_end": 172, "property_value_start": 176, "property_value_end": 177, "property_numeric_value": 0.96,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</si>
  <si>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10.1039/c5py00071h</t>
  </si>
  <si>
    <t xml:space="preserve">PBDT-TS3</t>
  </si>
  <si>
    <t xml:space="preserve">['PBDT-TS1', 'PBDT-TS3']</t>
  </si>
  <si>
    <t xml:space="preserve">{"power conversion efficiency": {"entity_name": "power conversion efficiency", "entity_start": 273, "entity_end": 275, "property_value_start": 278, "property_value_end": 279, "property_numeric_value": 9.5,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</si>
  <si>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10.1039/c5py01245g</t>
  </si>
  <si>
    <t xml:space="preserve">{"power conversion efficiency": {"entity_name": "PCE", "entity_start": 278, "entity_end": 278, "property_value_start": 280, "property_value_end": 281, "property_numeric_value": 5.5, "property_unit": "%", "property_value_descriptor": "~"}, "open circuit voltage": {"entity_name": "open-circuit voltage", "entity_start": 140, "entity_end": 143, "property_value_start": 145, "property_value_end": 148, "property_numeric_value": 0.8200000000000001, "property_unit": "V", "property_value_descriptor": "~-"}, "short circuit current": {"entity_name": "short-circuit current density", "entity_start": 230, "entity_end": 234, "property_value_start": 236, "property_value_end": 238, "property_numeric_value": 12.0, "property_unit": "mA cm^{-2}", "property_value_descriptor": "~"}, "fill factor": {"entity_name": "fill factor", "entity_start": 159, "entity_end": 160, "property_value_start": 162, "property_value_end": 162, "property_numeric_value": 70.0, "property_unit": "%", "property_value_descriptor": "~"}, "highest occupied molecular orbital": {}, "lowest unoccupied molecular orbital": {}, "bandgap": {}, "hole mobility": {}, "electron mobility": {}, "external quantum efficiency": {}}</t>
  </si>
  <si>
    <t xml:space="preserve">10.1039/c1py00301a</t>
  </si>
  <si>
    <t xml:space="preserve">{"power conversion efficiency": {"entity_name": "PCE", "entity_start": 130, "entity_end": 130, "property_value_start": 132, "property_value_end": 133, "property_numeric_value": 0.44, "property_unit": "%", "property_value_descriptor": ""}, "open circuit voltage": {"entity_name": "V_{oc}", "entity_start": 111, "entity_end": 112, "property_value_start": 114, "property_value_end": 115, "property_numeric_value": 0.86, "property_unit": "V", "property_value_descriptor": ""}, "short circuit current": {"entity_name": "J_{sc}", "entity_start": 117, "entity_end": 118, "property_value_start": 120, "property_value_end": 123, "property_numeric_value": 1.4, "property_unit": "mA cm^{-2}", "property_value_descriptor": ""}, "fill factor": {"entity_name": "FF", "entity_start": 125, "entity_end": 125, "property_value_start": 127, "property_value_end": 128, "property_numeric_value": 37.0,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</si>
  <si>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10.1039/c2py00424k</t>
  </si>
  <si>
    <t xml:space="preserve">{"power conversion efficiency": {"entity_name": "PCE", "entity_start": 88, "entity_end": 88, "property_value_start": 91, "property_value_end": 92, "property_numeric_value": 1.5,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</si>
  <si>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10.1039/c2py20064c</t>
  </si>
  <si>
    <t xml:space="preserve">{"power conversion efficiency": {"entity_name": "power conversion efficiency", "entity_start": 251, "entity_end": 253, "property_value_start": 255, "property_value_end": 256, "property_numeric_value": 1.63,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</si>
  <si>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10.1039/c2py20417g</t>
  </si>
  <si>
    <t xml:space="preserve">{"power conversion efficiency": {"entity_name": "power conversion efficiency", "entity_start": 136, "entity_end": 138, "property_value_start": 140, "property_value_end": 141, "property_numeric_value": 2.62, "property_unit": "%", "property_value_descriptor": ""}, "open circuit voltage": {"entity_name": "V_{OC}", "entity_start": 127, "entity_end": 128, "property_value_start": 130, "property_value_end": 131, "property_numeric_value": 0.84,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</si>
  <si>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10.1039/c2py20401k</t>
  </si>
  <si>
    <t xml:space="preserve">{"power conversion efficiency": {"entity_name": "power conversion efficiencies", "entity_start": 198, "entity_end": 200, "property_value_start": 202, "property_value_end": 205, "property_numeric_value": 0.38, "property_unit": "%", "property_value_descriptor": "&lt;="},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</si>
  <si>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10.1039/c6py00901h</t>
  </si>
  <si>
    <t xml:space="preserve">PDPPNp</t>
  </si>
  <si>
    <t xml:space="preserve">['PDPPNp', 'PDPPNF']</t>
  </si>
  <si>
    <t xml:space="preserve">{"power conversion efficiency": {}, "open circuit voltage": {"entity_name": "V_{oc}", "entity_start": 111, "entity_end": 112, "property_value_start": 115, "property_value_end": 116, "property_numeric_value": 0.77,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</si>
  <si>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PDPPFBT</t>
  </si>
  <si>
    <t xml:space="preserve">['PDPPFBT']</t>
  </si>
  <si>
    <t xml:space="preserve">{"power conversion efficiency": {}, "open circuit voltage": {}, "short circuit current": {"entity_name": "J_{sc}", "entity_start": 156, "entity_end": 157, "property_value_start": 159, "property_value_end": 162, "property_numeric_value": 13.44,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</si>
  <si>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PDPPBT</t>
  </si>
  <si>
    <t xml:space="preserve">['PDPPBT', 'PDPPBF']</t>
  </si>
  <si>
    <t xml:space="preserve">{"power conversion efficiency": {"entity_name": "PCEs", "entity_start": 219, "entity_end": 219, "property_value_start": 226, "property_value_end": 227, "property_numeric_value": 6.39,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</si>
  <si>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10.1039/c2py20488f</t>
  </si>
  <si>
    <t xml:space="preserve">poly(2,7-carbazole-alt-4,7-dithienyl-2,1,3-naphthothiadiazole)</t>
  </si>
  <si>
    <t xml:space="preserve">['poly(2,7-carbazole-alt-4,7-dithienyl-2,1,3-naphthothiadiazole)', 'PCDTNT']</t>
  </si>
  <si>
    <t xml:space="preserve">{"power conversion efficiency": {"entity_name": "PCE", "entity_start": 165, "entity_end": 165, "property_value_start": 169, "property_value_end": 170, "property_numeric_value": 1.31, "property_unit": "%", "property_value_descriptor": ""}, "open circuit voltage": {"entity_name": "V_{OC}", "entity_start": 153, "entity_end": 154, "property_value_start": 157, "property_value_end": 158, "property_numeric_value": 0.81, "property_unit": "V", "property_value_descriptor": ""}, "short circuit current": {}, "fill factor": {}, "highest occupied molecular orbital": {}, "lowest unoccupied molecular orbital": {}, "bandgap": {"entity_name": "optical bandgap", "entity_start": 102, "entity_end": 103, "property_value_start": 121, "property_value_end": 122, "property_numeric_value": 1.88, "property_unit": "eV", "property_value_descriptor": ""}, "hole mobility": {}, "electron mobility": {}, "external quantum efficiency": {}}</t>
  </si>
  <si>
    <t xml:space="preserve">10.1039/c5py00431d</t>
  </si>
  <si>
    <t xml:space="preserve">PBDTTT-S-TEG</t>
  </si>
  <si>
    <t xml:space="preserve">['PBDTTT-S-TEG']</t>
  </si>
  <si>
    <t xml:space="preserve">{"power conversion efficiency": {"entity_name": "PCE", "entity_start": 42, "entity_end": 42, "property_value_start": 44, "property_value_end": 45, "property_numeric_value": 4.5,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</si>
  <si>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10.1039/c2py20795h</t>
  </si>
  <si>
    <t xml:space="preserve">{"power conversion efficiency": {"entity_name": "power conversion efficiency", "entity_start": 66, "entity_end": 68, "property_value_start": 70, "property_value_end": 71, "property_numeric_value": 3.4,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</si>
  <si>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10.1039/c5py00394f</t>
  </si>
  <si>
    <t xml:space="preserve">{"power conversion efficiency": {}, "open circuit voltage": {"entity_name": "V_{oc}", "entity_start": 212, "entity_end": 213, "property_value_start": 217, "property_value_end": 218, "property_numeric_value": 1.0,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</si>
  <si>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PBDT-PQD1</t>
  </si>
  <si>
    <t xml:space="preserve">['PBDT-PQD1']</t>
  </si>
  <si>
    <t xml:space="preserve">{"power conversion efficiency": {"entity_name": "power conversion efficiency", "entity_start": 228, "entity_end": 230, "property_value_start": 232, "property_value_end": 233, "property_numeric_value": 4.9,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</si>
  <si>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10.1039/c1py00119a</t>
  </si>
  <si>
    <t xml:space="preserve">{"power conversion efficiency": {"entity_name": "power conversion efficiency", "entity_start": 190, "entity_end": 192, "property_value_start": 194, "property_value_end": 195, "property_numeric_value": 2.16, "property_unit": "%", "property_value_descriptor": ""}, "open circuit voltage": {"entity_name": "V_{oc}", "entity_start": 199, "entity_end": 200, "property_value_start": 202, "property_value_end": 203, "property_numeric_value": 1.03,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</si>
  <si>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10.1039/c0py00136h</t>
  </si>
  <si>
    <t xml:space="preserve">{"power conversion efficiency": {"entity_name": "power conversion efficiency", "entity_start": 154, "entity_end": 156, "property_value_start": 158, "property_value_end": 159, "property_numeric_value": 1.7, "property_unit": "%", "property_value_descriptor": ""}, "open circuit voltage": {}, "short circuit current": {"entity_name": "short circuit current density", "entity_start": 162, "entity_end": 165, "property_value_start": 167, "property_value_end": 170, "property_numeric_value": 4.5,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</si>
  <si>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poly{4,8-bis(2-ethylhexyloxy)benzo[1,2-b;3,4-b]dithiophene-2,6-diyl-alt-2-dodecylbenzotriazole-4,7-diyl}</t>
  </si>
  <si>
    <t xml:space="preserve">['poly{4,8-bis(2-ethylhexyloxy)benzo[1,2-b;3,4-b]dithiophene-2,6-diyl-alt-2-dodecylbenzotriazole-4,7-diyl}', 'PBDTBTz']</t>
  </si>
  <si>
    <t xml:space="preserve">{"power conversion efficiency": {"entity_name": "power conversion efficiency", "entity_start": 184, "entity_end": 186, "property_value_start": 190, "property_value_end": 191, "property_numeric_value": 1.4, "property_unit": "%", "property_value_descriptor": ""}, "open circuit voltage": {}, "short circuit current": {}, "fill factor": {"entity_name": "fill factor", "entity_start": 174, "entity_end": 175, "property_value_start": 177, "property_value_end": 177, "property_numeric_value": 62.0,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</si>
  <si>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10.1039/c1py00402f</t>
  </si>
  <si>
    <t xml:space="preserve">P(iI-DTS)</t>
  </si>
  <si>
    <t xml:space="preserve">['P(iI-DTS)']</t>
  </si>
  <si>
    <t xml:space="preserve">{"power conversion efficiency": {"entity_name": "power conversion efficiencies", "entity_start": 99, "entity_end": 101, "property_value_start": 103, "property_value_end": 104,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</si>
  <si>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10.1039/c1py00323b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</si>
  <si>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 gaps", "entity_start": 45, "entity_end": 47, "property_value_start": 52, "property_value_end": 55, "property_numeric_value": 1.72, "property_unit": "eV", "property_value_descriptor": "-"}, "hole mobility": {}, "electron mobility": {}, "external quantum efficiency": {}}</t>
  </si>
  <si>
    <t xml:space="preserve">10.1039/c2py20674a</t>
  </si>
  <si>
    <t xml:space="preserve">{"power conversion efficiency": {"entity_name": "PCE", "entity_start": 173, "entity_end": 173, "property_value_start": 175, "property_value_end": 176, "property_numeric_value": 3.12, "property_unit": "%", "property_value_descriptor": ""}, "open circuit voltage": {"entity_name": "V_{oc}", "entity_start": 163, "entity_end": 164, "property_value_start": 166, "property_value_end": 167, "property_numeric_value": 0.8,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</si>
  <si>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10.1039/c3py21062f</t>
  </si>
  <si>
    <t xml:space="preserve">{"power conversion efficiency": {"entity_name": "power conversion efficiency", "entity_start": 153, "entity_end": 155, "property_value_start": 157, "property_value_end": 158, "property_numeric_value": 4.88, "property_unit": "%", "property_value_descriptor": ""}, "open circuit voltage": {"entity_name": "V_{oc}", "entity_start": 119, "entity_end": 120, "property_value_start": 123, "property_value_end": 124, "property_numeric_value": 0.71, "property_unit": "V", "property_value_descriptor": ""}, "short circuit current": {"entity_name": "J_{sc}", "entity_start": 133, "entity_end": 134, "property_value_start": 137, "property_value_end": 140, "property_numeric_value": 13.52, "property_unit": "mA cm^{-2}", "property_value_descriptor": ""}, "fill factor": {"entity_name": "FF", "entity_start": 146, "entity_end": 146, "property_value_start": 149, "property_value_end": 149, "property_numeric_value": 51.0,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</si>
  <si>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10.1039/c5py00333d</t>
  </si>
  <si>
    <t xml:space="preserve">{"power conversion efficiency": {"entity_name": "power conversion efficiency", "entity_start": 212, "entity_end": 214, "property_value_start": 217, "property_value_end": 218, "property_numeric_value": 5.05,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</si>
  <si>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PNfTB</t>
  </si>
  <si>
    <t xml:space="preserve">['PNfTB']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</si>
  <si>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239, "entity_end": 240, "property_value_start": 242, "property_value_end": 248, "property_numeric_value": 0.14, "property_unit": "cm^{2} V^{-1} s^{-1}", "property_value_descriptor": ""}, "electron mobility": {}, "external quantum efficiency": {}}</t>
  </si>
  <si>
    <t xml:space="preserve">10.1039/c4py00791c</t>
  </si>
  <si>
    <t xml:space="preserve">{"power conversion efficiency": {"entity_name": "PCE", "entity_start": 73, "entity_end": 73, "property_value_start": 75, "property_value_end": 76, "property_numeric_value": 5.72,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</si>
  <si>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PIT</t>
  </si>
  <si>
    <t xml:space="preserve">['PIT', 'PITe']</t>
  </si>
  <si>
    <t xml:space="preserve">{"power conversion efficiency": {"entity_name": "PCE", "entity_start": 92, "entity_end": 92, "property_value_start": 94, "property_value_end": 95, "property_numeric_value": 1.16, "property_unit": "%", "property_value_descriptor": ""}, "open circuit voltage": {}, "short circuit current": {"entity_name": "J_{SC}", "entity_start": 99, "entity_end": 100, "property_value_start": 102, "property_value_end": 105, "property_numeric_value": 2.51,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</si>
  <si>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10.1039/c3py00961k</t>
  </si>
  <si>
    <t xml:space="preserve">{"power conversion efficiency": {"entity_name": "power conversion efficiency", "entity_start": 145, "entity_end": 147, "property_value_start": 149, "property_value_end": 150, "property_numeric_value": 4.8,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</si>
  <si>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PNB-C16</t>
  </si>
  <si>
    <t xml:space="preserve">['PNB-C16']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</si>
  <si>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169, "entity_end": 170, "property_value_start": 172, "property_value_end": 181, "property_numeric_value": 0.034, "property_unit": "cm^{2} V^{-1} s^{-1}", "property_value_descriptor": ""}, "electron mobility": {}, "external quantum efficiency": {}}</t>
  </si>
  <si>
    <t xml:space="preserve">10.1039/c5py00538h</t>
  </si>
  <si>
    <t xml:space="preserve">{"power conversion efficiency": {"entity_name": "PCE", "entity_start": 184, "entity_end": 184, "property_value_start": 188, "property_value_end": 189, "property_numeric_value": 2.0, "property_unit": "%", "property_value_descriptor": ""}, "open circuit voltage": {}, "short circuit current": {}, "fill factor": {}, "highest occupied molecular orbital": {}, "lowest unoccupied molecular orbital": {"entity_name": "LUMO", "entity_start": 162, "entity_end": 162, "property_value_start": 164, "property_value_end": 165, "property_numeric_value": -4.22, "property_unit": "eV", "property_value_descriptor": ""}, "bandgap": {}, "hole mobility": {}, "electron mobility": {}, "external quantum efficiency": {}}</t>
  </si>
  <si>
    <t xml:space="preserve">10.1039/c9py00608g</t>
  </si>
  <si>
    <t xml:space="preserve">PTBOTz</t>
  </si>
  <si>
    <t xml:space="preserve">['PTBOTz']</t>
  </si>
  <si>
    <t xml:space="preserve">{"power conversion efficiency": {"entity_name": "PCE", "entity_start": 175, "entity_end": 175, "property_value_start": 177, "property_value_end": 178, "property_numeric_value": 8.32,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</si>
  <si>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10.1039/c3py01436c</t>
  </si>
  <si>
    <t xml:space="preserve">{"power conversion efficiency": {"entity_name": "power conversion efficiencies", "entity_start": 51, "entity_end": 53, "property_value_start": 56, "property_value_end": 57, "property_numeric_value": 4.06,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</si>
  <si>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10.1039/c9py00461k</t>
  </si>
  <si>
    <t xml:space="preserve">PBDTP</t>
  </si>
  <si>
    <t xml:space="preserve">['PBDTP', 'asy-PBDTPBT']</t>
  </si>
  <si>
    <t xml:space="preserve">{"power conversion efficiency": {"entity_name": "PCE", "entity_start": 146, "entity_end": 146, "property_value_start": 157, "property_value_end": 158, "property_numeric_value": 7.37,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</si>
  <si>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10.1039/c4py01622j</t>
  </si>
  <si>
    <t xml:space="preserve">{"power conversion efficiency": {"entity_name": "PCE", "entity_start": 329, "entity_end": 329, "property_value_start": 331, "property_value_end": 332, "property_numeric_value": 5.92, "property_unit": "%", "property_value_descriptor": ""}, "open circuit voltage": {"entity_name": "V_{oc}", "entity_start": 335, "entity_end": 336, "property_value_start": 338, "property_value_end": 339, "property_numeric_value": 0.77, "property_unit": "V", "property_value_descriptor": ""}, "short circuit current": {"entity_name": "J_{sc}", "entity_start": 342, "entity_end": 343, "property_value_start": 345, "property_value_end": 348, "property_numeric_value": 12.25, "property_unit": "mA cm^{-2}", "property_value_descriptor": ""}, "fill factor": {"entity_name": "FF", "entity_start": 351, "entity_end": 351, "property_value_start": 353, "property_value_end": 353, "property_numeric_value": 63.0, "property_unit": "%", "property_value_descriptor": ""}, "highest occupied molecular orbital": {}, "lowest unoccupied molecular orbital": {}, "bandgap": {}, "hole mobility": {"entity_name": "hole mobility", "entity_start": 174, "entity_end": 175, "property_value_start": 190, "property_value_end": 199, "property_numeric_value": 4.1e-06, "property_unit": "cm^{2} V^{-1} s^{-1}", "property_value_descriptor": ""}, "electron mobility": {}, "external quantum efficiency": {}}</t>
  </si>
  <si>
    <t xml:space="preserve">10.1039/c5py00199d</t>
  </si>
  <si>
    <t xml:space="preserve">{"power conversion efficiency": {"entity_name": "PCE", "entity_start": 145, "entity_end": 145, "property_value_start": 148, "property_value_end": 149, "property_numeric_value": 6.19, "property_unit": "%", "property_value_descriptor": ""}, "open circuit voltage": {"entity_name": "V_{oc}", "entity_start": 157, "entity_end": 159, "property_value_start": 161, "property_value_end": 162, "property_numeric_value": 0.8, "property_unit": "V", "property_value_descriptor": ""}, "short circuit current": {"entity_name": "J_{sc}", "entity_start": 171, "entity_end": 172, "property_value_start": 175, "property_value_end": 178, "property_numeric_value": 12.72, "property_unit": "mA cm^{-2}", "property_value_descriptor": ""}, "fill factor": {"entity_name": "FF", "entity_start": 184, "entity_end": 184, "property_value_start": 187, "property_value_end": 188, "property_numeric_value": 60.97,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</si>
  <si>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10.1039/c5py00769k</t>
  </si>
  <si>
    <t xml:space="preserve">PBDTBPA(H)-DPP</t>
  </si>
  <si>
    <t xml:space="preserve">['PBDTBPA(H)-DPP', 'PBDTBPA(F)-DPP']</t>
  </si>
  <si>
    <t xml:space="preserve">{"power conversion efficiency": {"entity_name": "PCE", "entity_start": 321, "entity_end": 321, "property_value_start": 324, "property_value_end": 325, "property_numeric_value": 5.58, "property_unit": "%", "property_value_descriptor": ""}, "open circuit voltage": {"entity_name": "V_{oc}", "entity_start": 309, "entity_end": 311, "property_value_start": 313, "property_value_end": 314, "property_numeric_value": 0.74,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</si>
  <si>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10.1039/c1py00327e</t>
  </si>
  <si>
    <t xml:space="preserve">{"power conversion efficiency": {"entity_name": "PCE", "entity_start": 149, "entity_end": 149, "property_value_start": 169, "property_value_end": 170, "property_numeric_value": 3.87, "property_unit": "%", "property_value_descriptor": ""}, "open circuit voltage": {"entity_name": "V_{oc}", "entity_start": 172, "entity_end": 173, "property_value_start": 175, "property_value_end": 176, "property_numeric_value": 0.78, "property_unit": "V", "property_value_descriptor": ""}, "short circuit current": {"entity_name": "J_{sc}", "entity_start": 182, "entity_end": 183, "property_value_start": 186, "property_value_end": 189, "property_numeric_value": 9.68, "property_unit": "mA cm^{-2}", "property_value_descriptor": ""}, "fill factor": {"entity_name": "FF", "entity_start": 194, "entity_end": 194, "property_value_start": 197, "property_value_end": 198, "property_numeric_value": 51.2,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</si>
  <si>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10.1039/c7py01792h</t>
  </si>
  <si>
    <t xml:space="preserve">PBBCl2-T3</t>
  </si>
  <si>
    <t xml:space="preserve">['PBBCl2-T3']</t>
  </si>
  <si>
    <t xml:space="preserve">{"power conversion efficiency": {}, "open circuit voltage": {"entity_name": "V_{oc}", "entity_start": 116, "entity_end": 117, "property_value_start": 121, "property_value_end": 122, "property_numeric_value": 0.84,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</si>
  <si>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PBBCl1-T2</t>
  </si>
  <si>
    <t xml:space="preserve">['PBBCl1-T2', 'PBBCl1-T3']</t>
  </si>
  <si>
    <t xml:space="preserve">{"power conversion efficiency": {"entity_name": "PCE", "entity_start": 152, "entity_end": 152, "property_value_start": 159, "property_value_end": 160, "property_numeric_value": 6.87, "property_unit": "%", "property_value_descriptor": ""}, "open circuit voltage": {"entity_name": "V_{oc}", "entity_start": 163, "entity_end": 164, "property_value_start": 166, "property_value_end": 167, "property_numeric_value": 0.73,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</si>
  <si>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10.1039/c7py00689f</t>
  </si>
  <si>
    <t xml:space="preserve">PBTIBDTT</t>
  </si>
  <si>
    <t xml:space="preserve">['PBTIBDTT']</t>
  </si>
  <si>
    <t xml:space="preserve">{"power conversion efficiency": {"entity_name": "PCEs", "entity_start": 126, "entity_end": 126, "property_value_start": 130, "property_value_end": 131, "property_numeric_value": 8.6,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</si>
  <si>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10.1039/c5py01064k</t>
  </si>
  <si>
    <t xml:space="preserve">{"power conversion efficiency": {"entity_name": "PCE", "entity_start": 50, "entity_end": 50, "property_value_start": 52, "property_value_end": 53, "property_numeric_value": 6.76, "property_unit": "%", "property_value_descriptor": ""}, "open circuit voltage": {"entity_name": "V_{oc}", "entity_start": 57, "entity_end": 58, "property_value_start": 60, "property_value_end": 61, "property_numeric_value": 0.91, "property_unit": "V", "property_value_descriptor": ""}, "short circuit current": {"entity_name": "J_{sc}", "entity_start": 64, "entity_end": 65, "property_value_start": 67, "property_value_end": 70, "property_numeric_value": 9.96, "property_unit": "mA cm^{-2}", "property_value_descriptor": ""}, "fill factor": {"entity_name": "FF", "entity_start": 74, "entity_end": 74, "property_value_start": 76, "property_value_end": 77, "property_numeric_value": 74.5,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</si>
  <si>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10.1039/c5py01389e</t>
  </si>
  <si>
    <t xml:space="preserve">PCPDT</t>
  </si>
  <si>
    <t xml:space="preserve">['PCPDT']</t>
  </si>
  <si>
    <t xml:space="preserve">{"power conversion efficiency": {"entity_name": "PCE", "entity_start": 280, "entity_end": 280, "property_value_start": 282, "property_value_end": 283, "property_numeric_value": 3.74, "property_unit": "%", "property_value_descriptor": ""}, "open circuit voltage": {"entity_name": "V_{oc}", "entity_start": 274, "entity_end": 275, "property_value_start": 277, "property_value_end": 278, "property_numeric_value": 0.82, "property_unit": "V", "property_value_descriptor": ""}, "short circuit current": {}, "fill factor": {}, "highest occupied molecular orbital": {}, "lowest unoccupied molecular orbital": {}, "bandgap": {"entity_name": "E_{g}", "entity_start": 185, "entity_end": 186, "property_value_start": 188, "property_value_end": 189, "property_numeric_value": 1.85, "property_unit": "eV", "property_value_descriptor": ""}, "hole mobility": {}, "electron mobility": {}, "external quantum efficiency": {}}</t>
  </si>
  <si>
    <t xml:space="preserve">10.1016/j.eurpolymj.2017.10.032</t>
  </si>
  <si>
    <t xml:space="preserve">poly{3-[(6-sodium sulfonate)hexyl]thiophene}</t>
  </si>
  <si>
    <t xml:space="preserve">['poly{3-[(6-sodium sulfonate)hexyl]thiophene}', 'PT6S']</t>
  </si>
  <si>
    <t xml:space="preserve">{"power conversion efficiency": {"entity_name": "power conversion efficiency", "entity_start": 96, "entity_end": 98, "property_value_start": 119, "property_value_end": 120, "property_numeric_value": 3.63,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</si>
  <si>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10.1016/j.eurpolymj.2011.09.028</t>
  </si>
  <si>
    <t xml:space="preserve">{"power conversion efficiency": {"entity_name": "power conversion efficiency", "entity_start": 116, "entity_end": 118, "property_value_start": 120, "property_value_end": 121, "property_numeric_value": 1.09, "property_unit": "%", "property_value_descriptor": ""}, "open circuit voltage": {"entity_name": "open-circuit voltage", "entity_start": 124, "entity_end": 127, "property_value_start": 129, "property_value_end": 130, "property_numeric_value": 0.75, "property_unit": "V", "property_value_descriptor": ""}, "short circuit current": {"entity_name": "short-circuit current", "entity_start": 133, "entity_end": 136, "property_value_start": 138, "property_value_end": 141, "property_numeric_value": 3.69, "property_unit": "mA cm^{-2}", "property_value_descriptor": ""}, "fill factor": {"entity_name": "fill factor", "entity_start": 145, "entity_end": 146, "property_value_start": 148, "property_value_end": 148, "property_numeric_value": 50.0,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</si>
  <si>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10.1002/pola.22599</t>
  </si>
  <si>
    <t xml:space="preserve">{"power conversion efficiency": {"entity_name": "power conversion efficiencies", "entity_start": 112, "entity_end": 114, "property_value_start": 149, "property_value_end": 150, "property_numeric_value": 0.26,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</si>
  <si>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10.1002/pola.21851</t>
  </si>
  <si>
    <t xml:space="preserve">poly(3-hexylthiophene-co-thiophene)</t>
  </si>
  <si>
    <t xml:space="preserve">['poly(3-hexylthiophene-co-thiophene)', 'P1']</t>
  </si>
  <si>
    <t xml:space="preserve">{"power conversion efficiency": {"entity_name": "PCEs", "entity_start": 185, "entity_end": 185, "property_value_start": 208, "property_value_end": 209, "property_numeric_value": 1.7,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mobilities", "entity_start": 134, "entity_end": 135, "property_value_start": 170, "property_value_end": 175, "property_numeric_value": 0.000702, "property_unit": "cm^{2}/V s", "property_value_descriptor": ""}, "electron mobility": {}, "external quantum efficiency": {}}</t>
  </si>
  <si>
    <t xml:space="preserve">10.1002/pola.23381</t>
  </si>
  <si>
    <t xml:space="preserve">{"power conversion efficiency": {"entity_name": "power conversion efficiency", "entity_start": 262, "entity_end": 264, "property_value_start": 266, "property_value_end": 267, "property_numeric_value": 0.45,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</si>
  <si>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10.1002/pola.23812</t>
  </si>
  <si>
    <t xml:space="preserve">{"power conversion efficiency": {"entity_name": "power conversion efficiency", "entity_start": 229, "entity_end": 231, "property_value_start": 233, "property_value_end": 234, "property_numeric_value": 2.45,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</si>
  <si>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10.1002/pola.23931</t>
  </si>
  <si>
    <t xml:space="preserve">PCTDPP</t>
  </si>
  <si>
    <t xml:space="preserve">['PCTDPP']</t>
  </si>
  <si>
    <t xml:space="preserve">{"power conversion efficiency": {}, "open circuit voltage": {}, "short circuit current": {}, "fill factor": {}, "highest occupied molecular orbital": {}, "lowest unoccupied molecular orbital": {}, "bandgap": {"entity_name": "band gap", "entity_start": 37, "entity_end": 38, "property_value_start": 40, "property_value_end": 41, "property_numeric_value": 1.31, "property_unit": "eV", "property_value_descriptor": ""}, "hole mobility": {}, "electron mobility": {}, "external quantum efficiency": {}}</t>
  </si>
  <si>
    <t xml:space="preserve">{"power conversion efficiency": {"entity_name": "power conversion efficiency", "entity_start": 96, "entity_end": 98, "property_value_start": 100, "property_value_end": 101, "property_numeric_value": 2.27, "property_unit": "%", "property_value_descriptor": ""}, "open circuit voltage": {}, "short circuit current": {"entity_name": "short-circuit current", "entity_start": 84, "entity_end": 87, "property_value_start": 89, "property_value_end": 93, "property_numeric_value": 10.87,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</si>
  <si>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10.1002/marc.200600007</t>
  </si>
  <si>
    <t xml:space="preserve">['P1', '4', 'P2', '4']</t>
  </si>
  <si>
    <t xml:space="preserve">{"power conversion efficiency": {"entity_name": "PCEs", "entity_start": 124, "entity_end": 124, "property_value_start": 143, "property_value_end": 144, "property_numeric_value": 0.78,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</si>
  <si>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10.1002/marc.201900035</t>
  </si>
  <si>
    <t xml:space="preserve">PBClTTz-0</t>
  </si>
  <si>
    <t xml:space="preserve">['PBClTTz-0', 'PBClTTz-2']</t>
  </si>
  <si>
    <t xml:space="preserve">{"power conversion efficiency": {}, "open circuit voltage": {"entity_name": "V_{OC}", "entity_start": 91, "entity_end": 93, "property_value_start": 95, "property_value_end": 97, "property_numeric_value": 0.94, "property_unit": "V", "property_value_descriptor": "&gt;"},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</si>
  <si>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PBClTTz-1</t>
  </si>
  <si>
    <t xml:space="preserve">['PBClTTz-1']</t>
  </si>
  <si>
    <t xml:space="preserve">{"power conversion efficiency": {"entity_name": "PCE", "entity_start": 152, "entity_end": 152, "property_value_start": 168, "property_value_end": 169, "property_numeric_value": 6.85,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</si>
  <si>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10.1002/marc.201900227</t>
  </si>
  <si>
    <t xml:space="preserve">PBDFF-FBz</t>
  </si>
  <si>
    <t xml:space="preserve">['PBDFF-FBz']</t>
  </si>
  <si>
    <t xml:space="preserve">{"power conversion efficiency": {"entity_name": "PCE", "entity_start": 212, "entity_end": 212, "property_value_start": 216, "property_value_end": 217, "property_numeric_value": 8.79,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</si>
  <si>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10.1002/macp.200900670</t>
  </si>
  <si>
    <t xml:space="preserve">{"power conversion efficiency": {"entity_name": "power conversion efficiencies", "entity_start": 77, "entity_end": 79, "property_value_start": 85, "property_value_end": 86, "property_numeric_value": 0.45,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</si>
  <si>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10.1007/s13233-019-7067-7</t>
  </si>
  <si>
    <t xml:space="preserve">{"power conversion efficiency": {"entity_name": "PCE", "entity_start": 157, "entity_end": 157, "property_value_start": 159, "property_value_end": 160, "property_numeric_value": 2.64, "property_unit": "%", "property_value_descriptor": ""}, "open circuit voltage": {"entity_name": "V_{OC}", "entity_start": 145, "entity_end": 146, "property_value_start": 148, "property_value_end": 149, "property_numeric_value": 0.72, "property_unit": "V", "property_value_descriptor": ""}, "short circuit current": {"entity_name": "J_{SC}", "entity_start": 135, "entity_end": 136, "property_value_start": 138, "property_value_end": 142, "property_numeric_value": 6.78, "property_unit": "mA/cm^{2}", "property_value_descriptor": ""}, "fill factor": {"entity_name": "FF", "entity_start": 152, "entity_end": 152, "property_value_start": 154, "property_value_end": 154, "property_numeric_value": 54.0,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</si>
  <si>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10.1007/s13233-018-6130-0</t>
  </si>
  <si>
    <t xml:space="preserve">{"power conversion efficiency": {"entity_name": "power conversion efficiencies", "entity_start": 115, "entity_end": 117, "property_value_start": 121, "property_value_end": 122, "property_numeric_value": 1.84,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</si>
  <si>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10.1007/s10118-017-1888-7</t>
  </si>
  <si>
    <t xml:space="preserve">PFS-4C</t>
  </si>
  <si>
    <t xml:space="preserve">['PFS-4C', 'PFS-4C.']</t>
  </si>
  <si>
    <t xml:space="preserve">{"power conversion efficiency": {"entity_name": "PCE", "entity_start": 175, "entity_end": 175, "property_value_start": 178, "property_value_end": 179, "property_numeric_value": 10.54,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</si>
  <si>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10.1007/s10118-017-1875-z</t>
  </si>
  <si>
    <t xml:space="preserve">poly[(2,5-bis(2-hexyldecyloxy)phenylene)-alt-(5,6-difluoro-4,7-di(thiophen-2-yl)benzo[c] [1,2,5]thiadiazole)]</t>
  </si>
  <si>
    <t xml:space="preserve">['poly[(2,5-bis(2-hexyldecyloxy)phenylene)-alt-(5,6-difluoro-4,7-di(thiophen-2-yl)benzo[c] [1,2,5]thiadiazole)]', 'PPDT2FBT']</t>
  </si>
  <si>
    <t xml:space="preserve">{"power conversion efficiency": {"entity_name": "PCE", "entity_start": 153, "entity_end": 153, "property_value_start": 164, "property_value_end": 165, "property_numeric_value": 3.04,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</si>
  <si>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10.1002/adv.21324</t>
  </si>
  <si>
    <t xml:space="preserve">6,6)-phenyl C_{71}-butyric aci</t>
  </si>
  <si>
    <t xml:space="preserve">{"power conversion efficiency": {"entity_name": "PCE", "entity_start": 161, "entity_end": 161, "property_value_start": 173, "property_value_end": 174, "property_numeric_value": 0.21, "property_unit": "%", "property_value_descriptor": ""}, "open circuit voltage": {}, "short circuit current": {}, "fill factor": {}, "highest occupied molecular orbital": {"entity_name": "highest occupied molecular orbital", "entity_start": 94, "entity_end": 98, "property_value_start": 102, "property_value_end": 103, "property_numeric_value": -5.24, "property_unit": "eV", "property_value_descriptor": ""}, "lowest unoccupied molecular orbital": {}, "bandgap": {}, "hole mobility": {}, "electron mobility": {}, "external quantum efficiency": {}}</t>
  </si>
  <si>
    <t xml:space="preserve">10.1021/acsami.7b19351</t>
  </si>
  <si>
    <t xml:space="preserve">PDTDP-4</t>
  </si>
  <si>
    <t xml:space="preserve">['PDTDP-4']</t>
  </si>
  <si>
    <t xml:space="preserve">{"power conversion efficiency": {"entity_name": "power conversion efficiency", "entity_start": 134, "entity_end": 136, "property_value_start": 138, "property_value_end": 139, "property_numeric_value": 7.26, "property_unit": "%", "property_value_descriptor": ""}, "open circuit voltage": {"entity_name": "V_{oc}", "entity_start": 141, "entity_end": 142, "property_value_start": 144, "property_value_end": 145, "property_numeric_value": 0.72, "property_unit": "V", "property_value_descriptor": ""}, "short circuit current": {"entity_name": "J_{sc}", "entity_start": 152, "entity_end": 153, "property_value_start": 155, "property_value_end": 159, "property_numeric_value": 15.3, "property_unit": "mA/cm^{2}", "property_value_descriptor": ""}, "fill factor": {"entity_name": "FF", "entity_start": 147, "entity_end": 147, "property_value_start": 149, "property_value_end": 149, "property_numeric_value": 66.0,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</si>
  <si>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10.1021/am200624s</t>
  </si>
  <si>
    <t xml:space="preserve">poly{2,7-(9,9-didodecylfluorene)-alt-5,5-[4',7'-bis(2-thienyl)-2',1',3'-benzothiadiazole]}</t>
  </si>
  <si>
    <t xml:space="preserve">["poly{2,7-(9,9-didodecylfluorene)-alt-5,5-[4',7'-bis(2-thienyl)-2',1',3'-benzothiadiazole]}"]</t>
  </si>
  <si>
    <t xml:space="preserve">{"power conversion efficiency": {"entity_name": "PCE", "entity_start": 44, "entity_end": 44, "property_value_start": 46, "property_value_end": 47,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</si>
  <si>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10.1021/acsami.7b02164</t>
  </si>
  <si>
    <t xml:space="preserve">{"power conversion efficiency": {"entity_name": "PCE", "entity_start": 158, "entity_end": 158, "property_value_start": 171, "property_value_end": 172, "property_numeric_value": 6.1,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</si>
  <si>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193, "entity_end": 193, "property_value_start": 195, "property_value_end": 196, "property_numeric_value": 7.67,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</si>
  <si>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10.1021/jacs.8b05038</t>
  </si>
  <si>
    <t xml:space="preserve">{"power conversion efficiency": {"entity_name": "PCE", "entity_start": 158, "entity_end": 158, "property_value_start": 161, "property_value_end": 162, "property_numeric_value": 8.1, "property_unit": "%", "property_value_descriptor": ""}, "open circuit voltage": {}, "short circuit current": {}, "fill factor": {"entity_name": "FF", "entity_start": 170, "entity_end": 170, "property_value_start": 173, "property_value_end": 173, "property_numeric_value": 75.0,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</si>
  <si>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10.1021/acsami.6b11348</t>
  </si>
  <si>
    <t xml:space="preserve">PDBPTBT-4</t>
  </si>
  <si>
    <t xml:space="preserve">['PDBPTBT-4', 'PDBPTBT-5']</t>
  </si>
  <si>
    <t xml:space="preserve">{"power conversion efficiency": {"entity_name": "PCE", "entity_start": 177, "entity_end": 177, "property_value_start": 179, "property_value_end": 180, "property_numeric_value": 7.06, "property_unit": "%", "property_value_descriptor": ""}, "open circuit voltage": {"entity_name": "V_{oc}", "entity_start": 182, "entity_end": 183, "property_value_start": 185, "property_value_end": 186, "property_numeric_value": 0.96, "property_unit": "V", "property_value_descriptor": ""}, "short circuit current": {"entity_name": "J_{sc}", "entity_start": 188, "entity_end": 189, "property_value_start": 191, "property_value_end": 195, "property_numeric_value": 11.09, "property_unit": "mA/cm^{2}", "property_value_descriptor": ""}, "fill factor": {"entity_name": "FF", "entity_start": 198, "entity_end": 198, "property_value_start": 200, "property_value_end": 200, "property_numeric_value": 67.0,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</si>
  <si>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10.1021/am500836u</t>
  </si>
  <si>
    <t xml:space="preserve">{"power conversion efficiency": {"entity_name": "PCE", "entity_start": 139, "entity_end": 139, "property_value_start": 142, "property_value_end": 143, "property_numeric_value": 4.5, "property_unit": "%", "property_value_descriptor": ""}, "open circuit voltage": {"entity_name": "V_{oc}", "entity_start": 150, "entity_end": 151, "property_value_start": 154, "property_value_end": 155, "property_numeric_value": 0.84, "property_unit": "V", "property_value_descriptor": ""}, "short circuit current": {"entity_name": "J_{sc}", "entity_start": 162, "entity_end": 163, "property_value_start": 166, "property_value_end": 170, "property_numeric_value": 7.2, "property_unit": "mA/cm^{2}", "property_value_descriptor": ""}, "fill factor": {"entity_name": "FF", "entity_start": 176, "entity_end": 176, "property_value_start": 179, "property_value_end": 180, "property_numeric_value": 71.0,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</si>
  <si>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215, "entity_end": 215, "property_value_start": 223, "property_value_end": 224, "property_numeric_value": 6.6, "property_unit": "%", "property_value_descriptor": ""}, "open circuit voltage": {}, "short circuit current": {"entity_name": "J_{sc}", "entity_start": 228, "entity_end": 229, "property_value_start": 231, "property_value_end": 235, "property_numeric_value": 10.3, "property_unit": "mA/cm^{2}", "property_value_descriptor": ""}, "fill factor": {"entity_name": "FF", "entity_start": 239, "entity_end": 239, "property_value_start": 241, "property_value_end": 242, "property_numeric_value": 75.0,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</si>
  <si>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10.1021/acs.jpcc.6b00075</t>
  </si>
  <si>
    <t xml:space="preserve">poly(3,4 ethylenedioxy-thiophene)</t>
  </si>
  <si>
    <t xml:space="preserve">['poly(3,4 ethylenedioxy-thiophene)']</t>
  </si>
  <si>
    <t xml:space="preserve">{"power conversion efficiency": {"entity_name": "PCE", "entity_start": 141, "entity_end": 141, "property_value_start": 147, "property_value_end": 148, "property_numeric_value": 3.98,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</si>
  <si>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10.1021/acsami.5b07015</t>
  </si>
  <si>
    <t xml:space="preserve">poly(3,4-ethylenedioxy-thiophene)</t>
  </si>
  <si>
    <t xml:space="preserve">['poly(3,4-ethylenedioxy-thiophene)']</t>
  </si>
  <si>
    <t xml:space="preserve">{"power conversion efficiency": {"entity_name": "PCE", "entity_start": 152, "entity_end": 152, "property_value_start": 155, "property_value_end": 156, "property_numeric_value": 8.76, "property_unit": "%", "property_value_descriptor": ""}, "open circuit voltage": {}, "short circuit current": {"entity_name": "J_{sc}", "entity_start": 167, "entity_end": 168, "property_value_start": 171, "property_value_end": 174, "property_numeric_value": 17.24, "property_unit": "mA cm^{-2}", "property_value_descriptor": ""}, "fill factor": {"entity_name": "FF", "entity_start": 180, "entity_end": 180, "property_value_start": 183, "property_value_end": 183, "property_numeric_value": 69.6,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</si>
  <si>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10.1021/acs.chemmater.6b01776</t>
  </si>
  <si>
    <t xml:space="preserve">['polystyrene']</t>
  </si>
  <si>
    <t xml:space="preserve">{"power conversion efficiency": {"entity_name": "PCE", "entity_start": 12, "entity_end": 12, "property_value_start": 15, "property_value_end": 16,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</si>
  <si>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10.1021/acsami.8b05875</t>
  </si>
  <si>
    <t xml:space="preserve">PNNT</t>
  </si>
  <si>
    <t xml:space="preserve">['PNNT']</t>
  </si>
  <si>
    <t xml:space="preserve">{"power conversion efficiency": {"entity_name": "power conversion efficiency", "entity_start": 161, "entity_end": 163, "property_value_start": 167, "property_value_end": 168, "property_numeric_value": 4.5,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mobility", "entity_start": 60, "entity_end": 61, "property_value_start": 66, "property_value_end": 72, "property_numeric_value": 0.0001, "property_unit": "cm^{2} V^{-1} s^{-1}", "property_value_descriptor": ""}, "external quantum efficiency": {}}</t>
  </si>
  <si>
    <t xml:space="preserve">10.1021/am401263m</t>
  </si>
  <si>
    <t xml:space="preserve">{"power conversion efficiency": {"entity_name": "PCE", "entity_start": 131, "entity_end": 131, "property_value_start": 178, "property_value_end": 179, "property_numeric_value": 3.17,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</si>
  <si>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10.1021/acs.macromol.5b00684</t>
  </si>
  <si>
    <t xml:space="preserve">{"power conversion efficiency": {"entity_name": "PCE", "entity_start": 108, "entity_end": 108, "property_value_start": 110, "property_value_end": 111, "property_numeric_value": 8.12,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</si>
  <si>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10.1021/ja210687r</t>
  </si>
  <si>
    <t xml:space="preserve">naphthobisthiadiazole</t>
  </si>
  <si>
    <t xml:space="preserve">{"power conversion efficiency": {"entity_name": "power conversion efficiencies", "entity_start": 105, "entity_end": 107, "property_value_start": 109, "property_value_end": 110, "property_numeric_value": 6.3,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</si>
  <si>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10.1021/am302893r</t>
  </si>
  <si>
    <t xml:space="preserve">poly(styrenesulfonate)</t>
  </si>
  <si>
    <t xml:space="preserve">['poly(styrenesulfonate)']</t>
  </si>
  <si>
    <t xml:space="preserve">{"power conversion efficiency": {"entity_name": "PCE", "entity_start": 32, "entity_end": 32, "property_value_start": 35, "property_value_end": 36, "property_numeric_value": 10.2,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</si>
  <si>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10.1021/acsami.7b07694</t>
  </si>
  <si>
    <t xml:space="preserve">J61(one)</t>
  </si>
  <si>
    <t xml:space="preserve">['J61(one)']</t>
  </si>
  <si>
    <t xml:space="preserve">{"power conversion efficiency": {"entity_name": "power conversion efficiencies", "entity_start": 12, "entity_end": 14, "property_value_start": 18, "property_value_end": 19, "property_numeric_value": 12.0,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</si>
  <si>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10.1021/jz300754p</t>
  </si>
  <si>
    <t xml:space="preserve">{"power conversion efficiency": {"entity_name": "power conversion efficiency", "entity_start": 69, "entity_end": 71, "property_value_start": 73, "property_value_end": 74, "property_numeric_value": 4.02,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</si>
  <si>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10.1021/cm1020228</t>
  </si>
  <si>
    <t xml:space="preserve">benzobis(silolothiophene)-based</t>
  </si>
  <si>
    <t xml:space="preserve">['benzobis(silolothiophene)-based']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</si>
  <si>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mobilities", "entity_start": 42, "entity_end": 43, "property_value_start": 46, "property_value_end": 51, "property_numeric_value": 0.01, "property_unit": "cm^{2} V^{-1} s^{-1}", "property_value_descriptor": ""}, "electron mobility": {}, "external quantum efficiency": {}}</t>
  </si>
  <si>
    <t xml:space="preserve">PBSTBT</t>
  </si>
  <si>
    <t xml:space="preserve">['PBSTBT']</t>
  </si>
  <si>
    <t xml:space="preserve">{"power conversion efficiency": {"entity_name": "PCE", "entity_start": 64, "entity_end": 64, "property_value_start": 66, "property_value_end": 67,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</si>
  <si>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10.1021/acsami.5b09041</t>
  </si>
  <si>
    <t xml:space="preserve">{"power conversion efficiency": {"entity_name": "PCE", "entity_start": 262, "entity_end": 262, "property_value_start": 265, "property_value_end": 266, "property_numeric_value": 0.22,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</si>
  <si>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10.1021/jacs.7b10499</t>
  </si>
  <si>
    <t xml:space="preserve">['perylene bisimide', 'PBI']</t>
  </si>
  <si>
    <t xml:space="preserve">{"power conversion efficiency": {"entity_name": "power conversion efficiency", "entity_start": 227, "entity_end": 229, "property_value_start": 232, "property_value_end": 233, "property_numeric_value": 4.18,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</si>
  <si>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10.1021/am508828n</t>
  </si>
  <si>
    <t xml:space="preserve">{"power conversion efficiency": {"entity_name": "PCE", "entity_start": 95, "entity_end": 95, "property_value_start": 101, "property_value_end": 102, "property_numeric_value": 6.57,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</si>
  <si>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10.1021/am303004r</t>
  </si>
  <si>
    <t xml:space="preserve">{"power conversion efficiency": {"entity_name": "PCE", "entity_start": 27, "entity_end": 27, "property_value_start": 30, "property_value_end": 31, "property_numeric_value": 3.7,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</si>
  <si>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10.1021/acsami.8b06306</t>
  </si>
  <si>
    <t xml:space="preserve">PNDI-BDT</t>
  </si>
  <si>
    <t xml:space="preserve">['PNDI-BDT', 'PNDI-BDT-']</t>
  </si>
  <si>
    <t xml:space="preserve">{"power conversion efficiency": {"entity_name": "power conversion efficiencies", "entity_start": 225, "entity_end": 227, "property_value_start": 234, "property_value_end": 235, "property_numeric_value": 5.65,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</si>
  <si>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10.1002/pola.27051</t>
  </si>
  <si>
    <t xml:space="preserve">{"power conversion efficiency": {"entity_name": "power conversion efficiency", "entity_start": 165, "entity_end": 167, "property_value_start": 169, "property_value_end": 170, "property_numeric_value": 0.014, "property_unit": "%", "property_value_descriptor": ""}, "open circuit voltage": {"entity_name": "V_{oc}", "entity_start": 181, "entity_end": 182, "property_value_start": 185, "property_value_end": 186, "property_numeric_value": 0.21, "property_unit": "V", "property_value_descriptor": ""}, "short circuit current": {"entity_name": "J_{sc}", "entity_start": 194, "entity_end": 195, "property_value_start": 198, "property_value_end": 201, "property_numeric_value": 0.28, "property_unit": "mA/cm^{2}", "property_value_descriptor": ""}, "fill factor": {"entity_name": "fill factor", "entity_start": 172, "entity_end": 173, "property_value_start": 175, "property_value_end": 175, "property_numeric_value": 24.0,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</si>
  <si>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10.1002/pola.26650</t>
  </si>
  <si>
    <t xml:space="preserve">{"power conversion efficiency": {"entity_name": "power conversion efficiency", "entity_start": 56, "entity_end": 58, "property_value_start": 66, "property_value_end": 67, "property_numeric_value": 3.86,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</si>
  <si>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10.1002/adfm.201300333</t>
  </si>
  <si>
    <t xml:space="preserve">poly[(3,4-dibromo-2,5-thienylene vinylene)-co-(p-phenylene-vinylene)]</t>
  </si>
  <si>
    <t xml:space="preserve">['poly[(3,4-dibromo-2,5-thienylene vinylene)-co-(p-phenylene-vinylene)]', 'PBTPV']</t>
  </si>
  <si>
    <t xml:space="preserve">{"power conversion efficiency": {"entity_name": "power conversion efficiency", "entity_start": 149, "entity_end": 151, "property_value_start": 154, "property_value_end": 155, "property_numeric_value": 3.3,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</si>
  <si>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10.1002/pssa.201532052</t>
  </si>
  <si>
    <t xml:space="preserve">{"power conversion efficiency": {"entity_name": "power conversion efficiency", "entity_start": 116, "entity_end": 118, "property_value_start": 127, "property_value_end": 128, "property_numeric_value": 3.88,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</si>
  <si>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10.1002/anie.200906934</t>
  </si>
  <si>
    <t xml:space="preserve">PBDTTBT</t>
  </si>
  <si>
    <t xml:space="preserve">['PBDTTBT']</t>
  </si>
  <si>
    <t xml:space="preserve">{"power conversion efficiency": {"entity_name": "power conversion efficiency", "entity_start": 12, "entity_end": 14, "property_value_start": 18, "property_value_end": 19, "property_numeric_value": 5.66, "property_unit": "%", "property_value_descriptor": ""}, "open circuit voltage": {"entity_name": "open-circuit voltage", "entity_start": 23, "entity_end": 26, "property_value_start": 28, "property_value_end": 29, "property_numeric_value": 0.92,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</si>
  <si>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10.1002/pola.24689</t>
  </si>
  <si>
    <t xml:space="preserve">{"power conversion efficiency": {"entity_name": "power conversion efficiency", "entity_start": 135, "entity_end": 137, "property_value_start": 139, "property_value_end": 140, "property_numeric_value": 2.12,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</si>
  <si>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10.1002/marc.201700505</t>
  </si>
  <si>
    <t xml:space="preserve">PBDT-TDO</t>
  </si>
  <si>
    <t xml:space="preserve">['PBDT-TDO']</t>
  </si>
  <si>
    <t xml:space="preserve">{"power conversion efficiency": {"entity_name": "power conversion efficiency", "entity_start": 171, "entity_end": 173, "property_value_start": 175, "property_value_end": 176, "property_numeric_value": 0.64,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</si>
  <si>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10.1002/cjoc.201500265</t>
  </si>
  <si>
    <t xml:space="preserve">naphtho[1,2-c:5,6-c]bis(1,2,5-thiadiazole)</t>
  </si>
  <si>
    <t xml:space="preserve">{"power conversion efficiency": {"entity_name": "power conversion efficiency", "entity_start": 95, "entity_end": 97, "property_value_start": 99, "property_value_end": 100, "property_numeric_value": 2.78, "property_unit": "%", "property_value_descriptor": ""}, "open circuit voltage": {"entity_name": "open-circuit voltage", "entity_start": 67, "entity_end": 70, "property_value_start": 72, "property_value_end": 73, "property_numeric_value": 0.85, "property_unit": "V", "property_value_descriptor": ""}, "short circuit current": {"entity_name": "short-circuit current density", "entity_start": 76, "entity_end": 80, "property_value_start": 82, "property_value_end": 84, "property_numeric_value": 8.65, "property_unit": "mA*cm^{-2}", "property_value_descriptor": ""}, "fill factor": {"entity_name": "fill factor", "entity_start": 87, "entity_end": 88, "property_value_start": 90, "property_value_end": 91, "property_numeric_value": 37.8,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</si>
  <si>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10.1002/aenm.201703085</t>
  </si>
  <si>
    <t xml:space="preserve">poly{(4,8-bis(4,5-dihexylthiophen-2-yl)benzo[1,2-b:4,5-b']dithiophene-co-4,7-di(thiophen-2-yl)-5,6-difluoro-2-(6-(1,1,1,3,5,5,5-heptamethyltri}</t>
  </si>
  <si>
    <t xml:space="preserve">["poly{(4,8-bis(4,5-dihexylthiophen-2-yl)benzo[1,2-b:4,5-b']dithiophene-co-4,7-di(thiophen-2-yl)-5,6-difluoro-2-(6-(1,1,1,3,5,5,5-heptamethyltri}"]</t>
  </si>
  <si>
    <t xml:space="preserve">{"power conversion efficiency": {"entity_name": "PCE", "entity_start": 118, "entity_end": 118, "property_value_start": 120, "property_value_end": 121, "property_numeric_value": 8.0, "property_unit": "%", "property_value_descriptor": ""}, "open circuit voltage": {}, "short circuit current": {}, "fill factor": {"entity_name": "fill factor", "entity_start": 77, "entity_end": 78, "property_value_start": 80, "property_value_end": 81, "property_numeric_value": 76.0, "property_unit": "%", "property_value_descriptor": "\u2248"}, "highest occupied molecular orbital": {}, "lowest unoccupied molecular orbital": {}, "bandgap": {}, "hole mobility": {}, "electron mobility": {}, "external quantum efficiency": {}}</t>
  </si>
  <si>
    <t xml:space="preserve">10.1002/app.40478</t>
  </si>
  <si>
    <t xml:space="preserve">{"power conversion efficiency": {"entity_name": "power conversion efficiency", "entity_start": 62, "entity_end": 64, "property_value_start": 66, "property_value_end": 67, "property_numeric_value": 2.65, "property_unit": "%", "property_value_descriptor": ""}, "open circuit voltage": {"entity_name": "V_{OC}", "entity_start": 74, "entity_end": 76, "property_value_start": 78, "property_value_end": 79, "property_numeric_value": 0.86, "property_unit": "V", "property_value_descriptor": ""}, "short circuit current": {"entity_name": "J_{SC}", "entity_start": 87, "entity_end": 88, "property_value_start": 91, "property_value_end": 95, "property_numeric_value": 6.1,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</si>
  <si>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10.1002/adfm.201702194</t>
  </si>
  <si>
    <t xml:space="preserve">ITCPTC-Th</t>
  </si>
  <si>
    <t xml:space="preserve">['ITCPTC-Th']</t>
  </si>
  <si>
    <t xml:space="preserve">{"power conversion efficiency": {"entity_name": "power conversion efficiency", "entity_start": 126, "entity_end": 128, "property_value_start": 130, "property_value_end": 131, "property_numeric_value": 10.61,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</si>
  <si>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10.1002/pola.29248</t>
  </si>
  <si>
    <t xml:space="preserve">P-PDT-DFBO</t>
  </si>
  <si>
    <t xml:space="preserve">['P-PDT-DFBO', 'P-PDT-DFBT']</t>
  </si>
  <si>
    <t xml:space="preserve">{"power conversion efficiency": {"entity_name": "power conversion efficiency", "entity_start": 212, "entity_end": 214, "property_value_start": 218, "property_value_end": 219, "property_numeric_value": 4.43, "property_unit": "%", "property_value_descriptor": ""}, "open circuit voltage": {"entity_name": "V_{oc}", "entity_start": 124, "entity_end": 125, "property_value_start": 130, "property_value_end": 131, "property_numeric_value": 0.9,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</si>
  <si>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10.1002/pola.27163</t>
  </si>
  <si>
    <t xml:space="preserve">PADT-FDPP</t>
  </si>
  <si>
    <t xml:space="preserve">['PADT-FDPP']</t>
  </si>
  <si>
    <t xml:space="preserve">{"power conversion efficiency": {"entity_name": "PCE", "entity_start": 232, "entity_end": 232, "property_value_start": 238, "property_value_end": 239, "property_numeric_value": 2.62, "property_unit": "%", "property_value_descriptor": ""}, "open circuit voltage": {}, "short circuit current": {}, "fill factor": {}, "highest occupied molecular orbital": {}, "lowest unoccupied molecular orbital": {}, "bandgap": {"entity_name": "optical band gaps", "entity_start": 69, "entity_end": 71, "property_value_start": 73, "property_value_end": 76, "property_numeric_value": 1.47, "property_unit": "eV", "property_value_descriptor": "and"}, "hole mobility": {"entity_name": "hole mobilities", "entity_start": 121, "entity_end": 122, "property_value_start": 124, "property_value_end": 135, "property_numeric_value": 0.0037, "property_unit": "cm^{2}/(V s)", "property_value_descriptor": "and"}, "electron mobility": {}, "external quantum efficiency": {}}</t>
  </si>
  <si>
    <t xml:space="preserve">PADT-DPP</t>
  </si>
  <si>
    <t xml:space="preserve">['PADT-DPP']</t>
  </si>
  <si>
    <t xml:space="preserve">{"power conversion efficiency": {}, "open circuit voltage": {}, "short circuit current": {}, "fill factor": {}, "highest occupied molecular orbital": {"entity_name": "highest occupied molecular orbital energy level", "entity_start": 81, "entity_end": 86, "property_value_start": 104, "property_value_end": 105, "property_numeric_value": -5.16, "property_unit": "eV", "property_value_descriptor": ""}, "lowest unoccupied molecular orbital": {}, "bandgap": {}, "hole mobility": {}, "electron mobility": {}, "external quantum efficiency": {}}</t>
  </si>
  <si>
    <t xml:space="preserve">{"power conversion efficiency": {"entity_name": "PCE", "entity_start": 156, "entity_end": 156, "property_value_start": 162, "property_value_end": 163, "property_numeric_value": 0.29,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</si>
  <si>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10.1002/adma.201503023</t>
  </si>
  <si>
    <t xml:space="preserve">PBDF-T1</t>
  </si>
  <si>
    <t xml:space="preserve">['PBDF-T1', 'PBDT-T1']</t>
  </si>
  <si>
    <t xml:space="preserve">{"power conversion efficiency": {"entity_name": "power conversion efficiency", "entity_start": 25, "entity_end": 27, "property_value_start": 29, "property_value_end": 30, "property_numeric_value": 9.43, "property_unit": "%", "property_value_descriptor": ""}, "open circuit voltage": {}, "short circuit current": {}, "fill factor": {"entity_name": "fill factor", "entity_start": 32, "entity_end": 33, "property_value_start": 35, "property_value_end": 36, "property_numeric_value": 77.4,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</si>
  <si>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10.1002/adfm.201705257</t>
  </si>
  <si>
    <t xml:space="preserve">PBTIBDTT-S</t>
  </si>
  <si>
    <t xml:space="preserve">['PBTIBDTT-S']</t>
  </si>
  <si>
    <t xml:space="preserve">{"power conversion efficiency": {"entity_name": "power conversion efficiency", "entity_start": 162, "entity_end": 164, "property_value_start": 166, "property_value_end": 167,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</si>
  <si>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10.1002/pola.24700</t>
  </si>
  <si>
    <t xml:space="preserve">{"power conversion efficiency": {"entity_name": "power conversion efficiency", "entity_start": 216, "entity_end": 218, "property_value_start": 220, "property_value_end": 221, "property_numeric_value": 0.91, "property_unit": "%", "property_value_descriptor": ""}, "open circuit voltage": {}, "short circuit current": {}, "fill factor": {}, "highest occupied molecular orbital": {}, "lowest unoccupied molecular orbital": {}, "bandgap": {"entity_name": "band gaps", "entity_start": 138, "entity_end": 139, "property_value_start": 145, "property_value_end": 146, "property_numeric_value": 1.5, "property_unit": "eV", "property_value_descriptor": "~"}, "hole mobility": {}, "electron mobility": {}, "external quantum efficiency": {}}</t>
  </si>
  <si>
    <t xml:space="preserve">10.1002/pola.24825</t>
  </si>
  <si>
    <t xml:space="preserve">PFO-FCz-DBT</t>
  </si>
  <si>
    <t xml:space="preserve">['PFO-FCz-DBT', 'PFO-FCz-DBT30']</t>
  </si>
  <si>
    <t xml:space="preserve">{"power conversion efficiency": {"entity_name": "PCE", "entity_start": 105, "entity_end": 105, "property_value_start": 108, "property_value_end": 109, "property_numeric_value": 2.41, "property_unit": "%", "property_value_descriptor": ""}, "open circuit voltage": {}, "short circuit current": {"entity_name": "J_{sc}", "entity_start": 119, "entity_end": 120, "property_value_start": 123, "property_value_end": 126, "property_numeric_value": 9.68,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</si>
  <si>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10.1002/aenm.201602540</t>
  </si>
  <si>
    <t xml:space="preserve">{"power conversion efficiency": {"entity_name": "PCE", "entity_start": 99, "entity_end": 99, "property_value_start": 101, "property_value_end": 102,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</si>
  <si>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10.1002/marc.201100327</t>
  </si>
  <si>
    <t xml:space="preserve">PETVTDPP</t>
  </si>
  <si>
    <t xml:space="preserve">['PETVTDPP']</t>
  </si>
  <si>
    <t xml:space="preserve">{"power conversion efficiency": {}, "open circuit voltage": {}, "short circuit current": {}, "fill factor": {}, "highest occupied molecular orbital": {}, "lowest unoccupied molecular orbital": {}, "bandgap": {"entity_name": "band-gap", "entity_start": 66, "entity_end": 68, "property_value_start": 71, "property_value_end": 72, "property_numeric_value": 1.43, "property_unit": "eV", "property_value_descriptor": ""}, "hole mobility": {}, "electron mobility": {}, "external quantum efficiency": {}}</t>
  </si>
  <si>
    <t xml:space="preserve">{"power conversion efficiency": {"entity_name": "PCE", "entity_start": 119, "entity_end": 119, "property_value_start": 122, "property_value_end": 123, "property_numeric_value": 1.94,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</si>
  <si>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10.1002/pola.28643</t>
  </si>
  <si>
    <t xml:space="preserve">PBDTT(ff)-ttTPD</t>
  </si>
  <si>
    <t xml:space="preserve">['PBDTT(ff)-ttTPD']</t>
  </si>
  <si>
    <t xml:space="preserve">{"power conversion efficiency": {"entity_name": "power conversion efficiencies", "entity_start": 193, "entity_end": 195, "property_value_start": 199, "property_value_end": 200, "property_numeric_value": 6.79, "property_unit": "%", "property_value_descriptor": ""}, "open circuit voltage": {"entity_name": "open circuit voltages", "entity_start": 202, "entity_end": 204, "property_value_start": 206, "property_value_end": 209, "property_numeric_value": 0.9099999999999999, "property_unit": "V", "property_value_descriptor": "and"}, "short circuit current": {}, "fill factor": {}, "highest occupied molecular orbital": {"entity_name": "HOMO levels", "entity_start": 110, "entity_end": 111, "property_value_start": 122, "property_value_end": 125, "property_numeric_value": -5.550000000000001, "property_unit": "eV", "property_value_descriptor": "and"}, "lowest unoccupied molecular orbital": {}, "bandgap": {}, "hole mobility": {}, "electron mobility": {}, "external quantum efficiency": {}}</t>
  </si>
  <si>
    <t xml:space="preserve">10.1002/pola.26243</t>
  </si>
  <si>
    <t xml:space="preserve">poly{4,8-bis(4-decylphenylethynyl)benzo[1,2-b:4,5-b']difuran}</t>
  </si>
  <si>
    <t xml:space="preserve">["poly{4,8-bis(4-decylphenylethynyl)benzo[1,2-b:4,5-b']difuran}", 'P1']</t>
  </si>
  <si>
    <t xml:space="preserve">{"power conversion efficiency": {"entity_name": "power conversion efficiencies", "entity_start": 33, "entity_end": 35, "property_value_start": 42, "property_value_end": 43, "property_numeric_value": 0.79,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</si>
  <si>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10.1002/pola.26607</t>
  </si>
  <si>
    <t xml:space="preserve">PFTTQP</t>
  </si>
  <si>
    <t xml:space="preserve">['PFTTQP']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</si>
  <si>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137, "entity_end": 138, "property_value_start": 154, "property_value_end": 163, "property_numeric_value": 0.0002, "property_unit": "cm^{2} V^{-1} s^{-1}", "property_value_descriptor": ""}, "electron mobility": {}, "external quantum efficiency": {}}</t>
  </si>
  <si>
    <t xml:space="preserve">PBDTTTQP</t>
  </si>
  <si>
    <t xml:space="preserve">['PBDTTTQP']</t>
  </si>
  <si>
    <t xml:space="preserve">{"power conversion efficiency": {"entity_name": "PCEs", "entity_start": 183, "entity_end": 183, "property_value_start": 189, "property_value_end": 190, "property_numeric_value": 1.53,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</si>
  <si>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10.1002/pola.27119</t>
  </si>
  <si>
    <t xml:space="preserve">poly(ODA-alt-TBT)</t>
  </si>
  <si>
    <t xml:space="preserve">['poly(ODA-alt-TBT)', 'poly(ODA-alt-BT)']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</si>
  <si>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131, "entity_end": 132, "property_value_start": 142, "property_value_end": 146, "property_numeric_value": 0.0036000000000000003, "property_unit": "cm^{2}/Vs", "property_value_descriptor": ""}, "electron mobility": {}, "external quantum efficiency": {}}</t>
  </si>
  <si>
    <t xml:space="preserve">ODA-TBT</t>
  </si>
  <si>
    <t xml:space="preserve">['ODA-TBT', 'poly(ODA-TBT)', 'Poly(ODA-TBT)', 'poly(ODA-BT)']</t>
  </si>
  <si>
    <t xml:space="preserve">{"power conversion efficiency": {"entity_name": "PCE", "entity_start": 254, "entity_end": 254, "property_value_start": 256, "property_value_end": 257, "property_numeric_value": 2.2, "property_unit": "%", "property_value_descriptor": ""}, "open circuit voltage": {}, "short circuit current": {"entity_name": "J_{sc}", "entity_start": 245, "entity_end": 246, "property_value_start": 248, "property_value_end": 252, "property_numeric_value": 6.4,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</si>
  <si>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10.1002/adfm.201505556</t>
  </si>
  <si>
    <t xml:space="preserve">['- difluorobenzothiadiazole']</t>
  </si>
  <si>
    <t xml:space="preserve">{"power conversion efficiency": {"entity_name": "power conversion efficiencies", "entity_start": 171, "entity_end": 173, "property_value_start": 175, "property_value_end": 176, "property_numeric_value": 9.0,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</si>
  <si>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10.1002/pola.28712</t>
  </si>
  <si>
    <t xml:space="preserve">{"power conversion efficiency": {"entity_name": "PCE", "entity_start": 275, "entity_end": 275, "property_value_start": 281, "property_value_end": 282, "property_numeric_value": 3.49, "property_unit": "%", "property_value_descriptor": ""}, "open circuit voltage": {}, "short circuit current": {}, "fill factor": {"entity_name": "fill-factors", "entity_start": 188, "entity_end": 190, "property_value_start": 193, "property_value_end": 195, "property_numeric_value": 60.0, "property_unit": "%", "property_value_descriptor": "-"}, "highest occupied molecular orbital": {}, "lowest unoccupied molecular orbital": {}, "bandgap": {}, "hole mobility": {}, "electron mobility": {}, "external quantum efficiency": {}}</t>
  </si>
  <si>
    <t xml:space="preserve">10.1002/aenm.201770071</t>
  </si>
  <si>
    <t xml:space="preserve">{"power conversion efficiency": {"entity_name": "power conversion efficiency", "entity_start": 2, "entity_end": 4, "property_value_start": 6, "property_value_end": 7, "property_numeric_value": 6.9,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</si>
  <si>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10.1002/macp.201400614</t>
  </si>
  <si>
    <t xml:space="preserve">{"power conversion efficiency": {}, "open circuit voltage": {}, "short circuit current": {}, "fill factor": {}, "highest occupied molecular orbital": {"entity_name": "highest occupied molecular orbital energy levels", "entity_start": 91, "entity_end": 96, "property_value_start": 105, "property_value_end": 106, "property_numeric_value": -5.25, "property_unit": "eV", "property_value_descriptor": ""}, "lowest unoccupied molecular orbital": {}, "bandgap": {"entity_name": "band gaps", "entity_start": 76, "entity_end": 77, "property_value_start": 85, "property_value_end": 86, "property_numeric_value": 1.39, "property_unit": "eV", "property_value_descriptor": ""}, "hole mobility": {}, "electron mobility": {}, "external quantum efficiency": {}}</t>
  </si>
  <si>
    <t xml:space="preserve">{"power conversion efficiency": {"entity_name": "power conversion efficiency", "entity_start": 156, "entity_end": 158, "property_value_start": 163, "property_value_end": 164, "property_numeric_value": 2.14,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</si>
  <si>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10.1002/pi.5377</t>
  </si>
  <si>
    <t xml:space="preserve">PBDT-TT-TPD</t>
  </si>
  <si>
    <t xml:space="preserve">['PBDT-TT-TPD']</t>
  </si>
  <si>
    <t xml:space="preserve">{"power conversion efficiency": {"entity_name": "power conversion efficiency", "entity_start": 203, "entity_end": 205, "property_value_start": 207, "property_value_end": 208, "property_numeric_value": 1.92, "property_unit": "%", "property_value_descriptor": ""}, "open circuit voltage": {}, "short circuit current": {}, "fill factor": {}, "highest occupied molecular orbital": {"entity_name": "highest occupied molecular orbital energy level", "entity_start": 174, "entity_end": 179, "property_value_start": 181, "property_value_end": 182, "property_numeric_value": -5.53, "property_unit": "eV", "property_value_descriptor": ""}, "lowest unoccupied molecular orbital": {}, "bandgap": {}, "hole mobility": {}, "electron mobility": {}, "external quantum efficiency": {}}</t>
  </si>
  <si>
    <t xml:space="preserve">10.1002/pola.24799</t>
  </si>
  <si>
    <t xml:space="preserve">{"power conversion efficiency": {"entity_name": "power conversion efficiency", "entity_start": 138, "entity_end": 140, "property_value_start": 142, "property_value_end": 143, "property_numeric_value": 2.06,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</si>
  <si>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10.1002/aenm.201701436</t>
  </si>
  <si>
    <t xml:space="preserve">PNDITCVT-R</t>
  </si>
  <si>
    <t xml:space="preserve">['PNDITCVT-R']</t>
  </si>
  <si>
    <t xml:space="preserve">{"power conversion efficiency": {"entity_name": "power conversion efficiencies", "entity_start": 150, "entity_end": 152, "property_value_start": 154, "property_value_end": 155, "property_numeric_value": 7.4, "property_unit": "%", "property_value_descriptor": ""}, "open circuit voltage": {}, "short circuit current": {}, "fill factor": {"entity_name": "fill factors", "entity_start": 159, "entity_end": 160, "property_value_start": 162, "property_value_end": 163, "property_numeric_value": 65.0,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</si>
  <si>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10.1002/pola.27500</t>
  </si>
  <si>
    <t xml:space="preserve">phenanthro[1,2-b:8,7-b']dithiophene</t>
  </si>
  <si>
    <t xml:space="preserve">{"power conversion efficiency": {"entity_name": "power conversion efficiency", "entity_start": 162, "entity_end": 164, "property_value_start": 166, "property_value_end": 167,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</si>
  <si>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10.1002/marc.201700765</t>
  </si>
  <si>
    <t xml:space="preserve">{"power conversion efficiency": {}, "open circuit voltage": {"entity_name": "open-circuit voltage", "entity_start": 121, "entity_end": 124, "property_value_start": 126, "property_value_end": 127, "property_numeric_value": 0.77,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</si>
  <si>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PNDI-BOOD</t>
  </si>
  <si>
    <t xml:space="preserve">['PNDI-BOOD']</t>
  </si>
  <si>
    <t xml:space="preserve">{"power conversion efficiency": {"entity_name": "power-conversion efficiency", "entity_start": 143, "entity_end": 146, "property_value_start": 159, "property_value_end": 160, "property_numeric_value": 4.3,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</si>
  <si>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10.1002/pola.29027</t>
  </si>
  <si>
    <t xml:space="preserve">BDT-alt-TQT</t>
  </si>
  <si>
    <t xml:space="preserve">['BDT', 'BDT-alt-TQT']</t>
  </si>
  <si>
    <t xml:space="preserve">{"power conversion efficiency": {"entity_name": "power conversion efficiencies", "entity_start": 160, "entity_end": 162, "property_value_start": 165, "property_value_end": 166, "property_numeric_value": 80.0,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</si>
  <si>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10.1080/15421406.2017.1362931</t>
  </si>
  <si>
    <t xml:space="preserve">{"power conversion efficiency": {"entity_name": "power conversion efficiencies", "entity_start": 86, "entity_end": 88, "property_value_start": 90, "property_value_end": 91, "property_numeric_value": 1.46,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</si>
  <si>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10.1080/15421406.2016.1199965</t>
  </si>
  <si>
    <t xml:space="preserve">PVPy-F</t>
  </si>
  <si>
    <t xml:space="preserve">['PVPy-F']</t>
  </si>
  <si>
    <t xml:space="preserve">{"power conversion efficiency": {"entity_name": "PCE", "entity_start": 114, "entity_end": 114, "property_value_start": 116, "property_value_end": 117, "property_numeric_value": 2.88, "property_unit": "%", "property_value_descriptor": ""}, "open circuit voltage": {"entity_name": "V_{oc}", "entity_start": 119, "entity_end": 120, "property_value_start": 122, "property_value_end": 123, "property_numeric_value": 0.61, "property_unit": "V", "property_value_descriptor": ""}, "short circuit current": {"entity_name": "J_{sc}", "entity_start": 125, "entity_end": 126, "property_value_start": 128, "property_value_end": 132, "property_numeric_value": 9.15, "property_unit": "mA/cm^{2}", "property_value_descriptor": ""}, "fill factor": {"entity_name": "FF", "entity_start": 134, "entity_end": 134, "property_value_start": 136, "property_value_end": 137, "property_numeric_value": 51.6,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</si>
  <si>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10.1016/j.orgel.2019.01.023</t>
  </si>
  <si>
    <t xml:space="preserve">{"power conversion efficiency": {"entity_name": "PCE", "entity_start": 158, "entity_end": 158, "property_value_start": 160, "property_value_end": 161, "property_numeric_value": 8.2,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</si>
  <si>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10.1016/j.orgel.2014.12.020</t>
  </si>
  <si>
    <t xml:space="preserve">{"power conversion efficiency": {"entity_name": "PCEs", "entity_start": 22, "entity_end": 22, "property_value_start": 25, "property_value_end": 26,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</si>
  <si>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{"entity_name": "V_{oc}", "entity_start": 191, "entity_end": 192, "property_value_start": 194, "property_value_end": 195, "property_numeric_value": 1.04,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</si>
  <si>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223, "entity_end": 223, "property_value_start": 226, "property_value_end": 227, "property_numeric_value": 4.5,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</si>
  <si>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10.1016/j.cplett.2018.02.033</t>
  </si>
  <si>
    <t xml:space="preserve">ffQx-TS2</t>
  </si>
  <si>
    <t xml:space="preserve">['ffQx-TS2']</t>
  </si>
  <si>
    <t xml:space="preserve">{"power conversion efficiency": {"entity_name": "PCE", "entity_start": 151, "entity_end": 151, "property_value_start": 154, "property_value_end": 155, "property_numeric_value": 7.69,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</si>
  <si>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10.1016/j.orgel.2017.05.011</t>
  </si>
  <si>
    <t xml:space="preserve">{"power conversion efficiency": {"entity_name": "PCE", "entity_start": 104, "entity_end": 104, "property_value_start": 106, "property_value_end": 107, "property_numeric_value": 0.14,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</si>
  <si>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10.1016/j.dyepig.2018.09.079</t>
  </si>
  <si>
    <t xml:space="preserve">{"power conversion efficiency": {"entity_name": "PCE", "entity_start": 200, "entity_end": 200, "property_value_start": 202, "property_value_end": 203, "property_numeric_value": 8.32, "property_unit": "%", "property_value_descriptor": ""}, "open circuit voltage": {"entity_name": "V_{oc}", "entity_start": 211, "entity_end": 212, "property_value_start": 215, "property_value_end": 216, "property_numeric_value": 0.92, "property_unit": "V", "property_value_descriptor": ""}, "short circuit current": {"entity_name": "J_{sc}", "entity_start": 225, "entity_end": 226, "property_value_start": 229, "property_value_end": 233, "property_numeric_value": 13.91, "property_unit": "mA/cm^{2}", "property_value_descriptor": ""}, "fill factor": {"entity_name": "FF", "entity_start": 240, "entity_end": 240, "property_value_start": 243, "property_value_end": 244, "property_numeric_value": 65.21, "property_unit": "%", "property_value_descriptor": ""}, "highest occupied molecular orbital": {"entity_name": "HOMO level", "entity_start": 135, "entity_end": 136, "property_value_start": 140, "property_value_end": 141, "property_numeric_value": 0.15, "property_unit": "eV", "property_value_descriptor": ""}, "lowest unoccupied molecular orbital": {}, "bandgap": {"entity_name": "bandgaps", "entity_start": 79, "entity_end": 79, "property_value_start": 81, "property_value_end": 82, "property_numeric_value": 1.9, "property_unit": "eV", "property_value_descriptor": ""}, "hole mobility": {}, "electron mobility": {}, "external quantum efficiency": {}}</t>
  </si>
  <si>
    <t xml:space="preserve">10.1016/j.orgel.2018.03.005</t>
  </si>
  <si>
    <t xml:space="preserve">BDTP</t>
  </si>
  <si>
    <t xml:space="preserve">['BDTP']</t>
  </si>
  <si>
    <t xml:space="preserve">{"power conversion efficiency": {"entity_name": "power conversion efficiency", "entity_start": 137, "entity_end": 139, "property_value_start": 141, "property_value_end": 142, "property_numeric_value": 8.55, "property_unit": "%", "property_value_descriptor": ""}, "open circuit voltage": {"entity_name": "open-circuit voltages", "entity_start": 104, "entity_end": 107, "property_value_start": 111, "property_value_end": 112, "property_numeric_value": 0.9, "property_unit": "V", "property_value_descriptor": ""}, "short circuit current": {}, "fill factor": {}, "highest occupied molecular orbital": {"entity_name": "highest occupied molecular orbital energy levels", "entity_start": 73, "entity_end": 78, "property_value_start": 88, "property_value_end": 89, "property_numeric_value": -5.33, "property_unit": "eV", "property_value_descriptor": ""}, "lowest unoccupied molecular orbital": {}, "bandgap": {}, "hole mobility": {}, "electron mobility": {}, "external quantum efficiency": {}}</t>
  </si>
  <si>
    <t xml:space="preserve">10.1016/j.solmat.2013.01.005</t>
  </si>
  <si>
    <t xml:space="preserve">{"power conversion efficiency": {"entity_name": "Power conversion efficiencies", "entity_start": 137, "entity_end": 139, "property_value_start": 142, "property_value_end": 143, "property_numeric_value": 0.84, "property_unit": "%", "property_value_descriptor": ""}, "open circuit voltage": {}, "short circuit current": {}, "fill factor": {}, "highest occupied molecular orbital": {"entity_name": "HOMOs", "entity_start": 100, "entity_end": 100, "property_value_start": 102, "property_value_end": 105, "property_numeric_value": -5.85, "property_unit": "eV", "property_value_descriptor": "to"}, "lowest unoccupied molecular orbital": {}, "bandgap": {"entity_name": "optical band gap", "entity_start": 61, "entity_end": 63, "property_value_start": 65, "property_value_end": 68, "property_numeric_value": 1.7999999999999998, "property_unit": "eV", "property_value_descriptor": "-"}, "hole mobility": {}, "electron mobility": {}, "external quantum efficiency": {}}</t>
  </si>
  <si>
    <t xml:space="preserve">10.1016/j.orgel.2016.05.032</t>
  </si>
  <si>
    <t xml:space="preserve">{"power conversion efficiency": {"entity_name": "power conversion efficiencies", "entity_start": 101, "entity_end": 103, "property_value_start": 106, "property_value_end": 107, "property_numeric_value": 7.15,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</si>
  <si>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10.1016/j.solmat.2014.04.025</t>
  </si>
  <si>
    <t xml:space="preserve">polyvinylpyrrolidone</t>
  </si>
  <si>
    <t xml:space="preserve">[*]CC([*])N1CCCC1=O</t>
  </si>
  <si>
    <t xml:space="preserve">['polyvinylpyrrolidone', 'PVP']</t>
  </si>
  <si>
    <t xml:space="preserve">{"power conversion efficiency": {"entity_name": "power conversion efficiency", "entity_start": 91, "entity_end": 93, "property_value_start": 98, "property_value_end": 99, "property_numeric_value": 4.08,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</si>
  <si>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10.1016/j.nanoen.2017.05.008</t>
  </si>
  <si>
    <t xml:space="preserve">difluoro-2,1,3-benzothiadiazole</t>
  </si>
  <si>
    <t xml:space="preserve">{"power conversion efficiency": {"entity_name": "PCE", "entity_start": 173, "entity_end": 173, "property_value_start": 175, "property_value_end": 176, "property_numeric_value": 9.4,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</si>
  <si>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10.1016/j.orgel.2018.07.017</t>
  </si>
  <si>
    <t xml:space="preserve">PTPDBTO-3 T</t>
  </si>
  <si>
    <t xml:space="preserve">['PTPDBTO-3 T']</t>
  </si>
  <si>
    <t xml:space="preserve">{"power conversion efficiency": {"entity_name": "PCEs", "entity_start": 229, "entity_end": 229, "property_value_start": 233, "property_value_end": 234, "property_numeric_value": 6.0, "property_unit": "%", "property_value_descriptor": ""}, "open circuit voltage": {}, "short circuit current": {}, "fill factor": {"entity_name": "FFs", "entity_start": 236, "entity_end": 236, "property_value_start": 238, "property_value_end": 239, "property_numeric_value": 60.0,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</si>
  <si>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10.1016/j.dyepig.2018.09.048</t>
  </si>
  <si>
    <t xml:space="preserve">PiI2fT</t>
  </si>
  <si>
    <t xml:space="preserve">['PiI2fT']</t>
  </si>
  <si>
    <t xml:space="preserve">{"power conversion efficiency": {"entity_name": "PCE", "entity_start": 185, "entity_end": 185, "property_value_start": 187, "property_value_end": 188, "property_numeric_value": 8.8, "property_unit": "%", "property_value_descriptor": ""}, "open circuit voltage": {"entity_name": "open-circuit voltage", "entity_start": 191, "entity_end": 194, "property_value_start": 196, "property_value_end": 197, "property_numeric_value": 1.06,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</si>
  <si>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10.1016/j.cclet.2019.07.023</t>
  </si>
  <si>
    <t xml:space="preserve">benzo[d][1,2,3] triazole</t>
  </si>
  <si>
    <t xml:space="preserve">{"power conversion efficiency": {"entity_name": "PCE", "entity_start": 134, "entity_end": 134, "property_value_start": 137, "property_value_end": 138, "property_numeric_value": 14.13,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</si>
  <si>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10.1016/j.solmat.2013.11.019</t>
  </si>
  <si>
    <t xml:space="preserve">TPD</t>
  </si>
  <si>
    <t xml:space="preserve">{"power conversion efficiency": {"entity_name": "PCE", "entity_start": 159, "entity_end": 159, "property_value_start": 173, "property_value_end": 174, "property_numeric_value": 4.16, "property_unit": "%", "property_value_descriptor": ""}, "open circuit voltage": {}, "short circuit current": {"entity_name": "J_{sc}", "entity_start": 190, "entity_end": 191, "property_value_start": 194, "property_value_end": 200, "property_numeric_value": 11.33, "property_unit": "mA/cm^{2}", "property_value_descriptor": "and"}, "fill factor": {}, "highest occupied molecular orbital": {}, "lowest unoccupied molecular orbital": {}, "bandgap": {}, "hole mobility": {}, "electron mobility": {}, "external quantum efficiency": {}}</t>
  </si>
  <si>
    <t xml:space="preserve">10.1016/j.cclet.2017.08.009</t>
  </si>
  <si>
    <t xml:space="preserve">{"power conversion efficiency": {"entity_name": "power conversion efficiency", "entity_start": 85, "entity_end": 87, "property_value_start": 89, "property_value_end": 90, "property_numeric_value": 2.92,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</si>
  <si>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10.1016/j.tsf.2014.07.026</t>
  </si>
  <si>
    <t xml:space="preserve">poly[2,1,3-benzothiadiazole-4,7-diyl[4,4-bis(2-ethylhexyl)-4H-cyclopenta[2,1-b:3,4-b']dithiophene-2,6-diyl]]</t>
  </si>
  <si>
    <t xml:space="preserve">["poly[2,1,3-benzothiadiazole-4,7-diyl[4,4-bis(2-ethylhexyl)-4H-cyclopenta[2,1-b:3,4-b']dithiophene-2,6-diyl]]"]</t>
  </si>
  <si>
    <t xml:space="preserve">{"power conversion efficiency": {"entity_name": "power conversion efficiency", "entity_start": 150, "entity_end": 152, "property_value_start": 157, "property_value_end": 158, "property_numeric_value": 3.43, "property_unit": "%", "property_value_descriptor": ""}, "open circuit voltage": {}, "short circuit current": {"entity_name": "short circuit current density", "entity_start": 117, "entity_end": 120, "property_value_start": 126, "property_value_end": 130, "property_numeric_value": 11.2, "property_unit": "mA/cm^{2}", "property_value_descriptor": ""}, "fill factor": {"entity_name": "fill factor", "entity_start": 133, "entity_end": 134, "property_value_start": 140, "property_value_end": 141, "property_numeric_value": 42.5,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</si>
  <si>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10.1016/j.cclet.2019.06.051</t>
  </si>
  <si>
    <t xml:space="preserve">{"power conversion efficiency": {"entity_name": "PCE", "entity_start": 44, "entity_end": 44, "property_value_start": 47, "property_value_end": 48, "property_numeric_value": 8.11,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</si>
  <si>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10.1016/j.inoche.2019.03.008</t>
  </si>
  <si>
    <t xml:space="preserve">{"power conversion efficiency": {"entity_name": "PCE", "entity_start": 92, "entity_end": 92, "property_value_start": 95, "property_value_end": 96, "property_numeric_value": 6.97,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</si>
  <si>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10.1016/j.nanoen.2018.02.035</t>
  </si>
  <si>
    <t xml:space="preserve">{"power conversion efficiency": {"entity_name": "PCEs", "entity_start": 223, "entity_end": 223, "property_value_start": 225, "property_value_end": 226, "property_numeric_value": 6.65, "property_unit": "%", "property_value_descriptor": ""}, "open circuit voltage": {}, "short circuit current": {}, "fill factor": {"entity_name": "FF", "entity_start": 228, "entity_end": 228, "property_value_start": 230, "property_value_end": 230, "property_numeric_value": 65.0,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</si>
  <si>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10.1016/j.dyepig.2019.02.040</t>
  </si>
  <si>
    <t xml:space="preserve">PSBDB-T</t>
  </si>
  <si>
    <t xml:space="preserve">['PSBDB-T', 'PBDB-T']</t>
  </si>
  <si>
    <t xml:space="preserve">{"power conversion efficiency": {"entity_name": "PCE", "entity_start": 146, "entity_end": 146, "property_value_start": 148, "property_value_end": 149, "property_numeric_value": 8.8,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</si>
  <si>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10.1016/j.solmat.2012.05.024</t>
  </si>
  <si>
    <t xml:space="preserve">['poly(styrenesulfonate)', 'PEDOT']</t>
  </si>
  <si>
    <t xml:space="preserve">{"power conversion efficiency": {"entity_name": "PCE", "entity_start": 70, "entity_end": 70, "property_value_start": 73, "property_value_end": 74, "property_numeric_value": 3.98,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</si>
  <si>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90, "entity_end": 90, "property_value_start": 92, "property_value_end": 93, "property_numeric_value": 3.85,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</si>
  <si>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10.1016/j.dyepig.2018.10.068</t>
  </si>
  <si>
    <t xml:space="preserve">dipyrromethene</t>
  </si>
  <si>
    <t xml:space="preserve">['dipyrromethene']</t>
  </si>
  <si>
    <t xml:space="preserve">{"power conversion efficiency": {"entity_name": "PCE", "entity_start": 172, "entity_end": 172, "property_value_start": 175, "property_value_end": 176, "property_numeric_value": 3.69, "property_unit": "%", "property_value_descriptor": ""}, "open circuit voltage": {"entity_name": "Voc", "entity_start": 187, "entity_end": 187, "property_value_start": 189, "property_value_end": 190, "property_numeric_value": 0.63, "property_unit": "V", "property_value_descriptor": ""}, "short circuit current": {"entity_name": "Jsc", "entity_start": 179, "entity_end": 179, "property_value_start": 181, "property_value_end": 184, "property_numeric_value": 9.92, "property_unit": "mA cm^{-2}", "property_value_descriptor": ""}, "fill factor": {"entity_name": "FF", "entity_start": 193, "entity_end": 193, "property_value_start": 195, "property_value_end": 196, "property_numeric_value": 59.1, "property_unit": "%", "property_value_descriptor": ""}, "highest occupied molecular orbital": {"entity_name": "HOMO level", "entity_start": 148, "entity_end": 149, "property_value_start": 151, "property_value_end": 154, "property_numeric_value": -5.335, "property_unit": "eV", "property_value_descriptor": "to"}, "lowest unoccupied molecular orbital": {}, "bandgap": {}, "hole mobility": {}, "electron mobility": {}, "external quantum efficiency": {}}</t>
  </si>
  <si>
    <t xml:space="preserve">10.1016/j.dyepig.2019.03.014</t>
  </si>
  <si>
    <t xml:space="preserve">PBDTS-DTBT</t>
  </si>
  <si>
    <t xml:space="preserve">['PBDTS-DTBT', 'PBDT-DTBT']</t>
  </si>
  <si>
    <t xml:space="preserve">{"power conversion efficiency": {"entity_name": "PCE", "entity_start": 139, "entity_end": 139, "property_value_start": 142, "property_value_end": 143, "property_numeric_value": 9.73, "property_unit": "%", "property_value_descriptor": ""}, "open circuit voltage": {"entity_name": "V OC", "entity_start": 151, "entity_end": 152, "property_value_start": 154, "property_value_end": 155, "property_numeric_value": 0.93, "property_unit": "V", "property_value_descriptor": ""}, "short circuit current": {"entity_name": "J SC", "entity_start": 165, "entity_end": 166, "property_value_start": 168, "property_value_end": 172, "property_numeric_value": 14.23, "property_unit": "mA/cm^{2}", "property_value_descriptor": ""}, "fill factor": {"entity_name": "FF", "entity_start": 179, "entity_end": 179, "property_value_start": 181, "property_value_end": 181, "property_numeric_value": 73.5, "property_unit": "%", "property_value_descriptor": ""}, "highest occupied molecular orbital": {}, "lowest unoccupied molecular orbital": {}, "bandgap": {"entity_name": "band gap", "entity_start": 71, "entity_end": 72, "property_value_start": 74, "property_value_end": 75, "property_numeric_value": 1.68, "property_unit": "eV", "property_value_descriptor": ""}, "hole mobility": {}, "electron mobility": {}, "external quantum efficiency": {}}</t>
  </si>
  <si>
    <t xml:space="preserve">10.1016/j.synthmet.2011.04.015</t>
  </si>
  <si>
    <t xml:space="preserve">{"power conversion efficiency": {"entity_name": "PCE", "entity_start": 70, "entity_end": 70, "property_value_start": 72, "property_value_end": 73, "property_numeric_value": 3.52, "property_unit": "%", "property_value_descriptor": ""}, "open circuit voltage": {}, "short circuit current": {"entity_name": "Jsc", "entity_start": 60, "entity_end": 60, "property_value_start": 62, "property_value_end": 66, "property_numeric_value": 2.4,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</si>
  <si>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10.1016/j.nanoen.2014.06.024</t>
  </si>
  <si>
    <t xml:space="preserve">['P3HT', 'PTB7', 'PTB7-based']</t>
  </si>
  <si>
    <t xml:space="preserve">{"power conversion efficiency": {}, "open circuit voltage": {}, "short circuit current": {}, "fill factor": {}, "highest occupied molecular orbital": {}, "lowest unoccupied molecular orbital": {}, "bandgap": {"entity_name": "bandgap", "entity_start": 131, "entity_end": 131, "property_value_start": 138, "property_value_end": 139, "property_numeric_value": 1.8, "property_unit": "eV", "property_value_descriptor": "~"}, "hole mobility": {}, "electron mobility": {}, "external quantum efficiency": {}}</t>
  </si>
  <si>
    <t xml:space="preserve">{"power conversion efficiency": {"entity_name": "PCE", "entity_start": 147, "entity_end": 147, "property_value_start": 150, "property_value_end": 151, "property_numeric_value": 2.2,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</si>
  <si>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10.1039/c7ta10026d</t>
  </si>
  <si>
    <t xml:space="preserve">IDIDT-C8</t>
  </si>
  <si>
    <t xml:space="preserve">['IDIDT-C8']</t>
  </si>
  <si>
    <t xml:space="preserve">{"power conversion efficiency": {"entity_name": "power conversion efficiency", "entity_start": 119, "entity_end": 121, "property_value_start": 123, "property_value_end": 124, "property_numeric_value": 10.1, "property_unit": "%", "property_value_descriptor": ""}, "open circuit voltage": {"entity_name": "V_{oc}", "entity_start": 144, "entity_end": 145, "property_value_start": 147, "property_value_end": 148, "property_numeric_value": 0.97, "property_unit": "V", "property_value_descriptor": ""}, "short circuit current": {"entity_name": "J_{sc}", "entity_start": 133, "entity_end": 134, "property_value_start": 136, "property_value_end": 139, "property_numeric_value": 15.81, "property_unit": "mA cm^{-2}", "property_value_descriptor": ""}, "fill factor": {"entity_name": "FF", "entity_start": 127, "entity_end": 127, "property_value_start": 129, "property_value_end": 130, "property_numeric_value": 65.9,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</si>
  <si>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10.1039/c8ta09370a</t>
  </si>
  <si>
    <t xml:space="preserve">TTz1-based</t>
  </si>
  <si>
    <t xml:space="preserve">['TTz1-based']</t>
  </si>
  <si>
    <t xml:space="preserve">{"power conversion efficiency": {"entity_name": "PCE", "entity_start": 225, "entity_end": 225, "property_value_start": 228, "property_value_end": 229, "property_numeric_value": 8.77,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</si>
  <si>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10.1039/c6ta00962j</t>
  </si>
  <si>
    <t xml:space="preserve">{"power conversion efficiency": {"entity_name": "PCE", "entity_start": 200, "entity_end": 200, "property_value_start": 202, "property_value_end": 203, "property_numeric_value": 2.1,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</si>
  <si>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10.1039/c7ta10391c</t>
  </si>
  <si>
    <t xml:space="preserve">{"power conversion efficiency": {"entity_name": "PCE", "entity_start": 142, "entity_end": 142, "property_value_start": 144, "property_value_end": 145, "property_numeric_value": 10.42, "property_unit": "%", "property_value_descriptor": ""}, "open circuit voltage": {"entity_name": "V_{OC}", "entity_start": 113, "entity_end": 114, "property_value_start": 116, "property_value_end": 117, "property_numeric_value": 0.95, "property_unit": "V", "property_value_descriptor": ""}, "short circuit current": {"entity_name": "J_{SC}", "entity_start": 120, "entity_end": 121, "property_value_start": 123, "property_value_end": 126, "property_numeric_value": 15.13, "property_unit": "mA cm^{-2}", "property_value_descriptor": ""}, "fill factor": {"entity_name": "FF", "entity_start": 130, "entity_end": 130, "property_value_start": 132, "property_value_end": 132, "property_numeric_value": 72.0,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</si>
  <si>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10.1039/c6mh00434b</t>
  </si>
  <si>
    <t xml:space="preserve">{"power conversion efficiency": {"entity_name": "power conversion efficiencies", "entity_start": 181, "entity_end": 183, "property_value_start": 186, "property_value_end": 187,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</si>
  <si>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10.1039/c8ta06669h</t>
  </si>
  <si>
    <t xml:space="preserve">PBDT-Nx</t>
  </si>
  <si>
    <t xml:space="preserve">['PBDT-Nx']</t>
  </si>
  <si>
    <t xml:space="preserve">{"power conversion efficiency": {"entity_name": "PCE", "entity_start": 147, "entity_end": 147, "property_value_start": 150, "property_value_end": 151,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</si>
  <si>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10.1039/c4tc02597k</t>
  </si>
  <si>
    <t xml:space="preserve">{"power conversion efficiency": {"entity_name": "power conversion efficiency", "entity_start": 111, "entity_end": 113, "property_value_start": 115, "property_value_end": 116, "property_numeric_value": 4.29, "property_unit": "%", "property_value_descriptor": ""}, "open circuit voltage": {"entity_name": "V_{OC}", "entity_start": 120, "entity_end": 121, "property_value_start": 123, "property_value_end": 124, "property_numeric_value": 0.98,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</si>
  <si>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10.1039/c5ra14013g</t>
  </si>
  <si>
    <t xml:space="preserve">{"power conversion efficiency": {"entity_name": "PCE", "entity_start": 131, "entity_end": 131, "property_value_start": 133, "property_value_end": 134, "property_numeric_value": 8.37, "property_unit": "%", "property_value_descriptor": ""}, "open circuit voltage": {}, "short circuit current": {}, "fill factor": {}, "highest occupied molecular orbital": {}, "lowest unoccupied molecular orbital": {}, "bandgap": {"entity_name": "E_{g}", "entity_start": 146, "entity_end": 147, "property_value_start": 149, "property_value_end": 150, "property_numeric_value": 1.7, "property_unit": "eV", "property_value_descriptor": ""}, "hole mobility": {}, "electron mobility": {}, "external quantum efficiency": {}}</t>
  </si>
  <si>
    <t xml:space="preserve">10.1039/c8ta07134a</t>
  </si>
  <si>
    <t xml:space="preserve">PBDTTAZ-NaPh</t>
  </si>
  <si>
    <t xml:space="preserve">['PBDTTAZ-NaPh']</t>
  </si>
  <si>
    <t xml:space="preserve">{"power conversion efficiency": {"entity_name": "PCE", "entity_start": 213, "entity_end": 213, "property_value_start": 216, "property_value_end": 217, "property_numeric_value": 11.56,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</si>
  <si>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10.1039/c6ta06679h</t>
  </si>
  <si>
    <t xml:space="preserve">{"power conversion efficiency": {"entity_name": "power conversion efficiency", "entity_start": 184, "entity_end": 186, "property_value_start": 189, "property_value_end": 190, "property_numeric_value": 5.3,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</si>
  <si>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10.1039/c7ta10136h</t>
  </si>
  <si>
    <t xml:space="preserve">['ITIC', 'OE', 'OE']</t>
  </si>
  <si>
    <t xml:space="preserve">{"power conversion efficiency": {"entity_name": "power conversion efficiency", "entity_start": 163, "entity_end": 165, "property_value_start": 167, "property_value_end": 168, "property_numeric_value": 8.5,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</si>
  <si>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10.1039/c8tc06513f</t>
  </si>
  <si>
    <t xml:space="preserve">{"power conversion efficiency": {"entity_name": "PCE", "entity_start": 231, "entity_end": 231, "property_value_start": 233, "property_value_end": 234, "property_numeric_value": 10.21,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</si>
  <si>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10.1039/c7ee00844a</t>
  </si>
  <si>
    <t xml:space="preserve">{"power conversion efficiency": {"entity_name": "power conversion efficiencies", "entity_start": 106, "entity_end": 108, "property_value_start": 115, "property_value_end": 116, "property_numeric_value": 10.5,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</si>
  <si>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10.1039/c8tc04883e</t>
  </si>
  <si>
    <t xml:space="preserve">poly[4,8-bis(5-(2-ethylhexyl)thiophen-2-yl)benzo[1,2-b:4,5-b']-dithiophene-alt-N-(2-hexyldecyl)-5'5-bis[3-(decylthio)thiophene-2-yl]-2'2-bithiophene-3'3-dicarboximide]</t>
  </si>
  <si>
    <t xml:space="preserve">["poly[4,8-bis(5-(2-ethylhexyl)thiophen-2-yl)benzo[1,2-b:4,5-b']-dithiophene-alt-N-(2-hexyldecyl)-5'5-bis[3-(decylthio)thiophene-2-yl]-2'2-bithiophene-3'3-dicarboximide]", 'PBTIBDTT']</t>
  </si>
  <si>
    <t xml:space="preserve">{"power conversion efficiency": {"entity_name": "PCE", "entity_start": 144, "entity_end": 144, "property_value_start": 147, "property_value_end": 148, "property_numeric_value": 10.2,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</si>
  <si>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10.1039/c7ee00619e</t>
  </si>
  <si>
    <t xml:space="preserve">{"power conversion efficiency": {"entity_name": "power conversion efficiency", "entity_start": 170, "entity_end": 172, "property_value_start": 174, "property_value_end": 175, "property_numeric_value": 9.16,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</si>
  <si>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196, "entity_end": 196, "property_value_start": 198, "property_value_end": 199, "property_numeric_value": 6.37,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</si>
  <si>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10.1039/c8ta00368h</t>
  </si>
  <si>
    <t xml:space="preserve">PBDB-BzT</t>
  </si>
  <si>
    <t xml:space="preserve">['PBDB-BzT']</t>
  </si>
  <si>
    <t xml:space="preserve">{"power conversion efficiency": {"entity_name": "PCE", "entity_start": 120, "entity_end": 120, "property_value_start": 122, "property_value_end": 123, "property_numeric_value": 12.1,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</si>
  <si>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10.1039/c5cc01712b</t>
  </si>
  <si>
    <t xml:space="preserve">{"power conversion efficiency": {"entity_name": "power conversion efficiency", "entity_start": 42, "entity_end": 44, "property_value_start": 46, "property_value_end": 47, "property_numeric_value": 2.8,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</si>
  <si>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10.1039/c4nr03080j</t>
  </si>
  <si>
    <t xml:space="preserve">{"power conversion efficiency": {"entity_name": "power conversion efficiency", "entity_start": 160, "entity_end": 162, "property_value_start": 164, "property_value_end": 165, "property_numeric_value": 3.24,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</si>
  <si>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10.1039/c6ta02298g</t>
  </si>
  <si>
    <t xml:space="preserve">{"power conversion efficiency": {}, "open circuit voltage": {"entity_name": "V_{oc}", "entity_start": 92, "entity_end": 93, "property_value_start": 95, "property_value_end": 96, "property_numeric_value": 0.83, "property_unit": "V", "property_value_descriptor": ""}, "short circuit current": {"entity_name": "J_{sc}", "entity_start": 83, "entity_end": 84, "property_value_start": 86, "property_value_end": 89, "property_numeric_value": 12.43,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</si>
  <si>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PIDT-DTQ-TT</t>
  </si>
  <si>
    <t xml:space="preserve">['PIDT-DTQ-TT']</t>
  </si>
  <si>
    <t xml:space="preserve">{"power conversion efficiency": {"entity_name": "power conversion efficiency", "entity_start": 161, "entity_end": 163, "property_value_start": 166, "property_value_end": 167, "property_numeric_value": 6.63,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</si>
  <si>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10.1039/c0cc02766a</t>
  </si>
  <si>
    <t xml:space="preserve">{"power conversion efficiency": {"entity_name": "PCE", "entity_start": 58, "entity_end": 58, "property_value_start": 62, "property_value_end": 63, "property_numeric_value": 4.2,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</si>
  <si>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10.1039/c5ra19715e</t>
  </si>
  <si>
    <t xml:space="preserve">PTTBOBT-DFBT</t>
  </si>
  <si>
    <t xml:space="preserve">['PTTBOBT-DFBT']</t>
  </si>
  <si>
    <t xml:space="preserve">{"power conversion efficiency": {"entity_name": "PCE", "entity_start": 73, "entity_end": 73, "property_value_start": 76, "property_value_end": 77, "property_numeric_value": 5.36, "property_unit": "%", "property_value_descriptor": ""}, "open circuit voltage": {"entity_name": "V_{oc}", "entity_start": 92, "entity_end": 93, "property_value_start": 95, "property_value_end": 96, "property_numeric_value": 0.76, "property_unit": "V", "property_value_descriptor": ""}, "short circuit current": {"entity_name": "J_{sc}", "entity_start": 79, "entity_end": 80, "property_value_start": 82, "property_value_end": 85, "property_numeric_value": 11.04, "property_unit": "mA cm^{-2}", "property_value_descriptor": ""}, "fill factor": {"entity_name": "FF", "entity_start": 87, "entity_end": 87, "property_value_start": 89, "property_value_end": 90, "property_numeric_value": 63.65, "property_unit": "%", "property_value_descriptor": ""}, "highest occupied molecular orbital": {"entity_name": "HOMO energy", "entity_start": 44, "entity_end": 45, "property_value_start": 48, "property_value_end": 49, "property_numeric_value": -5.44, "property_unit": "eV", "property_value_descriptor": ""}, "lowest unoccupied molecular orbital": {}, "bandgap": {"entity_name": "band-gap", "entity_start": 35, "entity_end": 37, "property_value_start": 39, "property_value_end": 40, "property_numeric_value": 1.64, "property_unit": "eV", "property_value_descriptor": ""}, "hole mobility": {}, "electron mobility": {}, "external quantum efficiency": {}}</t>
  </si>
  <si>
    <t xml:space="preserve">10.1039/c3cc40620b</t>
  </si>
  <si>
    <t xml:space="preserve">{"power conversion efficiency": {"entity_name": "power conversion efficiencies", "entity_start": 56, "entity_end": 58, "property_value_start": 63, "property_value_end": 64, "property_numeric_value": 6.51,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</si>
  <si>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10.1039/c6ee03489f</t>
  </si>
  <si>
    <t xml:space="preserve">PB3 T</t>
  </si>
  <si>
    <t xml:space="preserve">['PB3 T', 'PB2 T', 'PB3T']</t>
  </si>
  <si>
    <t xml:space="preserve">{"power conversion efficiency": {"entity_name": "power conversion efficiency", "entity_start": 50, "entity_end": 52, "property_value_start": 54, "property_value_end": 55, "property_numeric_value": 11.9, "property_unit": "%", "property_value_descriptor": ""}, "open circuit voltage": {"entity_name": "V_{oc}", "entity_start": 66, "entity_end": 67, "property_value_start": 69, "property_value_end": 70, "property_numeric_value": 1.0, "property_unit": "V", "property_value_descriptor": ""}, "short circuit current": {"entity_name": "J_{sc}", "entity_start": 58, "entity_end": 59, "property_value_start": 61, "property_value_end": 64, "property_numeric_value": 18.8,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</si>
  <si>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10.1039/c5ta06111c</t>
  </si>
  <si>
    <t xml:space="preserve">4-(2-octyldodecyl)-dithieno[3,2-b:2',3'-d]pyridin-5(4H)-one</t>
  </si>
  <si>
    <t xml:space="preserve">{"power conversion efficiency": {"entity_name": "PCE", "entity_start": 102, "entity_end": 102, "property_value_start": 105, "property_value_end": 106, "property_numeric_value": 6.84, "property_unit": "%", "property_value_descriptor": ""}, "open circuit voltage": {"entity_name": "V_{oc}", "entity_start": 140, "entity_end": 141, "property_value_start": 143, "property_value_end": 144, "property_numeric_value": 0.96, "property_unit": "V", "property_value_descriptor": ""}, "short circuit current": {}, "fill factor": {}, "highest occupied molecular orbital": {"entity_name": "HOMO levels", "entity_start": 73, "entity_end": 74, "property_value_start": 76, "property_value_end": 79, "property_numeric_value": -5.41, "property_unit": "eV", "property_value_descriptor": "and"}, "lowest unoccupied molecular orbital": {}, "bandgap": {"entity_name": "optical bandgaps", "entity_start": 61, "entity_end": 62, "property_value_start": 64, "property_value_end": 67, "property_numeric_value": 1.9849999999999999, "property_unit": "eV", "property_value_descriptor": "and"}, "hole mobility": {"entity_name": "hole mobility", "entity_start": 22, "entity_end": 23, "property_value_start": 25, "property_value_end": 31, "property_numeric_value": 0.19, "property_unit": "cm^{2} V^{-1} s^{-1}", "property_value_descriptor": ""}, "electron mobility": {}, "external quantum efficiency": {}}</t>
  </si>
  <si>
    <t xml:space="preserve">10.1039/c6ee01026a</t>
  </si>
  <si>
    <t xml:space="preserve">{"power conversion efficiency": {"entity_name": "PCE", "entity_start": 233, "entity_end": 233, "property_value_start": 236, "property_value_end": 237, "property_numeric_value": 8.11,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</si>
  <si>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10.1039/c7tc05145j</t>
  </si>
  <si>
    <t xml:space="preserve">P(NDIO2OD-T)</t>
  </si>
  <si>
    <t xml:space="preserve">['P(NDIO2OD-T)']</t>
  </si>
  <si>
    <t xml:space="preserve">{"power conversion efficiency": {"entity_name": "PCE", "entity_start": 94, "entity_end": 94, "property_value_start": 98, "property_value_end": 99, "property_numeric_value": 3.25,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mobility", "entity_start": 43, "entity_end": 44, "property_value_start": 48, "property_value_end": 57, "property_numeric_value": 0.0054, "property_unit": "cm^{2} V^{-1} s^{-1}", "property_value_descriptor": ""}, "external quantum efficiency": {}}</t>
  </si>
  <si>
    <t xml:space="preserve">10.1039/c2jm34034h</t>
  </si>
  <si>
    <t xml:space="preserve">poly[{2,5-bis(2-hexyldecyl)-2,3,5,6-tetrahydro-3,6-dioxopyrrolo[3,4-c]pyrrole-1,4-diyl}-alt-{[2,2'-(1,4-phenylene)bis-thiophene]-5,5'-diyl}]</t>
  </si>
  <si>
    <t xml:space="preserve">["poly[{2,5-bis(2-hexyldecyl)-2,3,5,6-tetrahydro-3,6-dioxopyrrolo[3,4-c]pyrrole-1,4-diyl}-alt-{[2,2'-(1,4-phenylene)bis-thiophene]-5,5'-diyl}]"]</t>
  </si>
  <si>
    <t xml:space="preserve">{"power conversion efficiency": {"entity_name": "power conversion efficiency", "entity_start": 66, "entity_end": 68, "property_value_start": 70, "property_value_end": 71, "property_numeric_value": 3.0,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</si>
  <si>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10.1039/c3ta12935g</t>
  </si>
  <si>
    <t xml:space="preserve">{"power conversion efficiency": {"entity_name": "power conversion efficiency", "entity_start": 154, "entity_end": 156, "property_value_start": 158, "property_value_end": 159, "property_numeric_value": 6.51,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</si>
  <si>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10.1038/s41428-018-0072-4</t>
  </si>
  <si>
    <t xml:space="preserve">PDT</t>
  </si>
  <si>
    <t xml:space="preserve">{"power conversion efficiency": {"entity_name": "power conversion efficiency", "entity_start": 241, "entity_end": 243, "property_value_start": 246, "property_value_end": 247, "property_numeric_value": 6.0,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mobilities", "entity_start": 178, "entity_end": 179, "property_value_start": 183, "property_value_end": 189, "property_numeric_value": 0.18, "property_unit": "cm^{2} V^{-1} s^{-1}", "property_value_descriptor": ""}, "electron mobility": {}, "external quantum efficiency": {}}</t>
  </si>
  <si>
    <t xml:space="preserve">10.1007/s12274-017-1812-z</t>
  </si>
  <si>
    <t xml:space="preserve">['polydimethylsiloxane']</t>
  </si>
  <si>
    <t xml:space="preserve">{"power conversion efficiency": {"entity_name": "power conversion efficiency", "entity_start": 149, "entity_end": 151, "property_value_start": 156, "property_value_end": 157, "property_numeric_value": 1.85,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</si>
  <si>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10.1007/s13391-013-2240-1</t>
  </si>
  <si>
    <t xml:space="preserve">{"power conversion efficiency": {"entity_name": "power conversion efficiency", "entity_start": 151, "entity_end": 153, "property_value_start": 169, "property_value_end": 170, "property_numeric_value": 3.8,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</si>
  <si>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10.1038/pj.2015.19</t>
  </si>
  <si>
    <t xml:space="preserve">TDz)-containin</t>
  </si>
  <si>
    <t xml:space="preserve">{"power conversion efficiency": {"entity_name": "power conversion efficiency", "entity_start": 169, "entity_end": 171, "property_value_start": 173, "property_value_end": 174, "property_numeric_value": 0.529, "property_unit": "%", "property_value_descriptor": ""}, "open circuit voltage": {"entity_name": "open-circuit voltages", "entity_start": 148, "entity_end": 151, "property_value_start": 154, "property_value_end": 155, "property_numeric_value": 0.965,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</si>
  <si>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10.1038/srep12839</t>
  </si>
  <si>
    <t xml:space="preserve">{"power conversion efficiency": {"entity_name": "PCE", "entity_start": 133, "entity_end": 133, "property_value_start": 136, "property_value_end": 137, "property_numeric_value": 7.94,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</si>
  <si>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10.1016/j.polymer.2019.121976</t>
  </si>
  <si>
    <t xml:space="preserve">DBTIC</t>
  </si>
  <si>
    <t xml:space="preserve">['DBTIC']</t>
  </si>
  <si>
    <t xml:space="preserve">{"power conversion efficiency": {"entity_name": "power conversion efficiency", "entity_start": 41, "entity_end": 43, "property_value_start": 45, "property_value_end": 46, "property_numeric_value": 8.64, "property_unit": "%", "property_value_descriptor": ""}, "open circuit voltage": {"entity_name": "V_{oc}", "entity_start": 116, "entity_end": 117, "property_value_start": 120, "property_value_end": 121, "property_numeric_value": 1.05, "property_unit": "V", "property_value_descriptor": ""}, "short circuit current": {}, "fill factor": {}, "highest occupied molecular orbital": {}, "lowest unoccupied molecular orbital": {}, "bandgap": {"entity_name": "bandgap", "entity_start": 32, "entity_end": 32, "property_value_start": 36, "property_value_end": 37, "property_numeric_value": 1.71, "property_unit": "eV", "property_value_descriptor": ""}, "hole mobility": {}, "electron mobility": {}, "external quantum efficiency": {}}</t>
  </si>
  <si>
    <t xml:space="preserve">10.1016/j.polymer.2020.122348</t>
  </si>
  <si>
    <t xml:space="preserve">['P3HT', 'rr-P3HTs', 'P3HTs', 'rr-P3HTs']</t>
  </si>
  <si>
    <t xml:space="preserve">{"power conversion efficiency": {"entity_name": "PCEs", "entity_start": 78, "entity_end": 78, "property_value_start": 82, "property_value_end": 83, "property_numeric_value": 3.4,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</si>
  <si>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10.1021/ma400568b</t>
  </si>
  <si>
    <t xml:space="preserve">{"power conversion efficiency": {"entity_name": "PCE", "entity_start": 208, "entity_end": 208, "property_value_start": 211, "property_value_end": 212, "property_numeric_value": 5.1,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</si>
  <si>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10.1021/acs.macromol.6b01595</t>
  </si>
  <si>
    <t xml:space="preserve">PCP-Na</t>
  </si>
  <si>
    <t xml:space="preserve">['PCP-Na']</t>
  </si>
  <si>
    <t xml:space="preserve">{"power conversion efficiency": {"entity_name": "PCE", "entity_start": 229, "entity_end": 229, "property_value_start": 231, "property_value_end": 232, "property_numeric_value": 10.54, "property_unit": "%", "property_value_descriptor": ""}, "open circuit voltage": {}, "short circuit current": {}, "fill factor": {"entity_name": "fill factor", "entity_start": 172, "entity_end": 173, "property_value_start": 175, "property_value_end": 176, "property_numeric_value": 70.0, "property_unit": "%", "property_value_descriptor": ""}, "highest occupied molecular orbital": {"entity_name": "HOMO level", "entity_start": 73, "entity_end": 74, "property_value_start": 76, "property_value_end": 77, "property_numeric_value": -5.22, "property_unit": "eV", "property_value_descriptor": ""}, "lowest unoccupied molecular orbital": {}, "bandgap": {}, "hole mobility": {}, "electron mobility": {}, "external quantum efficiency": {}}</t>
  </si>
  <si>
    <t xml:space="preserve">{"power conversion efficiency": {"entity_name": "PCE", "entity_start": 132, "entity_end": 132, "property_value_start": 134, "property_value_end": 135, "property_numeric_value": 9.53,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</si>
  <si>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10.1021/acs.macromol.9b01525</t>
  </si>
  <si>
    <t xml:space="preserve">PMBBDT</t>
  </si>
  <si>
    <t xml:space="preserve">['PMBBDT', 'PBBDT', 'PBBDT-']</t>
  </si>
  <si>
    <t xml:space="preserve">{"power conversion efficiency": {"entity_name": "PCEs", "entity_start": 179, "entity_end": 179, "property_value_start": 190, "property_value_end": 191, "property_numeric_value": 5.8,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</si>
  <si>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10.1021/acs.macromol.5b02772</t>
  </si>
  <si>
    <t xml:space="preserve">P(BDTT-r-DPP)</t>
  </si>
  <si>
    <t xml:space="preserve">['P(BDTT-r-DPP)']</t>
  </si>
  <si>
    <t xml:space="preserve">{"power conversion efficiency": {"entity_name": "PCE", "entity_start": 214, "entity_end": 214, "property_value_start": 217, "property_value_end": 218, "property_numeric_value": 5.63,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</si>
  <si>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P(BDTT-alt-DPP)</t>
  </si>
  <si>
    <t xml:space="preserve">['P(BDTT-alt-DPP)']</t>
  </si>
  <si>
    <t xml:space="preserve">{"power conversion efficiency": {"entity_name": "PCE", "entity_start": 247, "entity_end": 247, "property_value_start": 249, "property_value_end": 250, "property_numeric_value": 5.03,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</si>
  <si>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10.1021/acs.macromol.0c00405</t>
  </si>
  <si>
    <t xml:space="preserve">PBBSe-Cl</t>
  </si>
  <si>
    <t xml:space="preserve">['PBBSe-Cl']</t>
  </si>
  <si>
    <t xml:space="preserve">{"power conversion efficiency": {"entity_name": "PCE", "entity_start": 167, "entity_end": 167, "property_value_start": 169, "property_value_end": 170, "property_numeric_value": 14.44, "property_unit": "%", "property_value_descriptor": ""}, "open circuit voltage": {}, "short circuit current": {"entity_name": "J_{sc}", "entity_start": 181, "entity_end": 182, "property_value_start": 185, "property_value_end": 188, "property_numeric_value": 24.07, "property_unit": "mA cm^{-2}", "property_value_descriptor": ""}, "fill factor": {"entity_name": "FF", "entity_start": 193, "entity_end": 193, "property_value_start": 196, "property_value_end": 197, "property_numeric_value": 73.16,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</si>
  <si>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10.1021/ma070052+</t>
  </si>
  <si>
    <t xml:space="preserve">{"power conversion efficiency": {"entity_name": "power conversion efficiency", "entity_start": 190, "entity_end": 192, "property_value_start": 226, "property_value_end": 227, "property_numeric_value": 0.1,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</si>
  <si>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10.1021/acs.macromol.5b01074</t>
  </si>
  <si>
    <t xml:space="preserve">Cl-IIDT</t>
  </si>
  <si>
    <t xml:space="preserve">['Cl-IIDT']</t>
  </si>
  <si>
    <t xml:space="preserve">{"power conversion efficiency": {"entity_name": "power conversion efficiency", "entity_start": 46, "entity_end": 48, "property_value_start": 57, "property_value_end": 58, "property_numeric_value": 1.19,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</si>
  <si>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10.1021/acs.macromol.9b01666</t>
  </si>
  <si>
    <t xml:space="preserve">M_{D}P_{A}</t>
  </si>
  <si>
    <t xml:space="preserve">['M_{D}P_{A}', 'M_{D}P_{A}-type']</t>
  </si>
  <si>
    <t xml:space="preserve">{"power conversion efficiency": {"entity_name": "power conversion efficiency", "entity_start": 166, "entity_end": 168, "property_value_start": 170, "property_value_end": 171, "property_numeric_value": 6.4,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</si>
  <si>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10.1021/acs.macromol.7b00857</t>
  </si>
  <si>
    <t xml:space="preserve">Poly(3-alkylthiophene)</t>
  </si>
  <si>
    <t xml:space="preserve">['Poly(3-alkylthiophene)']</t>
  </si>
  <si>
    <t xml:space="preserve">{"power conversion efficiency": {"entity_name": "PCE", "entity_start": 136, "entity_end": 136, "property_value_start": 138, "property_value_end": 139, "property_numeric_value": 5.58,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</si>
  <si>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10.1021/acs.macromol.7b01198</t>
  </si>
  <si>
    <t xml:space="preserve">Diketopyrrolopyrrole</t>
  </si>
  <si>
    <t xml:space="preserve">['Diketopyrrolopyrrole', 'DPP']</t>
  </si>
  <si>
    <t xml:space="preserve">{"power conversion efficiency": {"entity_name": "PCE", "entity_start": 137, "entity_end": 137, "property_value_start": 141, "property_value_end": 142, "property_numeric_value": 7.5,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107, "entity_end": 108, "property_value_start": 111, "property_value_end": 117, "property_numeric_value": 0.8, "property_unit": "cm^{2} V^{-1} s^{-1}", "property_value_descriptor": ""}, "electron mobility": {"entity_name": "electron mobility", "entity_start": 119, "entity_end": 120, "property_value_start": 123, "property_value_end": 128, "property_numeric_value": 0.5, "property_unit": "cm^{2} V^{-1} s^{-1}", "property_value_descriptor": ""}, "external quantum efficiency": {}}</t>
  </si>
  <si>
    <t xml:space="preserve">10.1021/acsmacrolett.9b00704</t>
  </si>
  <si>
    <t xml:space="preserve">PIDTT-DTffBTA</t>
  </si>
  <si>
    <t xml:space="preserve">['PIDTT-DTffBTA']</t>
  </si>
  <si>
    <t xml:space="preserve">{"power conversion efficiency": {"entity_name": "PCE", "entity_start": 132, "entity_end": 132, "property_value_start": 142, "property_value_end": 143, "property_numeric_value": 7.15,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</si>
  <si>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10.1007/s10118-020-2435-5</t>
  </si>
  <si>
    <t xml:space="preserve">DZ2</t>
  </si>
  <si>
    <t xml:space="preserve">['DZ2']</t>
  </si>
  <si>
    <t xml:space="preserve">{"power conversion efficiency": {"entity_name": "PCE", "entity_start": 246, "entity_end": 246, "property_value_start": 248, "property_value_end": 249, "property_numeric_value": 6.28, "property_unit": "%", "property_value_descriptor": ""}, "open circuit voltage": {"entity_name": "V_{OC}", "entity_start": 191, "entity_end": 192, "property_value_start": 194, "property_value_end": 195, "property_numeric_value": 0.88,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</si>
  <si>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DZ1</t>
  </si>
  <si>
    <t xml:space="preserve">['DZ1', 'DZ3']</t>
  </si>
  <si>
    <t xml:space="preserve">{"power conversion efficiency": {}, "open circuit voltage": {}, "short circuit current": {"entity_name": "J_{SC}", "entity_start": 204, "entity_end": 205, "property_value_start": 208, "property_value_end": 212, "property_numeric_value": 17.62, "property_unit": "mA/cm^{2}", "property_value_descriptor": ""}, "fill factor": {"entity_name": "FF", "entity_start": 219, "entity_end": 219, "property_value_start": 222, "property_value_end": 223, "property_numeric_value": 68.0,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</si>
  <si>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10.1002/macp.202000030</t>
  </si>
  <si>
    <t xml:space="preserve">poly{(4,8-bis(5-(2-ethylhexyl)thiophen-2-yl)benzo[1,2-b:4,5-b']dithiophene-2,6-diyl)-alt-(1,3-bis(2-octyldodecyl)-1,3-dihydro-2H)</t>
  </si>
  <si>
    <t xml:space="preserve">["poly{(4,8-bis(5-(2-ethylhexyl)thiophen-2-yl)benzo[1,2-b:4,5-b']dithiophene-2,6-diyl)-alt-(1,3-bis(2-octyldodecyl)-1,3-dihydro-2H)"]</t>
  </si>
  <si>
    <t xml:space="preserve">{"power conversion efficiency": {"entity_name": "power conversion efficiency", "entity_start": 187, "entity_end": 189, "property_value_start": 191, "property_value_end": 192, "property_numeric_value": 11.18, "property_unit": "%", "property_value_descriptor": ""}, "open circuit voltage": {"entity_name": "open-circuit voltage", "entity_start": 196, "entity_end": 199, "property_value_start": 201, "property_value_end": 202, "property_numeric_value": 0.96, "property_unit": "V", "property_value_descriptor": ""}, "short circuit current": {"entity_name": "J_{sc}", "entity_start": 205, "entity_end": 206, "property_value_start": 208, "property_value_end": 211, "property_numeric_value": 16.89, "property_unit": "mA cm^{-2}", "property_value_descriptor": ""}, "fill factor": {"entity_name": "FF", "entity_start": 218, "entity_end": 218, "property_value_start": 221, "property_value_end": 221, "property_numeric_value": 69.0,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</si>
  <si>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10.1080/10601325.2019.1617636</t>
  </si>
  <si>
    <t xml:space="preserve">PT2</t>
  </si>
  <si>
    <t xml:space="preserve">['PT2']</t>
  </si>
  <si>
    <t xml:space="preserve">{"power conversion efficiency": {"entity_name": "PCE", "entity_start": 224, "entity_end": 224, "property_value_start": 226, "property_value_end": 227, "property_numeric_value": 2.05, "property_unit": "%", "property_value_descriptor": ""}, "open circuit voltage": {"entity_name": "V_{oc}", "entity_start": 214, "entity_end": 215, "property_value_start": 217, "property_value_end": 218, "property_numeric_value": 0.99, "property_unit": "V", "property_value_descriptor": ""}, "short circuit current": {"entity_name": "J_{sc}", "entity_start": 206, "entity_end": 207, "property_value_start": 209, "property_value_end": 212, "property_numeric_value": 3.53, "property_unit": "mA cm^{-2}", "property_value_descriptor": ""}, "fill factor": {}, "highest occupied molecular orbital": {}, "lowest unoccupied molecular orbital": {}, "bandgap": {"entity_name": "band gap", "entity_start": 121, "entity_end": 122, "property_value_start": 124, "property_value_end": 125, "property_numeric_value": 1.93, "property_unit": "eV", "property_value_descriptor": ""}, "hole mobility": {}, "electron mobility": {}, "external quantum efficiency": {}}</t>
  </si>
  <si>
    <t xml:space="preserve">{"power conversion efficiency": {"entity_name": "PCE", "entity_start": 193, "entity_end": 193, "property_value_start": 196, "property_value_end": 197, "property_numeric_value": 2.92, "property_unit": "%", "property_value_descriptor": ""}, "open circuit voltage": {"entity_name": "V_{oc}", "entity_start": 182, "entity_end": 183, "property_value_start": 186, "property_value_end": 187, "property_numeric_value": 0.89, "property_unit": "V", "property_value_descriptor": ""}, "short circuit current": {"entity_name": "J_{sc}", "entity_start": 169, "entity_end": 170, "property_value_start": 173, "property_value_end": 176, "property_numeric_value": 6.76, "property_unit": "mA cm^{-2}", "property_value_descriptor": ""}, "fill factor": {}, "highest occupied molecular orbital": {"entity_name": "HOMO", "entity_start": 136, "entity_end": 136, "property_value_start": 144, "property_value_end": 146, "property_numeric_value": 5.37, "property_unit": "eV", "property_value_descriptor": "-"}, "lowest unoccupied molecular orbital": {}, "bandgap": {}, "hole mobility": {}, "electron mobility": {}, "external quantum efficiency": {}}</t>
  </si>
  <si>
    <t xml:space="preserve">10.1002/aenm.201803826</t>
  </si>
  <si>
    <t xml:space="preserve">PCP-2F-Li</t>
  </si>
  <si>
    <t xml:space="preserve">['PCP-2F-Li']</t>
  </si>
  <si>
    <t xml:space="preserve">{"power conversion efficiency": {"entity_name": "PCE", "entity_start": 241, "entity_end": 241, "property_value_start": 243, "property_value_end": 244, "property_numeric_value": 10.6, "property_unit": "%", "property_value_descriptor": ""}, "open circuit voltage": {"entity_name": "V_{oc}", "entity_start": 173, "entity_end": 174, "property_value_start": 176, "property_value_end": 177, "property_numeric_value": 0.84,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</si>
  <si>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10.1002/aenm.201803396</t>
  </si>
  <si>
    <t xml:space="preserve">poly[bis(4-phenyl)(2,4,6-trimethylphenyl)amine</t>
  </si>
  <si>
    <t xml:space="preserve">['poly[bis(4-phenyl)(2,4,6-trimethylphenyl)amine']</t>
  </si>
  <si>
    <t xml:space="preserve">{"power conversion efficiency": {"entity_name": "power conversion efficiency", "entity_start": 150, "entity_end": 152, "property_value_start": 154, "property_value_end": 157, "property_numeric_value": 5.44, "property_unit": "%", "property_value_descriptor": ""}, "open circuit voltage": {"entity_name": "V_{oc}", "entity_start": 169, "entity_end": 170, "property_value_start": 172, "property_value_end": 175, "property_numeric_value": 0.569, "property_unit": "V", "property_value_descriptor": ""}, "short circuit current": {"entity_name": "J_{sc}", "entity_start": 159, "entity_end": 160, "property_value_start": 162, "property_value_end": 167, "property_numeric_value": 14.6, "property_unit": "mA cm^{-2}", "property_value_descriptor": ""}, "fill factor": {"entity_name": "fill factor", "entity_start": 177, "entity_end": 178, "property_value_start": 180, "property_value_end": 183, "property_numeric_value": 65.7,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</si>
  <si>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10.1002/aenm.201803849</t>
  </si>
  <si>
    <t xml:space="preserve">['poly(p-phenylenevinylene)']</t>
  </si>
  <si>
    <t xml:space="preserve">{"power conversion efficiency": {"entity_name": "power conversion efficiency", "entity_start": 200, "entity_end": 202, "property_value_start": 204, "property_value_end": 205, "property_numeric_value": 6.51, "property_unit": "%", "property_value_descriptor": ""}, "open circuit voltage": {}, "short circuit current": {"entity_name": "J_{sc}", "entity_start": 191, "entity_end": 193, "property_value_start": 195, "property_value_end": 198, "property_numeric_value": 19.5,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</si>
  <si>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10.1002/aenm.201903919</t>
  </si>
  <si>
    <t xml:space="preserve">['polyimide', 'cPI']</t>
  </si>
  <si>
    <t xml:space="preserve">{"power conversion efficiency": {"entity_name": "power conversion efficiency", "entity_start": 244, "entity_end": 246, "property_value_start": 253, "property_value_end": 254, "property_numeric_value": 15.12,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</si>
  <si>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10.1002/aenm.201902065</t>
  </si>
  <si>
    <t xml:space="preserve">SMD2</t>
  </si>
  <si>
    <t xml:space="preserve">['SMD2']</t>
  </si>
  <si>
    <t xml:space="preserve">{"power conversion efficiency": {"entity_name": "PCE", "entity_start": 255, "entity_end": 255, "property_value_start": 257, "property_value_end": 258, "property_numeric_value": 5.25,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</si>
  <si>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10.1002/adfm.200800182</t>
  </si>
  <si>
    <t xml:space="preserve">{"power conversion efficiency": {"entity_name": "power conversion efficiency", "entity_start": 49, "entity_end": 51, "property_value_start": 72, "property_value_end": 73, "property_numeric_value": 0.19,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</si>
  <si>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10.1002/adfm.200801639</t>
  </si>
  <si>
    <t xml:space="preserve">{"power conversion efficiency": {"entity_name": "power conversion efficiency", "entity_start": 150, "entity_end": 152, "property_value_start": 156, "property_value_end": 157, "property_numeric_value": 4.2,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</si>
  <si>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10.1002/adfm.200900311</t>
  </si>
  <si>
    <t xml:space="preserve">{"power conversion efficiency": {"entity_name": "power conversion efficiencies", "entity_start": 41, "entity_end": 43, "property_value_start": 47, "property_value_end": 48, "property_numeric_value": 4.1,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</si>
  <si>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10.1002/adfm.201808828</t>
  </si>
  <si>
    <t xml:space="preserve">FTAZ)-base</t>
  </si>
  <si>
    <t xml:space="preserve">{"power conversion efficiency": {}, "open circuit voltage": {}, "short circuit current": {}, "fill factor": {}, "highest occupied molecular orbital": {}, "lowest unoccupied molecular orbital": {}, "bandgap": {}, "hole mobility": {}, "electron mobility": {}, "external quantum efficiency": {"entity_name": "external quantum efficiency", "entity_start": 204, "entity_end": 206, "property_value_start": 215, "property_value_end": 216, "property_numeric_value": 80.0, "property_unit": "%", "property_value_descriptor": ""}}</t>
  </si>
  <si>
    <t xml:space="preserve">10.1002/adfm.201704507</t>
  </si>
  <si>
    <t xml:space="preserve">{"power conversion efficiency": {"entity_name": "PCE", "entity_start": 162, "entity_end": 162, "property_value_start": 165, "property_value_end": 166, "property_numeric_value": 8.25, "property_unit": "%", "property_value_descriptor": ""}, "open circuit voltage": {"entity_name": "V_{OC}", "entity_start": 142, "entity_end": 143, "property_value_start": 145, "property_value_end": 146, "property_numeric_value": 1.15,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</si>
  <si>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10.1002/adfm.201907570</t>
  </si>
  <si>
    <t xml:space="preserve">PNDT-ST</t>
  </si>
  <si>
    <t xml:space="preserve">['PNDT-ST']</t>
  </si>
  <si>
    <t xml:space="preserve">{"power conversion efficiency": {"entity_name": "PCEs", "entity_start": 237, "entity_end": 237, "property_value_start": 239, "property_value_end": 240, "property_numeric_value": 16.0,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</si>
  <si>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10.1002/adfm.200902471</t>
  </si>
  <si>
    <t xml:space="preserve">{"power conversion efficiency": {"entity_name": "power conversion efficiencies", "entity_start": 63, "entity_end": 65, "property_value_start": 69, "property_value_end": 70, "property_numeric_value": 1.47,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</si>
  <si>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10.1002/adfm.201807591</t>
  </si>
  <si>
    <t xml:space="preserve">{"power conversion efficiency": {"entity_name": "power conversion efficiency", "entity_start": 227, "entity_end": 229, "property_value_start": 234, "property_value_end": 235, "property_numeric_value": 7.18,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</si>
  <si>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10.1002/adfm.201909837</t>
  </si>
  <si>
    <t xml:space="preserve">TPDA</t>
  </si>
  <si>
    <t xml:space="preserve">{"power conversion efficiency": {"entity_name": "PCE", "entity_start": 138, "entity_end": 138, "property_value_start": 140, "property_value_end": 141, "property_numeric_value": 16.96,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</si>
  <si>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10.1002/adfm.202002181</t>
  </si>
  <si>
    <t xml:space="preserve">PBT1-C-2Cl</t>
  </si>
  <si>
    <t xml:space="preserve">['PBT1-C-2Cl']</t>
  </si>
  <si>
    <t xml:space="preserve">{"power conversion efficiency": {"entity_name": "PCE", "entity_start": 167, "entity_end": 167, "property_value_start": 169, "property_value_end": 170, "property_numeric_value": 9.1,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</si>
  <si>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10.1002/adma.201808033</t>
  </si>
  <si>
    <t xml:space="preserve">['polyimide']</t>
  </si>
  <si>
    <t xml:space="preserve">{"power conversion efficiency": {"entity_name": "PCE", "entity_start": 171, "entity_end": 171, "property_value_start": 175, "property_value_end": 176, "property_numeric_value": 90.0,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</si>
  <si>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10.1002/adma.200903484</t>
  </si>
  <si>
    <t xml:space="preserve">poly(2,7-fluorene)</t>
  </si>
  <si>
    <t xml:space="preserve">['poly(2,7-fluorene)']</t>
  </si>
  <si>
    <t xml:space="preserve">{"power conversion efficiency": {"entity_name": "PCEs", "entity_start": 220, "entity_end": 220, "property_value_start": 240, "property_value_end": 241, "property_numeric_value": 15.0,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</si>
  <si>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10.1002/adma.201807220</t>
  </si>
  <si>
    <t xml:space="preserve">f-FBTI2-T</t>
  </si>
  <si>
    <t xml:space="preserve">['f-FBTI2-T']</t>
  </si>
  <si>
    <t xml:space="preserve">{"power conversion efficiency": {"entity_name": "power conversion efficiency", "entity_start": 145, "entity_end": 147, "property_value_start": 149, "property_value_end": 150, "property_numeric_value": 8.1,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</si>
  <si>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10.1002/adma.201807275</t>
  </si>
  <si>
    <t xml:space="preserve">['PDI']</t>
  </si>
  <si>
    <t xml:space="preserve">{"power conversion efficiency": {"entity_name": "PCEs", "entity_start": 129, "entity_end": 129, "property_value_start": 144, "property_value_end": 145, "property_numeric_value": 11.0,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</si>
  <si>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10.1002/adma.201807577</t>
  </si>
  <si>
    <t xml:space="preserve">{"power conversion efficiency": {"entity_name": "power conversion efficiency", "entity_start": 157, "entity_end": 159, "property_value_start": 183, "property_value_end": 184, "property_numeric_value": 14.1, "property_unit": "%", "property_value_descriptor": ""}, "open circuit voltage": {}, "short circuit current": {"entity_name": "short-circuit current densities", "entity_start": 142, "entity_end": 146, "property_value_start": 148, "property_value_end": 150, "property_numeric_value": 20.0, "property_unit": "mA cm^{-2}", "property_value_descriptor": ""}, "fill factor": {}, "highest occupied molecular orbital": {}, "lowest unoccupied molecular orbital": {}, "bandgap": {}, "hole mobility": {}, "electron mobility": {"entity_name": "electron mobility", "entity_start": 98, "entity_end": 99, "property_value_start": 101, "property_value_end": 109, "property_numeric_value": 0.000211, "property_unit": "cm^{2} V^{-1} s^{-1}", "property_value_descriptor": ""}, "external quantum efficiency": {}}</t>
  </si>
  <si>
    <t xml:space="preserve">10.1002/adma.200903528</t>
  </si>
  <si>
    <t xml:space="preserve">{"power conversion efficiency": {"entity_name": "power conversion efficiency", "entity_start": 28, "entity_end": 30, "property_value_start": 32, "property_value_end": 33, "property_numeric_value": 7.4,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</si>
  <si>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10.1002/adma.201905161</t>
  </si>
  <si>
    <t xml:space="preserve">DCNBT-IDT</t>
  </si>
  <si>
    <t xml:space="preserve">['poly(5,6-dicyano-2,1,3-benzothiadiazole-alt-indacenodithiophene)', 'DCNBT-IDT']</t>
  </si>
  <si>
    <t xml:space="preserve">{"power conversion efficiency": {"entity_name": "power conversion efficiency", "entity_start": 183, "entity_end": 185, "property_value_start": 187, "property_value_end": 188, "property_numeric_value": 8.32, "property_unit": "%", "property_value_descriptor": ""}, "open circuit voltage": {}, "short circuit current": {}, "fill factor": {}, "highest occupied molecular orbital": {}, "lowest unoccupied molecular orbital": {}, "bandgap": {"entity_name": "bandgap", "entity_start": 117, "entity_end": 117, "property_value_start": 119, "property_value_end": 120, "property_numeric_value": 1.43, "property_unit": "eV", "property_value_descriptor": ""}, "hole mobility": {}, "electron mobility": {}, "external quantum efficiency": {}}</t>
  </si>
  <si>
    <t xml:space="preserve">10.1002/adma.201908478</t>
  </si>
  <si>
    <t xml:space="preserve">{"power conversion efficiency": {"entity_name": "PCE", "entity_start": 211, "entity_end": 211, "property_value_start": 213, "property_value_end": 214, "property_numeric_value": 15.21,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</si>
  <si>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10.1002/adma.201902447</t>
  </si>
  <si>
    <t xml:space="preserve">{"power conversion efficiency": {"entity_name": "PCE", "entity_start": 145, "entity_end": 145, "property_value_start": 155, "property_value_end": 156, "property_numeric_value": 93.8,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</si>
  <si>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10.1002/adma.201907059</t>
  </si>
  <si>
    <t xml:space="preserve">PBTT-F</t>
  </si>
  <si>
    <t xml:space="preserve">['PBTT-F']</t>
  </si>
  <si>
    <t xml:space="preserve">{"power conversion efficiency": {"entity_name": "PCE", "entity_start": 170, "entity_end": 170, "property_value_start": 172, "property_value_end": 173, "property_numeric_value": 14.8, "property_unit": "%", "property_value_descriptor": "\u2248"}, "open circuit voltage": {}, "short circuit current": {}, "fill factor": {"entity_name": "FF", "entity_start": 105, "entity_end": 105, "property_value_start": 108, "property_value_end": 109, "property_numeric_value": 77.1,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</si>
  <si>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10.1002/adma.201902965</t>
  </si>
  <si>
    <t xml:space="preserve">{"power conversion efficiency": {"entity_name": "PCE", "entity_start": 153, "entity_end": 153, "property_value_start": 155, "property_value_end": 156, "property_numeric_value": 17.0, "property_unit": "%", "property_value_descriptor": ""}, "open circuit voltage": {"entity_name": "open-circuit voltage", "entity_start": 165, "entity_end": 168, "property_value_start": 170, "property_value_end": 171, "property_numeric_value": 0.84, "property_unit": "V", "property_value_descriptor": ""}, "short circuit current": {"entity_name": "J_{SC}", "entity_start": 175, "entity_end": 176, "property_value_start": 178, "property_value_end": 180, "property_numeric_value": 26.0, "property_unit": "mA cm^{-2}", "property_value_descriptor": ""}, "fill factor": {"entity_name": "FF", "entity_start": 160, "entity_end": 160, "property_value_start": 162, "property_value_end": 163, "property_numeric_value": 78.0,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</si>
  <si>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10.1002/advs.201700980</t>
  </si>
  <si>
    <t xml:space="preserve">['[6,6]-phenyl-C61-butyric acid methyl ester', 'PC_{60}BM', '[6,6]-phenyl-C71-butyric acid methyl ester', 'PC_{70}BM']</t>
  </si>
  <si>
    <t xml:space="preserve">{"power conversion efficiency": {"entity_name": "PCE", "entity_start": 194, "entity_end": 194, "property_value_start": 196, "property_value_end": 197, "property_numeric_value": 5.4, "property_unit": "%", "property_value_descriptor": ""}, "open circuit voltage": {"entity_name": "open-circuit voltage", "entity_start": 185, "entity_end": 188, "property_value_start": 190, "property_value_end": 191, "property_numeric_value": 0.93, "property_unit": "V", "property_value_descriptor": "\u2248"},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</si>
  <si>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10.1002/advs.201801743</t>
  </si>
  <si>
    <t xml:space="preserve">fluorinated phthalimide-ffBT</t>
  </si>
  <si>
    <t xml:space="preserve">['fluorinated phthalimide-ffBT', 'ffPhI-ffBT']</t>
  </si>
  <si>
    <t xml:space="preserve">{"power conversion efficiency": {"entity_name": "PCE", "entity_start": 158, "entity_end": 158, "property_value_start": 160, "property_value_end": 161, "property_numeric_value": 12.74,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</si>
  <si>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{"entity_name": "V_{oc}", "entity_start": 165, "entity_end": 166, "property_value_start": 168, "property_value_end": 169, "property_numeric_value": 0.94,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</si>
  <si>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phthalimide-difluorobenzothiadiazole</t>
  </si>
  <si>
    <t xml:space="preserve">['phthalimide-difluorobenzothiadiazole', 'PhI-ffBT']</t>
  </si>
  <si>
    <t xml:space="preserve">{"power conversion efficiency": {"entity_name": "PCE", "entity_start": 186, "entity_end": 186, "property_value_start": 188, "property_value_end": 189, "property_numeric_value": 13.31, "property_unit": "%", "property_value_descriptor": ""}, "open circuit voltage": {}, "short circuit current": {"entity_name": "J_{sc}", "entity_start": 193, "entity_end": 194, "property_value_start": 196, "property_value_end": 199, "property_numeric_value": 19.41, "property_unit": "mA cm^{-2}", "property_value_descriptor": ""}, "fill factor": {"entity_name": "fill factor", "entity_start": 203, "entity_end": 204, "property_value_start": 206, "property_value_end": 206, "property_numeric_value": 76.0,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</si>
  <si>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10.1002/advs.201700152</t>
  </si>
  <si>
    <t xml:space="preserve">OR</t>
  </si>
  <si>
    <t xml:space="preserve">['OR']</t>
  </si>
  <si>
    <t xml:space="preserve">{"power conversion efficiency": {"entity_name": "PCE", "entity_start": 92, "entity_end": 92, "property_value_start": 95, "property_value_end": 96, "property_numeric_value": 6.36,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</si>
  <si>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HFQx</t>
  </si>
  <si>
    <t xml:space="preserve">['HFQx']</t>
  </si>
  <si>
    <t xml:space="preserve">{"power conversion efficiency": {"entity_name": "PCE", "entity_start": 156, "entity_end": 156, "property_value_start": 158, "property_value_end": 159, "property_numeric_value": 9.3,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</si>
  <si>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10.1002/anie.201910489</t>
  </si>
  <si>
    <t xml:space="preserve">perylene bisimide</t>
  </si>
  <si>
    <t xml:space="preserve">['perylene bisimide', 'PBI', 'PBIs']</t>
  </si>
  <si>
    <t xml:space="preserve">{"power conversion efficiency": {"entity_name": "PCEs", "entity_start": 153, "entity_end": 153, "property_value_start": 155, "property_value_end": 156, "property_numeric_value": 2.42,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</si>
  <si>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10.1002/anie.201907467</t>
  </si>
  <si>
    <t xml:space="preserve">{"power conversion efficiency": {"entity_name": "power conversion efficiencies", "entity_start": 105, "entity_end": 107, "property_value_start": 111, "property_value_end": 112, "property_numeric_value": 15.95,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</si>
  <si>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10.1016/j.orgel.2012.02.011</t>
  </si>
  <si>
    <t xml:space="preserve">{"power conversion efficiency": {"entity_name": "power conversion efficiency", "entity_start": 64, "entity_end": 66, "property_value_start": 79, "property_value_end": 80, "property_numeric_value": 1.62,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</si>
  <si>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10.1016/j.orgel.2016.01.029</t>
  </si>
  <si>
    <t xml:space="preserve">{"power conversion efficiency": {"entity_name": "power conversion efficiency", "entity_start": 247, "entity_end": 249, "property_value_start": 251, "property_value_end": 252, "property_numeric_value": 4.54,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</si>
  <si>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10.1016/j.orgel.2018.07.018</t>
  </si>
  <si>
    <t xml:space="preserve">ITCNTC</t>
  </si>
  <si>
    <t xml:space="preserve">['ITCNTC']</t>
  </si>
  <si>
    <t xml:space="preserve">{"power conversion efficiency": {"entity_name": "PCE", "entity_start": 124, "entity_end": 124, "property_value_start": 139, "property_value_end": 140, "property_numeric_value": 11.63, "property_unit": "%", "property_value_descriptor": ""}, "open circuit voltage": {"entity_name": "V_{OC}", "entity_start": 167, "entity_end": 168, "property_value_start": 193, "property_value_end": 194, "property_numeric_value": 0.877,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</si>
  <si>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10.1016/j.orgel.2019.105603</t>
  </si>
  <si>
    <t xml:space="preserve">J75</t>
  </si>
  <si>
    <t xml:space="preserve">['J55', 'J75']</t>
  </si>
  <si>
    <t xml:space="preserve">{"power conversion efficiency": {"entity_name": "PCE", "entity_start": 281, "entity_end": 281, "property_value_start": 283, "property_value_end": 284, "property_numeric_value": 11.07,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</si>
  <si>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{"entity_name": "V oc", "entity_start": 288, "entity_end": 289, "property_value_start": 291, "property_value_end": 292, "property_numeric_value": 0.94, "property_unit": "V", "property_value_descriptor": ""}, "short circuit current": {"entity_name": "J sc", "entity_start": 296, "entity_end": 297, "property_value_start": 299, "property_value_end": 302, "property_numeric_value": 16.99, "property_unit": "mA cm^{-2}", "property_value_descriptor": ""}, "fill factor": {"entity_name": "FF", "entity_start": 306, "entity_end": 306, "property_value_start": 308, "property_value_end": 309, "property_numeric_value": 69.29,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</si>
  <si>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10.1016/j.orgel.2019.02.012</t>
  </si>
  <si>
    <t xml:space="preserve">3-alkyl-3'-alkynyl-2,2'-bithiophene</t>
  </si>
  <si>
    <t xml:space="preserve">{"power conversion efficiency": {"entity_name": "PCE", "entity_start": 117, "entity_end": 117, "property_value_start": 120, "property_value_end": 121, "property_numeric_value": 2.34, "property_unit": "%", "property_value_descriptor": ""}, "open circuit voltage": {}, "short circuit current": {"entity_name": "J_{sc}", "entity_start": 129, "entity_end": 130, "property_value_start": 133, "property_value_end": 136, "property_numeric_value": 7.46,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</si>
  <si>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ffBT-TRTRy</t>
  </si>
  <si>
    <t xml:space="preserve">['ffBT-TRTRy']</t>
  </si>
  <si>
    <t xml:space="preserve">{"power conversion efficiency": {}, "open circuit voltage": {"entity_name": "V_{oc}", "entity_start": 198, "entity_end": 199, "property_value_start": 201, "property_value_end": 202, "property_numeric_value": 0.75, "property_unit": "V", "property_value_descriptor": ""}, "short circuit current": {}, "fill factor": {"entity_name": "FF", "entity_start": 191, "entity_end": 191, "property_value_start": 193, "property_value_end": 194, "property_numeric_value": 58.3,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</si>
  <si>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ffBT-TORTRy</t>
  </si>
  <si>
    <t xml:space="preserve">['ffBT-TORTRy']</t>
  </si>
  <si>
    <t xml:space="preserve">{"power conversion efficiency": {"entity_name": "PCE", "entity_start": 174, "entity_end": 174, "property_value_start": 176, "property_value_end": 177, "property_numeric_value": 6.6, "property_unit": "%", "property_value_descriptor": ""}, "open circuit voltage": {}, "short circuit current": {"entity_name": "J_{sc}", "entity_start": 181, "entity_end": 182, "property_value_start": 184, "property_value_end": 187, "property_numeric_value": 15.09, "property_unit": "mA cm^{-2}", "property_value_descriptor": ""}, "fill factor": {"entity_name": "FF", "entity_start": 155, "entity_end": 155, "property_value_start": 158, "property_value_end": 159, "property_numeric_value": 34.0,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</si>
  <si>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10.1016/j.orgel.2017.04.012</t>
  </si>
  <si>
    <t xml:space="preserve">{"power conversion efficiency": {"entity_name": "power conversion efficiencies", "entity_start": 148, "entity_end": 150, "property_value_start": 154, "property_value_end": 155, "property_numeric_value": 6.31,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</si>
  <si>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10.1016/j.orgel.2019.105541</t>
  </si>
  <si>
    <t xml:space="preserve">{"power conversion efficiency": {"entity_name": "PCEs", "entity_start": 155, "entity_end": 155, "property_value_start": 177, "property_value_end": 178, "property_numeric_value": 10.12,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</si>
  <si>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10.1016/j.orgel.2018.09.014</t>
  </si>
  <si>
    <t xml:space="preserve">polyfluorene</t>
  </si>
  <si>
    <t xml:space="preserve">[*]c1ccc2c(c1)Cc1cc([*])ccc1-2</t>
  </si>
  <si>
    <t xml:space="preserve">['polyfluorene']</t>
  </si>
  <si>
    <t xml:space="preserve">{"power conversion efficiency": {"entity_name": "power conversion efficiency", "entity_start": 123, "entity_end": 125, "property_value_start": 127, "property_value_end": 128, "property_numeric_value": 9.74,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</si>
  <si>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10.1016/j.orgel.2018.11.022</t>
  </si>
  <si>
    <t xml:space="preserve">{"power conversion efficiency": {"entity_name": "power conversion efficiency", "entity_start": 180, "entity_end": 182, "property_value_start": 184, "property_value_end": 185, "property_numeric_value": 6.47, "property_unit": "%", "property_value_descriptor": ""}, "open circuit voltage": {"entity_name": "V_{oc}", "entity_start": 190, "entity_end": 191, "property_value_start": 193, "property_value_end": 194, "property_numeric_value": 0.99, "property_unit": "V", "property_value_descriptor": ""}, "short circuit current": {"entity_name": "short-circuit current", "entity_start": 197, "entity_end": 200, "property_value_start": 202, "property_value_end": 206, "property_numeric_value": 10.03, "property_unit": "mA/cm^{2}", "property_value_descriptor": ""}, "fill factor": {"entity_name": "fill factor", "entity_start": 210, "entity_end": 211, "property_value_start": 213, "property_value_end": 214, "property_numeric_value": 65.1,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</si>
  <si>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10.1016/j.orgel.2019.02.026</t>
  </si>
  <si>
    <t xml:space="preserve">{"power conversion efficiency": {}, "open circuit voltage": {"entity_name": "V_{OC}", "entity_start": 68, "entity_end": 69, "property_value_start": 71, "property_value_end": 73, "property_numeric_value": 0.5, "property_unit": "V", "property_value_descriptor": "&gt;"},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</si>
  <si>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PbS</t>
  </si>
  <si>
    <t xml:space="preserve">['PbS']</t>
  </si>
  <si>
    <t xml:space="preserve">{"power conversion efficiency": {"entity_name": "PCE", "entity_start": 119, "entity_end": 119, "property_value_start": 121, "property_value_end": 122, "property_numeric_value": 4.43, "property_unit": "%", "property_value_descriptor": ""}, "open circuit voltage": {"entity_name": "V_{OC}", "entity_start": 124, "entity_end": 125, "property_value_start": 126, "property_value_end": 127, "property_numeric_value": 0.561, "property_unit": "V", "property_value_descriptor": ""}, "short circuit current": {"entity_name": "J_{SC}", "entity_start": 129, "entity_end": 130, "property_value_start": 131, "property_value_end": 135, "property_numeric_value": 14.47, "property_unit": "mA/cm^{2}", "property_value_descriptor": ""}, "fill factor": {"entity_name": "FF", "entity_start": 137, "entity_end": 137, "property_value_start": 138, "property_value_end": 139, "property_numeric_value": 54.6,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</si>
  <si>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10.1016/j.orgel.2016.04.005</t>
  </si>
  <si>
    <t xml:space="preserve">poly(9,9-dioctylfluorenyl-2,7-diyl)</t>
  </si>
  <si>
    <t xml:space="preserve">[*]c3ccc2c1ccc([*])cc1C(CCCCCCCC)(CCCCCCCC)c2c3</t>
  </si>
  <si>
    <t xml:space="preserve">['poly(9,9-dioctylfluorenyl-2,7-diyl)', 'PFO']</t>
  </si>
  <si>
    <t xml:space="preserve">{"power conversion efficiency": {"entity_name": "PCE", "entity_start": 83, "entity_end": 83, "property_value_start": 103, "property_value_end": 104, "property_numeric_value": 12.5,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</si>
  <si>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10.1016/j.orgel.2016.05.011</t>
  </si>
  <si>
    <t xml:space="preserve">{"power conversion efficiency": {"entity_name": "power conversion efficiencies", "entity_start": 100, "entity_end": 102, "property_value_start": 104, "property_value_end": 107, "property_numeric_value": 2.1,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</si>
  <si>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10.1016/j.orgel.2012.01.014</t>
  </si>
  <si>
    <t xml:space="preserve">{"power conversion efficiency": {"entity_name": "power conversion efficiency", "entity_start": 138, "entity_end": 140, "property_value_start": 142, "property_value_end": 143, "property_numeric_value": 5.1, "property_unit": "%", "property_value_descriptor": ""}, "open circuit voltage": {}, "short circuit current": {}, "fill factor": {"entity_name": "fill factor", "entity_start": 145, "entity_end": 146, "property_value_start": 147, "property_value_end": 147, "property_numeric_value": 45.0,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</si>
  <si>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10.1016/j.orgel.2018.01.018</t>
  </si>
  <si>
    <t xml:space="preserve">- alt -</t>
  </si>
  <si>
    <t xml:space="preserve">['- alt -']</t>
  </si>
  <si>
    <t xml:space="preserve">{"power conversion efficiency": {"entity_name": "PCE", "entity_start": 124, "entity_end": 124, "property_value_start": 126, "property_value_end": 127, "property_numeric_value": 6.48, "property_unit": "%", "property_value_descriptor": ""}, "open circuit voltage": {"entity_name": "V_{oc}", "entity_start": 129, "entity_end": 130, "property_value_start": 132, "property_value_end": 133, "property_numeric_value": 0.89, "property_unit": "V", "property_value_descriptor": ""}, "short circuit current": {}, "fill factor": {}, "highest occupied molecular orbital": {"entity_name": "HOMO", "entity_start": 54, "entity_end": 54, "property_value_start": 58, "property_value_end": 59, "property_numeric_value": -5.39, "property_unit": "eV", "property_value_descriptor": ""}, "lowest unoccupied molecular orbital": {}, "bandgap": {}, "hole mobility": {}, "electron mobility": {}, "external quantum efficiency": {}}</t>
  </si>
  <si>
    <t xml:space="preserve">10.1016/j.orgel.2014.02.024</t>
  </si>
  <si>
    <t xml:space="preserve">{"power conversion efficiency": {"entity_name": "PCE", "entity_start": 191, "entity_end": 191, "property_value_start": 195, "property_value_end": 196, "property_numeric_value": 0.2,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</si>
  <si>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10.1016/j.orgel.2017.12.011</t>
  </si>
  <si>
    <t xml:space="preserve">poly(ethylene naphthalate)</t>
  </si>
  <si>
    <t xml:space="preserve">[*]CCOC(=O)c1ccc2cc(C(=O)O[*])ccc2c1</t>
  </si>
  <si>
    <t xml:space="preserve">['poly(ethylene naphthalate)', 'PEN']</t>
  </si>
  <si>
    <t xml:space="preserve">{"power conversion efficiency": {"entity_name": "PCE", "entity_start": 170, "entity_end": 170, "property_value_start": 172, "property_value_end": 173, "property_numeric_value": 5.61,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</si>
  <si>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10.1016/j.orgel.2014.06.036</t>
  </si>
  <si>
    <t xml:space="preserve">{"power conversion efficiency": {"entity_name": "PCE", "entity_start": 134, "entity_end": 134, "property_value_start": 153, "property_value_end": 154, "property_numeric_value": 3.55,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</si>
  <si>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10.1016/j.orgel.2014.05.035</t>
  </si>
  <si>
    <t xml:space="preserve">PTP27-DBT</t>
  </si>
  <si>
    <t xml:space="preserve">['PTP27-DBT', 'PTP27-DBT-']</t>
  </si>
  <si>
    <t xml:space="preserve">{"power conversion efficiency": {"entity_name": "PCEs", "entity_start": 136, "entity_end": 136, "property_value_start": 152, "property_value_end": 153, "property_numeric_value": 0.9, "property_unit": "%", "property_value_descriptor": ""}, "open circuit voltage": {}, "short circuit current": {}, "fill factor": {}, "highest occupied molecular orbital": {}, "lowest unoccupied molecular orbital": {}, "bandgap": {"entity_name": "band gap", "entity_start": 66, "entity_end": 67, "property_value_start": 72, "property_value_end": 73, "property_numeric_value": 2.49, "property_unit": "eV", "property_value_descriptor": ""}, "hole mobility": {}, "electron mobility": {}, "external quantum efficiency": {}}</t>
  </si>
  <si>
    <t xml:space="preserve">10.1016/j.orgel.2014.07.028</t>
  </si>
  <si>
    <t xml:space="preserve">{"power conversion efficiency": {}, "open circuit voltage": {}, "short circuit current": {}, "fill factor": {"entity_name": "fill factor", "entity_start": 150, "entity_end": 151, "property_value_start": 153, "property_value_end": 153, "property_numeric_value": 60.0,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</si>
  <si>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efficiency", "entity_start": 157, "entity_end": 159, "property_value_start": 161, "property_value_end": 162,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</si>
  <si>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10.1016/j.orgel.2015.03.046</t>
  </si>
  <si>
    <t xml:space="preserve">PCBAb</t>
  </si>
  <si>
    <t xml:space="preserve">{"power conversion efficiency": {"entity_name": "PCE", "entity_start": 95, "entity_end": 95, "property_value_start": 97, "property_value_end": 98, "property_numeric_value": 0.4,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</si>
  <si>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10.1016/j.orgel.2009.02.009</t>
  </si>
  <si>
    <t xml:space="preserve">{"power conversion efficiency": {"entity_name": "power conversion efficiency", "entity_start": 69, "entity_end": 71, "property_value_start": 76, "property_value_end": 77, "property_numeric_value": 3.77,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</si>
  <si>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10.1016/j.orgel.2009.08.024</t>
  </si>
  <si>
    <t xml:space="preserve">{"power conversion efficiency": {"entity_name": "PCE", "entity_start": 279, "entity_end": 279, "property_value_start": 288, "property_value_end": 289, "property_numeric_value": 2.8,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</si>
  <si>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10.1016/j.orgel.2010.12.007</t>
  </si>
  <si>
    <t xml:space="preserve">{"power conversion efficiency": {"entity_name": "power conversion efficiency", "entity_start": 171, "entity_end": 173, "property_value_start": 182, "property_value_end": 183, "property_numeric_value": 1.4,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</si>
  <si>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10.1016/j.orgel.2011.05.028</t>
  </si>
  <si>
    <t xml:space="preserve">{"power conversion efficiency": {"entity_name": "PCE", "entity_start": 152, "entity_end": 152, "property_value_start": 162, "property_value_end": 163, "property_numeric_value": 5.4,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</si>
  <si>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10.1016/j.orgel.2019.04.011</t>
  </si>
  <si>
    <t xml:space="preserve">PBDT-F-3T2C</t>
  </si>
  <si>
    <t xml:space="preserve">['PBDT-F-3T2C']</t>
  </si>
  <si>
    <t xml:space="preserve">{"power conversion efficiency": {"entity_name": "PCE", "entity_start": 234, "entity_end": 234, "property_value_start": 236, "property_value_end": 237, "property_numeric_value": 10.04,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</si>
  <si>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10.1016/j.orgel.2018.01.032</t>
  </si>
  <si>
    <t xml:space="preserve">P3HT-b-PTB7-Th</t>
  </si>
  <si>
    <t xml:space="preserve">['P3HT-b-PTB7-Th']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</si>
  <si>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179, "entity_end": 180, "property_value_start": 182, "property_value_end": 186, "property_numeric_value": 5.900000000000001e-05, "property_unit": "cm^{2}/Vs", "property_value_descriptor": ""}, "electron mobility": {}, "external quantum efficiency": {}}</t>
  </si>
  <si>
    <t xml:space="preserve">{"power conversion efficiency": {"entity_name": "power conversion efficiency", "entity_start": 190, "entity_end": 192, "property_value_start": 194, "property_value_end": 195, "property_numeric_value": 3.6,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</si>
  <si>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10.1016/j.orgel.2018.08.012</t>
  </si>
  <si>
    <t xml:space="preserve">{"power conversion efficiency": {"entity_name": "PCE", "entity_start": 200, "entity_end": 200, "property_value_start": 202, "property_value_end": 203, "property_numeric_value": 7.74,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</si>
  <si>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10.1016/j.orgel.2015.12.003</t>
  </si>
  <si>
    <t xml:space="preserve">dibenzo[a,c]phenazine</t>
  </si>
  <si>
    <t xml:space="preserve">{"power conversion efficiency": {}, "open circuit voltage": {}, "short circuit current": {}, "fill factor": {}, "highest occupied molecular orbital": {}, "lowest unoccupied molecular orbital": {"entity_name": "LUMO", "entity_start": 53, "entity_end": 53, "property_value_start": 59, "property_value_end": 59, "property_numeric_value": 0.18, "property_unit": "eV", "property_value_descriptor": ""}, "bandgap": {}, "hole mobility": {}, "electron mobility": {}, "external quantum efficiency": {}}</t>
  </si>
  <si>
    <t xml:space="preserve">BPz</t>
  </si>
  <si>
    <t xml:space="preserve">{"power conversion efficiency": {"entity_name": "PCE", "entity_start": 118, "entity_end": 118, "property_value_start": 120, "property_value_end": 121, "property_numeric_value": 4.44, "property_unit": "%", "property_value_descriptor": ""}, "open circuit voltage": {}, "short circuit current": {}, "fill factor": {}, "highest occupied molecular orbital": {}, "lowest unoccupied molecular orbital": {"entity_name": "LUMO", "entity_start": 53, "entity_end": 53, "property_value_start": 61, "property_value_end": 62, "property_numeric_value": 0.15, "property_unit": "eV", "property_value_descriptor": ""}, "bandgap": {}, "hole mobility": {}, "electron mobility": {}, "external quantum efficiency": {}}</t>
  </si>
  <si>
    <t xml:space="preserve">10.1016/j.orgel.2013.03.039</t>
  </si>
  <si>
    <t xml:space="preserve">{"power conversion efficiency": {"entity_name": "power conversion efficiency", "entity_start": 198, "entity_end": 200, "property_value_start": 202, "property_value_end": 203, "property_numeric_value": 0.57, "property_unit": "%", "property_value_descriptor": ""}, "open circuit voltage": {"entity_name": "open circuit voltage", "entity_start": 207, "entity_end": 209, "property_value_start": 211, "property_value_end": 212, "property_numeric_value": 0.87,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</si>
  <si>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10.1016/j.orgel.2013.09.023</t>
  </si>
  <si>
    <t xml:space="preserve">{"power conversion efficiency": {"entity_name": "power conversion efficiencies", "entity_start": 102, "entity_end": 104, "property_value_start": 106, "property_value_end": 107, "property_numeric_value": 1.6,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</si>
  <si>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10.1016/j.orgel.2014.02.020</t>
  </si>
  <si>
    <t xml:space="preserve">poly{4,8-bis(2'-ethylhexylthiophene)benzo [1,2-b;3,4-b']difuran-alt-5,5-(4',7'-di-2-thienyl-5',6'-dioctyloxy-2',1',3'-benzothiadiazole)}</t>
  </si>
  <si>
    <t xml:space="preserve">["poly{4,8-bis(2'-ethylhexylthiophene)benzo [1,2-b;3,4-b']difuran-alt-5,5-(4',7'-di-2-thienyl-5',6'-dioctyloxy-2',1',3'-benzothiadiazole)}", 'PBDFTDTBT']</t>
  </si>
  <si>
    <t xml:space="preserve">{"power conversion efficiency": {"entity_name": "PCE", "entity_start": 64, "entity_end": 64, "property_value_start": 67, "property_value_end": 68, "property_numeric_value": 6.0,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75, "entity_end": 76, "property_value_start": 78, "property_value_end": 79, "property_numeric_value": 0.05, "property_unit": "cm^{2}/Vs", "property_value_descriptor": ""}, "electron mobility": {}, "external quantum efficiency": {}}</t>
  </si>
  <si>
    <t xml:space="preserve">10.1016/j.orgel.2014.07.034</t>
  </si>
  <si>
    <t xml:space="preserve">Poly{[2,7-(9-(20-ethylhexyl)-9-hexyl-fluorene])-alt-[5,50-(40,70-di-2-thienyl-20,10,30-benzothid-iazole)]}</t>
  </si>
  <si>
    <t xml:space="preserve">['Poly{[2,7-(9-(20-ethylhexyl)-9-hexyl-fluorene])-alt-[5,50-(40,70-di-2-thienyl-20,10,30-benzothid-iazole)]}', 'PFDTBT']</t>
  </si>
  <si>
    <t xml:space="preserve">{"power conversion efficiency": {"entity_name": "PCE", "entity_start": 84, "entity_end": 84, "property_value_start": 86, "property_value_end": 87, "property_numeric_value": 6.81,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</si>
  <si>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10.1016/j.orgel.2015.07.022</t>
  </si>
  <si>
    <t xml:space="preserve">Poly(4-styrene sulfonate)-doped poly(3,4-ethylenedioxy-thiophene)</t>
  </si>
  <si>
    <t xml:space="preserve">['Poly(4-styrene sulfonate)-doped poly(3,4-ethylenedioxy-thiophene)', 'PEDOT']</t>
  </si>
  <si>
    <t xml:space="preserve">{"power conversion efficiency": {"entity_name": "PCE", "entity_start": 119, "entity_end": 119, "property_value_start": 131, "property_value_end": 132, "property_numeric_value": 3.11,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</si>
  <si>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10.1016/j.orgel.2019.07.022</t>
  </si>
  <si>
    <t xml:space="preserve">{"power conversion efficiency": {"entity_name": "power conversion efficiency", "entity_start": 101, "entity_end": 103, "property_value_start": 120, "property_value_end": 121, "property_numeric_value": 3.68,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</si>
  <si>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10.1016/j.orgel.2018.01.013</t>
  </si>
  <si>
    <t xml:space="preserve">{"power conversion efficiency": {"entity_name": "power conversion efficiency", "entity_start": 33, "entity_end": 35, "property_value_start": 39, "property_value_end": 40, "property_numeric_value": 11.0,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</si>
  <si>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efficiencies", "entity_start": 63, "entity_end": 65, "property_value_start": 73, "property_value_end": 74, "property_numeric_value": 14.5,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</si>
  <si>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10.1016/j.orgel.2017.10.009</t>
  </si>
  <si>
    <t xml:space="preserve">{"power conversion efficiency": {"entity_name": "power conversion efficiency", "entity_start": 123, "entity_end": 125, "property_value_start": 127, "property_value_end": 128, "property_numeric_value": 2.1, "property_unit": "%", "property_value_descriptor": ""}, "open circuit voltage": {"entity_name": "V_{oc}", "entity_start": 132, "entity_end": 133, "property_value_start": 135, "property_value_end": 136, "property_numeric_value": 1.02,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</si>
  <si>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10.1016/j.orgel.2019.06.053</t>
  </si>
  <si>
    <t xml:space="preserve">{"power conversion efficiency": {"entity_name": "PCE", "entity_start": 150, "entity_end": 150, "property_value_start": 154, "property_value_end": 155, "property_numeric_value": 11.65,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</si>
  <si>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10.1016/j.orgel.2019.105408</t>
  </si>
  <si>
    <t xml:space="preserve">PDA@Ag</t>
  </si>
  <si>
    <t xml:space="preserve">['PDA@Ag']</t>
  </si>
  <si>
    <t xml:space="preserve">{"power conversion efficiency": {"entity_name": "power conversion efficiency", "entity_start": 164, "entity_end": 166, "property_value_start": 168, "property_value_end": 169, "property_numeric_value": 11.6,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</si>
  <si>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10.1016/j.matlet.2016.10.014</t>
  </si>
  <si>
    <t xml:space="preserve">{"power conversion efficiency": {}, "open circuit voltage": {"entity_name": "open-circuit voltage", "entity_start": 118, "entity_end": 121, "property_value_start": 123, "property_value_end": 124, "property_numeric_value": 0.61,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</si>
  <si>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polystyrenesulfonate</t>
  </si>
  <si>
    <t xml:space="preserve">['polystyrenesulfonate', 'PEDOT']</t>
  </si>
  <si>
    <t xml:space="preserve">{"power conversion efficiency": {"entity_name": "power conversion efficiency", "entity_start": 135, "entity_end": 137, "property_value_start": 153, "property_value_end": 154, "property_numeric_value": 8.5,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</si>
  <si>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{"entity_name": "open-circuit voltage", "entity_start": 157, "entity_end": 160, "property_value_start": 162, "property_value_end": 163, "property_numeric_value": 0.56, "property_unit": "V", "property_value_descriptor": ""}, "short circuit current": {"entity_name": "short-circuit current density", "entity_start": 166, "entity_end": 170, "property_value_start": 172, "property_value_end": 176, "property_numeric_value": 29.7, "property_unit": "mA/cm^{2}", "property_value_descriptor": ""}, "fill factor": {"entity_name": "fill factor", "entity_start": 179, "entity_end": 180, "property_value_start": 182, "property_value_end": 183, "property_numeric_value": 49.7,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</si>
  <si>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10.1016/j.matlet.2016.10.070</t>
  </si>
  <si>
    <t xml:space="preserve">{"power conversion efficiency": {"entity_name": "PCE", "entity_start": 85, "entity_end": 85, "property_value_start": 88, "property_value_end": 89, "property_numeric_value": 3.08,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</si>
  <si>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10.1016/j.matlet.2014.02.071</t>
  </si>
  <si>
    <t xml:space="preserve">{"power conversion efficiency": {"entity_name": "power conversion efficiency", "entity_start": 94, "entity_end": 96, "property_value_start": 98, "property_value_end": 99, "property_numeric_value": 1.41, "property_unit": "%", "property_value_descriptor": ""}, "open circuit voltage": {}, "short circuit current": {}, "fill factor": {}, "highest occupied molecular orbital": {}, "lowest unoccupied molecular orbital": {}, "bandgap": {"entity_name": "band gap", "entity_start": 54, "entity_end": 55, "property_value_start": 57, "property_value_end": 58, "property_numeric_value": 1.85, "property_unit": "eV", "property_value_descriptor": ""}, "hole mobility": {}, "electron mobility": {}, "external quantum efficiency": {}}</t>
  </si>
  <si>
    <t xml:space="preserve">10.1016/j.matlet.2014.10.122</t>
  </si>
  <si>
    <t xml:space="preserve">{"power conversion efficiency": {"entity_name": "PCE", "entity_start": 87, "entity_end": 87, "property_value_start": 90, "property_value_end": 91, "property_numeric_value": 1.56, "property_unit": "%", "property_value_descriptor": ""}, "open circuit voltage": {}, "short circuit current": {}, "fill factor": {}, "highest occupied molecular orbital": {}, "lowest unoccupied molecular orbital": {}, "bandgap": {"entity_name": "optical bandgap", "entity_start": 62, "entity_end": 63, "property_value_start": 65, "property_value_end": 66, "property_numeric_value": 1.51, "property_unit": "eV", "property_value_descriptor": ""}, "hole mobility": {}, "electron mobility": {}, "external quantum efficiency": {}}</t>
  </si>
  <si>
    <t xml:space="preserve">10.1016/j.matlet.2016.10.121</t>
  </si>
  <si>
    <t xml:space="preserve">{"power conversion efficiency": {"entity_name": "PCE", "entity_start": 81, "entity_end": 81, "property_value_start": 91, "property_value_end": 92, "property_numeric_value": 6.75,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</si>
  <si>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10.1016/j.matlet.2018.01.057</t>
  </si>
  <si>
    <t xml:space="preserve">poly(styrenesulfonic acid)</t>
  </si>
  <si>
    <t xml:space="preserve">['poly(styrenesulfonic acid)', 'PEDOT']</t>
  </si>
  <si>
    <t xml:space="preserve">{"power conversion efficiency": {"entity_name": "PCE", "entity_start": 54, "entity_end": 54, "property_value_start": 60, "property_value_end": 61, "property_numeric_value": 13.6,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</si>
  <si>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10.1016/j.mser.2018.01.001</t>
  </si>
  <si>
    <t xml:space="preserve">{"power conversion efficiency": {"entity_name": "PCE", "entity_start": 451, "entity_end": 451, "property_value_start": 453, "property_value_end": 454, "property_numeric_value": 13.2,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</si>
  <si>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10.1016/j.mser.2019.100542</t>
  </si>
  <si>
    <t xml:space="preserve">{"power conversion efficiency": {"entity_name": "PCEs", "entity_start": 314, "entity_end": 314, "property_value_start": 318, "property_value_end": 319, "property_numeric_value": 11.0,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</si>
  <si>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10.1016/j.mtener.2017.07.007</t>
  </si>
  <si>
    <t xml:space="preserve">PIDTPCR</t>
  </si>
  <si>
    <t xml:space="preserve">['PIDTPCR']</t>
  </si>
  <si>
    <t xml:space="preserve">{"power conversion efficiency": {"entity_name": "PCE", "entity_start": 130, "entity_end": 130, "property_value_start": 132, "property_value_end": 133, "property_numeric_value": 5.18, "property_unit": "%", "property_value_descriptor": ""}, "open circuit voltage": {"entity_name": "V_{oc}", "entity_start": 107, "entity_end": 108, "property_value_start": 110, "property_value_end": 111, "property_numeric_value": 0.91, "property_unit": "V", "property_value_descriptor": ""}, "short circuit current": {"entity_name": "J_{sc}", "entity_start": 114, "entity_end": 115, "property_value_start": 117, "property_value_end": 121, "property_numeric_value": 10.1, "property_unit": "mA/cm^{2}", "property_value_descriptor": ""}, "fill factor": {"entity_name": "FF", "entity_start": 124, "entity_end": 124, "property_value_start": 126, "property_value_end": 127, "property_numeric_value": 52.4,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</si>
  <si>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10.1016/j.jsamd.2018.04.004</t>
  </si>
  <si>
    <t xml:space="preserve">Polydimethylsiloxane</t>
  </si>
  <si>
    <t xml:space="preserve">['Polydimethylsiloxane', 'PDMS']</t>
  </si>
  <si>
    <t xml:space="preserve">{"power conversion efficiency": {"entity_name": "power conversion efficiency", "entity_start": 151, "entity_end": 153, "property_value_start": 155, "property_value_end": 156, "property_numeric_value": 1.71,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</si>
  <si>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10.1016/j.apmt.2020.100592</t>
  </si>
  <si>
    <t xml:space="preserve">poly(1-aminoanthraquinone)</t>
  </si>
  <si>
    <t xml:space="preserve">['poly(1-aminoanthraquinone)', 'PAAQ']</t>
  </si>
  <si>
    <t xml:space="preserve">{"power conversion efficiency": {"entity_name": "power conversion efficiency", "entity_start": 146, "entity_end": 148, "property_value_start": 150, "property_value_end": 151, "property_numeric_value": 8.25,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</si>
  <si>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10.1016/j.dyepig.2018.05.036</t>
  </si>
  <si>
    <t xml:space="preserve">poly[(2,5-bis(2-hexyldecyloxy)phenylene)-alt-(5,6-difluoro-4,7-di(thiophene-2-yl)benzo[c][1,2,5]thiadiazole)</t>
  </si>
  <si>
    <t xml:space="preserve">['poly[(2,5-bis(2-hexyldecyloxy)phenylene)-alt-(5,6-difluoro-4,7-di(thiophene-2-yl)benzo[c][1,2,5]thiadiazole)', 'PPDT2FBT']</t>
  </si>
  <si>
    <t xml:space="preserve">{"power conversion efficiency": {"entity_name": "power conversion efficiency", "entity_start": 57, "entity_end": 59, "property_value_start": 61, "property_value_end": 62, "property_numeric_value": 7.0,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30, "entity_end": 31, "property_value_start": 33, "property_value_end": 42, "property_numeric_value": 0.0047, "property_unit": "cm^{2} V^{-1} s^{-1}", "property_value_descriptor": ""}, "electron mobility": {}, "external quantum efficiency": {}}</t>
  </si>
  <si>
    <t xml:space="preserve">10.1016/j.dyepig.2017.03.017</t>
  </si>
  <si>
    <t xml:space="preserve">{"power conversion efficiency": {"entity_name": "PCE", "entity_start": 122, "entity_end": 122, "property_value_start": 126, "property_value_end": 127, "property_numeric_value": 8.54,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</si>
  <si>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10.1016/j.dyepig.2014.04.041</t>
  </si>
  <si>
    <t xml:space="preserve">alt</t>
  </si>
  <si>
    <t xml:space="preserve">['alt']</t>
  </si>
  <si>
    <t xml:space="preserve">{"power conversion efficiency": {}, "open circuit voltage": {}, "short circuit current": {}, "fill factor": {}, "highest occupied molecular orbital": {}, "lowest unoccupied molecular orbital": {}, "bandgap": {"entity_name": "band-gap", "entity_start": 94, "entity_end": 96, "property_value_start": 98, "property_value_end": 99, "property_numeric_value": 1.25, "property_unit": "eV", "property_value_descriptor": ""}, "hole mobility": {}, "electron mobility": {}, "external quantum efficiency": {}}</t>
  </si>
  <si>
    <t xml:space="preserve">P1-based</t>
  </si>
  <si>
    <t xml:space="preserve">['P1-based']</t>
  </si>
  <si>
    <t xml:space="preserve">{"power conversion efficiency": {"entity_name": "PCE", "entity_start": 157, "entity_end": 157, "property_value_start": 160, "property_value_end": 161, "property_numeric_value": 2.12,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</si>
  <si>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10.1016/j.dyepig.2018.08.053</t>
  </si>
  <si>
    <t xml:space="preserve">{"power conversion efficiency": {"entity_name": "power conversion efficiency", "entity_start": 108, "entity_end": 110, "property_value_start": 114, "property_value_end": 115, "property_numeric_value": 1.45, "property_unit": "%", "property_value_descriptor": ""}, "open circuit voltage": {}, "short circuit current": {}, "fill factor": {}, "highest occupied molecular orbital": {}, "lowest unoccupied molecular orbital": {"entity_name": "LUMO", "entity_start": 69, "entity_end": 69, "property_value_start": 88, "property_value_end": 89, "property_numeric_value": -4.04, "property_unit": "eV", "property_value_descriptor": ""}, "bandgap": {}, "hole mobility": {}, "electron mobility": {}, "external quantum efficiency": {}}</t>
  </si>
  <si>
    <t xml:space="preserve">10.1016/j.dyepig.2018.08.022</t>
  </si>
  <si>
    <t xml:space="preserve">PC8TPD</t>
  </si>
  <si>
    <t xml:space="preserve">['PC8TPD']</t>
  </si>
  <si>
    <t xml:space="preserve">{"power conversion efficiency": {}, "open circuit voltage": {}, "short circuit current": {}, "fill factor": {}, "highest occupied molecular orbital": {"entity_name": "HOMO levels", "entity_start": 96, "entity_end": 97, "property_value_start": 108, "property_value_end": 110, "property_numeric_value": -5.605, "property_unit": "eV", "property_value_descriptor": "and"}, "lowest unoccupied molecular orbital": {}, "bandgap": {}, "hole mobility": {}, "electron mobility": {}, "external quantum efficiency": {}}</t>
  </si>
  <si>
    <t xml:space="preserve">PC8TPD-F</t>
  </si>
  <si>
    <t xml:space="preserve">['PC8TPD-F']</t>
  </si>
  <si>
    <t xml:space="preserve">{"power conversion efficiency": {}, "open circuit voltage": {"entity_name": "open circuit voltages", "entity_start": 181, "entity_end": 183, "property_value_start": 188, "property_value_end": 189, "property_numeric_value": 0.95,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</si>
  <si>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10.1016/j.dyepig.2016.04.033</t>
  </si>
  <si>
    <t xml:space="preserve">['[6,6]-phenyl-C_{71}-butyric acid methyl ester']</t>
  </si>
  <si>
    <t xml:space="preserve">{"power conversion efficiency": {"entity_name": "power conversion efficiency", "entity_start": 94, "entity_end": 96, "property_value_start": 98, "property_value_end": 99, "property_numeric_value": 5.48,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</si>
  <si>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10.1016/j.dyepig.2016.04.008</t>
  </si>
  <si>
    <t xml:space="preserve">{"power conversion efficiency": {"entity_name": "PCE", "entity_start": 164, "entity_end": 164, "property_value_start": 166, "property_value_end": 167, "property_numeric_value": 6.07,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</si>
  <si>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10.1016/j.dyepig.2016.05.045</t>
  </si>
  <si>
    <t xml:space="preserve">{"power conversion efficiency": {"entity_name": "power conversion efficiency", "entity_start": 166, "entity_end": 168, "property_value_start": 170, "property_value_end": 171, "property_numeric_value": 4.74, "property_unit": "%", "property_value_descriptor": ""}, "open circuit voltage": {"entity_name": "open-circuit voltage", "entity_start": 186, "entity_end": 189, "property_value_start": 191, "property_value_end": 192, "property_numeric_value": 0.88, "property_unit": "V", "property_value_descriptor": ""}, "short circuit current": {"entity_name": "short-circuit current", "entity_start": 174, "entity_end": 177, "property_value_start": 179, "property_value_end": 182, "property_numeric_value": 10.63, "property_unit": "mA cm^{-2}", "property_value_descriptor": ""}, "fill factor": {"entity_name": "fill factor", "entity_start": 195, "entity_end": 196, "property_value_start": 198, "property_value_end": 199, "property_numeric_value": 51.0,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</si>
  <si>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10.1016/j.dyepig.2016.12.007</t>
  </si>
  <si>
    <t xml:space="preserve">{"power conversion efficiency": {"entity_name": "PCE", "entity_start": 179, "entity_end": 179, "property_value_start": 183, "property_value_end": 184, "property_numeric_value": 3.0, "property_unit": "%", "property_value_descriptor": ""}, "open circuit voltage": {"entity_name": "V_{oc}", "entity_start": 201, "entity_end": 202, "property_value_start": 204, "property_value_end": 205, "property_numeric_value": 0.72, "property_unit": "V", "property_value_descriptor": ""}, "short circuit current": {"entity_name": "J_{sc}", "entity_start": 187, "entity_end": 188, "property_value_start": 190, "property_value_end": 194, "property_numeric_value": 7.7, "property_unit": "mA/cm^{2}", "property_value_descriptor": ""}, "fill factor": {}, "highest occupied molecular orbital": {"entity_name": "HOMO) level", "entity_start": 82, "entity_end": 84, "property_value_start": 86, "property_value_end": 89, "property_numeric_value": -5.49, "property_unit": "eV", "property_value_descriptor": "to"}, "lowest unoccupied molecular orbital": {"entity_name": "LUMO) level", "entity_start": 97, "entity_end": 99, "property_value_start": 101, "property_value_end": 104, "property_numeric_value": -3.5599999999999996, "property_unit": "eV", "property_value_descriptor": "to"}, "bandgap": {}, "hole mobility": {}, "electron mobility": {}, "external quantum efficiency": {}}</t>
  </si>
  <si>
    <t xml:space="preserve">10.1016/j.dyepig.2017.05.026</t>
  </si>
  <si>
    <t xml:space="preserve">{"power conversion efficiency": {"entity_name": "power conversion efficiency", "entity_start": 80, "entity_end": 82, "property_value_start": 84, "property_value_end": 85, "property_numeric_value": 6.23, "property_unit": "%", "property_value_descriptor": ""}, "open circuit voltage": {"entity_name": "open-circuit voltage", "entity_start": 89, "entity_end": 92, "property_value_start": 94, "property_value_end": 95, "property_numeric_value": 0.96, "property_unit": "V", "property_value_descriptor": ""}, "short circuit current": {"entity_name": "short-circuit current density", "entity_start": 98, "entity_end": 102, "property_value_start": 104, "property_value_end": 107, "property_numeric_value": 11.26, "property_unit": "mA cm^{-2}", "property_value_descriptor": ""}, "fill factor": {"entity_name": "fill factor", "entity_start": 110, "entity_end": 111, "property_value_start": 113, "property_value_end": 114, "property_numeric_value": 57.58,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</si>
  <si>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10.1016/j.dyepig.2015.03.032</t>
  </si>
  <si>
    <t xml:space="preserve">- C_{61}-butyric</t>
  </si>
  <si>
    <t xml:space="preserve">{"power conversion efficiency": {"entity_name": "power conversion efficiency", "entity_start": 132, "entity_end": 134, "property_value_start": 149, "property_value_end": 150, "property_numeric_value": 3.05,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</si>
  <si>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10.1016/j.dyepig.2015.06.032</t>
  </si>
  <si>
    <t xml:space="preserve">{"power conversion efficiency": {"entity_name": "power conversion efficiency", "entity_start": 117, "entity_end": 119, "property_value_start": 121, "property_value_end": 122, "property_numeric_value": 2.88, "property_unit": "%", "property_value_descriptor": ""}, "open circuit voltage": {"entity_name": "V oc", "entity_start": 126, "entity_end": 127, "property_value_start": 129, "property_value_end": 130, "property_numeric_value": 0.92, "property_unit": "V", "property_value_descriptor": ""}, "short circuit current": {"entity_name": "J sc", "entity_start": 133, "entity_end": 134, "property_value_start": 136, "property_value_end": 140, "property_numeric_value": 6.75, "property_unit": "mA/cm^{2}", "property_value_descriptor": ""}, "fill factor": {"entity_name": "fill factor", "entity_start": 145, "entity_end": 146, "property_value_start": 148, "property_value_end": 148, "property_numeric_value": 46.0,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</si>
  <si>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10.1016/j.dyepig.2018.12.015</t>
  </si>
  <si>
    <t xml:space="preserve">H-PDI</t>
  </si>
  <si>
    <t xml:space="preserve">['H-PDI']</t>
  </si>
  <si>
    <t xml:space="preserve">{"power conversion efficiency": {"entity_name": "PCE", "entity_start": 66, "entity_end": 66, "property_value_start": 69, "property_value_end": 70, "property_numeric_value": 1.91,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</si>
  <si>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T-PDI</t>
  </si>
  <si>
    <t xml:space="preserve">['T-PDI']</t>
  </si>
  <si>
    <t xml:space="preserve">{"power conversion efficiency": {"entity_name": "PCE", "entity_start": 94, "entity_end": 94, "property_value_start": 96, "property_value_end": 97,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</si>
  <si>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10.1016/j.dyepig.2015.11.013</t>
  </si>
  <si>
    <t xml:space="preserve">{"power conversion efficiency": {"entity_name": "power conversion efficiency", "entity_start": 160, "entity_end": 162, "property_value_start": 164, "property_value_end": 165, "property_numeric_value": 0.77, "property_unit": "%", "property_value_descriptor": ""}, "open circuit voltage": {"entity_name": "V_{OC}", "entity_start": 141, "entity_end": 142, "property_value_start": 144, "property_value_end": 145, "property_numeric_value": 0.63, "property_unit": "V", "property_value_descriptor": ""}, "short circuit current": {"entity_name": "J_{SC}", "entity_start": 147, "entity_end": 148, "property_value_start": 150, "property_value_end": 153, "property_numeric_value": 1.93, "property_unit": "mA cm^{-2}", "property_value_descriptor": ""}, "fill factor": {"entity_name": "FF", "entity_start": 155, "entity_end": 155, "property_value_start": 157, "property_value_end": 157, "property_numeric_value": 63.0,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</si>
  <si>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10.1016/j.dyepig.2015.07.021</t>
  </si>
  <si>
    <t xml:space="preserve">PTDPP-Ph</t>
  </si>
  <si>
    <t xml:space="preserve">['PTDPP-Ph', 'PTDPP-Py']</t>
  </si>
  <si>
    <t xml:space="preserve">{"power conversion efficiency": {"entity_name": "power conversion efficiency", "entity_start": 135, "entity_end": 137, "property_value_start": 139, "property_value_end": 140, "property_numeric_value": 2.51,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</si>
  <si>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10.1016/j.dyepig.2020.108409</t>
  </si>
  <si>
    <t xml:space="preserve">{"power conversion efficiency": {"entity_name": "PCE", "entity_start": 252, "entity_end": 252, "property_value_start": 255, "property_value_end": 256, "property_numeric_value": 6.47, "property_unit": "%", "property_value_descriptor": ""}, "open circuit voltage": {}, "short circuit current": {}, "fill factor": {}, "highest occupied molecular orbital": {"entity_name": "HOMO", "entity_start": 178, "entity_end": 178, "property_value_start": 180, "property_value_end": 181, "property_numeric_value": -5.55, "property_unit": "eV", "property_value_descriptor": ""}, "lowest unoccupied molecular orbital": {"entity_name": "LUMO", "entity_start": 167, "entity_end": 167, "property_value_start": 169, "property_value_end": 170, "property_numeric_value": -3.71, "property_unit": "eV", "property_value_descriptor": ""}, "bandgap": {"entity_name": "optical bandgap", "entity_start": 145, "entity_end": 146, "property_value_start": 148, "property_value_end": 149, "property_numeric_value": 1.79, "property_unit": "eV", "property_value_descriptor": ""}, "hole mobility": {}, "electron mobility": {}, "external quantum efficiency": {}}</t>
  </si>
  <si>
    <t xml:space="preserve">10.1016/j.jpowsour.2013.06.137</t>
  </si>
  <si>
    <t xml:space="preserve">Pb1</t>
  </si>
  <si>
    <t xml:space="preserve">['Pb1', 'Pb3', 'Pc1', 'Pc3']</t>
  </si>
  <si>
    <t xml:space="preserve">{"power conversion efficiency": {"entity_name": "PCEs", "entity_start": 156, "entity_end": 156, "property_value_start": 174, "property_value_end": 175, "property_numeric_value": 7.9,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</si>
  <si>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10.1016/j.electacta.2016.01.107</t>
  </si>
  <si>
    <t xml:space="preserve">{"power conversion efficiency": {"entity_name": "power conversion efficiency", "entity_start": 147, "entity_end": 149, "property_value_start": 151, "property_value_end": 152, "property_numeric_value": 1.51,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</si>
  <si>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10.1016/j.electacta.2016.11.115</t>
  </si>
  <si>
    <t xml:space="preserve">{"power conversion efficiency": {"entity_name": "PCE", "entity_start": 43, "entity_end": 43, "property_value_start": 46, "property_value_end": 47, "property_numeric_value": 12.85,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</si>
  <si>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10.1016/j.electacta.2013.06.121</t>
  </si>
  <si>
    <t xml:space="preserve">['polyaniline']</t>
  </si>
  <si>
    <t xml:space="preserve">{"power conversion efficiency": {"entity_name": "power conversion efficiency", "entity_start": 135, "entity_end": 137, "property_value_start": 162, "property_value_end": 163, "property_numeric_value": 0.45, "property_unit": "%", "property_value_descriptor": ""}, "open circuit voltage": {}, "short circuit current": {}, "fill factor": {"entity_name": "fill factor", "entity_start": 129, "entity_end": 130, "property_value_start": 133, "property_value_end": 134, "property_numeric_value": 3.78,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</si>
  <si>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10.1016/j.electacta.2014.08.065</t>
  </si>
  <si>
    <t xml:space="preserve">{"power conversion efficiency": {"entity_name": "power conversion efficiency", "entity_start": 155, "entity_end": 157, "property_value_start": 159, "property_value_end": 160, "property_numeric_value": 12.1, "property_unit": "%", "property_value_descriptor": ""}, "open circuit voltage": {}, "short circuit current": {}, "fill factor": {"entity_name": "fill factor", "entity_start": 142, "entity_end": 143, "property_value_start": 150, "property_value_end": 150, "property_numeric_value": 74.0,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</si>
  <si>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10.1016/j.jiec.2016.09.010</t>
  </si>
  <si>
    <t xml:space="preserve">{"power conversion efficiency": {"entity_name": "PCE", "entity_start": 92, "entity_end": 92, "property_value_start": 98, "property_value_end": 99, "property_numeric_value": 3.03,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</si>
  <si>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10.1016/j.jiec.2017.12.061</t>
  </si>
  <si>
    <t xml:space="preserve">{"power conversion efficiency": {"entity_name": "PCE", "entity_start": 117, "entity_end": 117, "property_value_start": 120, "property_value_end": 121, "property_numeric_value": 3.74,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</si>
  <si>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10.1016/j.jiec.2018.11.016</t>
  </si>
  <si>
    <t xml:space="preserve">{"power conversion efficiency": {"entity_name": "PCE", "entity_start": 43, "entity_end": 43, "property_value_start": 45, "property_value_end": 46, "property_numeric_value": 8.9,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</si>
  <si>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10.1016/j.apsusc.2013.01.119</t>
  </si>
  <si>
    <t xml:space="preserve">{"power conversion efficiency": {"entity_name": "power conversion efficiency", "entity_start": 156, "entity_end": 158, "property_value_start": 161, "property_value_end": 162, "property_numeric_value": 0.287, "property_unit": "%", "property_value_descriptor": ""}, "open circuit voltage": {"entity_name": "open-circuit voltage", "entity_start": 139, "entity_end": 142, "property_value_start": 144, "property_value_end": 145, "property_numeric_value": 0.195, "property_unit": "V", "property_value_descriptor": ""}, "short circuit current": {"entity_name": "short-circuit current density", "entity_start": 126, "entity_end": 130, "property_value_start": 132, "property_value_end": 136, "property_numeric_value": 5.32, "property_unit": "mA/cm^{2}", "property_value_descriptor": ""}, "fill factor": {"entity_name": "fill factor", "entity_start": 148, "entity_end": 149, "property_value_start": 151, "property_value_end": 152, "property_numeric_value": 27.71,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</si>
  <si>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10.1016/j.apsusc.2019.143967</t>
  </si>
  <si>
    <t xml:space="preserve">poly(3,4-ethylenedioxythiophene)-poly(styrenesulfonate)</t>
  </si>
  <si>
    <t xml:space="preserve">['poly(3,4-ethylenedioxythiophene)-poly(styrenesulfonate)', 'PEDOT']</t>
  </si>
  <si>
    <t xml:space="preserve">{"power conversion efficiency": {"entity_name": "power conversion efficiency", "entity_start": 211, "entity_end": 213, "property_value_start": 215, "property_value_end": 216, "property_numeric_value": 11.0, "property_unit": "%", "property_value_descriptor": ""}, "open circuit voltage": {"entity_name": "open-circuit voltages", "entity_start": 218, "entity_end": 221, "property_value_start": 223, "property_value_end": 224, "property_numeric_value": 0.6, "property_unit": "V", "property_value_descriptor": ""}, "short circuit current": {"entity_name": "short-circuit current density", "entity_start": 227, "entity_end": 231, "property_value_start": 234, "property_value_end": 238, "property_numeric_value": 30.0, "property_unit": "mA/cm^{2}", "property_value_descriptor": ""}, "fill factor": {"entity_name": "fill factor", "entity_start": 241, "entity_end": 242, "property_value_start": 244, "property_value_end": 245, "property_numeric_value": 59.4,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</si>
  <si>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10.1016/j.tsf.2016.09.012</t>
  </si>
  <si>
    <t xml:space="preserve">poly(3-hexylthiophen)</t>
  </si>
  <si>
    <t xml:space="preserve">['poly(3-hexylthiophen)']</t>
  </si>
  <si>
    <t xml:space="preserve">{"power conversion efficiency": {"entity_name": "power conversion efficiencies", "entity_start": 125, "entity_end": 127, "property_value_start": 129, "property_value_end": 130,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</si>
  <si>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10.1016/j.tsf.2005.12.030</t>
  </si>
  <si>
    <t xml:space="preserve">{"power conversion efficiency": {"entity_name": "power conversion efficiency", "entity_start": 153, "entity_end": 155, "property_value_start": 157, "property_value_end": 158, "property_numeric_value": 2.1,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{"entity_name": "external quantum efficiencies", "entity_start": 46, "entity_end": 48, "property_value_start": 52, "property_value_end": 53, "property_numeric_value": 58.0, "property_unit": "%", "property_value_descriptor": ""}}</t>
  </si>
  <si>
    <t xml:space="preserve">10.1016/j.tsf.2015.10.048</t>
  </si>
  <si>
    <t xml:space="preserve">['(6,6)-phenyl-C71-butyric acid methyl ester']</t>
  </si>
  <si>
    <t xml:space="preserve">{"power conversion efficiency": {"entity_name": "PCE", "entity_start": 113, "entity_end": 113, "property_value_start": 115, "property_value_end": 116, "property_numeric_value": 6.85,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</si>
  <si>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10.1016/j.tsf.2011.01.162</t>
  </si>
  <si>
    <t xml:space="preserve">{"power conversion efficiency": {"entity_name": "PCE", "entity_start": 207, "entity_end": 207, "property_value_start": 209, "property_value_end": 210, "property_numeric_value": 0.55, "property_unit": "%", "property_value_descriptor": ""}, "open circuit voltage": {"entity_name": "V_{oc}", "entity_start": 222, "entity_end": 223, "property_value_start": 225, "property_value_end": 226, "property_numeric_value": 0.88, "property_unit": "V", "property_value_descriptor": ""}, "short circuit current": {"entity_name": "J_{sc}", "entity_start": 213, "entity_end": 214, "property_value_start": 216, "property_value_end": 220, "property_numeric_value": 2.11, "property_unit": "mA/cm^{2}", "property_value_descriptor": ""}, "fill factor": {"entity_name": "FF", "entity_start": 229, "entity_end": 229, "property_value_start": 231, "property_value_end": 232, "property_numeric_value": 29.4,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</si>
  <si>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10.1016/j.tsf.2011.12.044</t>
  </si>
  <si>
    <t xml:space="preserve">{"power conversion efficiency": {"entity_name": "power conversion efficiency", "entity_start": 91, "entity_end": 93, "property_value_start": 96, "property_value_end": 97, "property_numeric_value": 1.32,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</si>
  <si>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10.1016/j.tsf.2013.05.126</t>
  </si>
  <si>
    <t xml:space="preserve">poly(3-hexyl)thiophene</t>
  </si>
  <si>
    <t xml:space="preserve">['poly(3-hexyl)thiophene']</t>
  </si>
  <si>
    <t xml:space="preserve">{"power conversion efficiency": {"entity_name": "power conversion efficiency", "entity_start": 80, "entity_end": 82, "property_value_start": 84, "property_value_end": 85, "property_numeric_value": 0.15, "property_unit": "%", "property_value_descriptor": ""}, "open circuit voltage": {"entity_name": "open circuit voltage", "entity_start": 71, "entity_end": 73, "property_value_start": 75, "property_value_end": 76, "property_numeric_value": 0.343, "property_unit": "V", "property_value_descriptor": ""}, "short circuit current": {"entity_name": "short circuit current density", "entity_start": 59, "entity_end": 62, "property_value_start": 64, "property_value_end": 68, "property_numeric_value": 1.54,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</si>
  <si>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10.1021/cm4024259</t>
  </si>
  <si>
    <t xml:space="preserve">['polystyrene', 'PS']</t>
  </si>
  <si>
    <t xml:space="preserve">{"power conversion efficiency": {"entity_name": "PCE", "entity_start": 223, "entity_end": 223, "property_value_start": 225, "property_value_end": 226, "property_numeric_value": 6.3, "property_unit": "%", "property_value_descriptor": ""}, "open circuit voltage": {"entity_name": "V_{OC}", "entity_start": 207, "entity_end": 208, "property_value_start": 212, "property_value_end": 213, "property_numeric_value": 0.95,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</si>
  <si>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10.1021/cm200330c</t>
  </si>
  <si>
    <t xml:space="preserve">{"power conversion efficiency": {"entity_name": "power conversion efficiency", "entity_start": 172, "entity_end": 174, "property_value_start": 177, "property_value_end": 178, "property_numeric_value": 5.53,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</si>
  <si>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10.1021/cm502991d</t>
  </si>
  <si>
    <t xml:space="preserve">PDPP2T-Se10-Th90</t>
  </si>
  <si>
    <t xml:space="preserve">['PDPP2T-Se10-Th90']</t>
  </si>
  <si>
    <t xml:space="preserve">{"power conversion efficiency": {"entity_name": "PCE", "entity_start": 221, "entity_end": 221, "property_value_start": 224, "property_value_end": 225, "property_numeric_value": 7.2,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mobilities", "entity_start": 190, "entity_end": 191, "property_value_start": 193, "property_value_end": 201, "property_numeric_value": 5.13, "property_unit": "cm^{2} V^{-1} s^{-1}", "property_value_descriptor": "and"}, "external quantum efficiency": {}}</t>
  </si>
  <si>
    <t xml:space="preserve">10.1021/acs.chemmater.7b04982</t>
  </si>
  <si>
    <t xml:space="preserve">PCP-x</t>
  </si>
  <si>
    <t xml:space="preserve">['PCP-x', 'PCP-H']</t>
  </si>
  <si>
    <t xml:space="preserve">{"power conversion efficiency": {"entity_name": "PCE", "entity_start": 143, "entity_end": 143, "property_value_start": 145, "property_value_end": 146, "property_numeric_value": 12.8,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</si>
  <si>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10.1021/acs.chemmater.6b03323</t>
  </si>
  <si>
    <t xml:space="preserve">{"power conversion efficiency": {"entity_name": "power conversion efficiencies", "entity_start": 117, "entity_end": 119, "property_value_start": 124, "property_value_end": 125, "property_numeric_value": 4.48,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</si>
  <si>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10.1021/cm031099m</t>
  </si>
  <si>
    <t xml:space="preserve">poly(3-octyl)thiophene</t>
  </si>
  <si>
    <t xml:space="preserve">['poly(3-octyl)thiophene', 'P3OT']</t>
  </si>
  <si>
    <t xml:space="preserve">{"power conversion efficiency": {}, "open circuit voltage": {"entity_name": "V_{oc}", "entity_start": 139, "entity_end": 140, "property_value_start": 143, "property_value_end": 144, "property_numeric_value": 0.72, "property_unit": "V", "property_value_descriptor": ""}, "short circuit current": {}, "fill factor": {"entity_name": "FF", "entity_start": 150, "entity_end": 150, "property_value_start": 153, "property_value_end": 153, "property_numeric_value": 35.0,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</si>
  <si>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10.1021/cm049917d</t>
  </si>
  <si>
    <t xml:space="preserve">poly[2-methoxy-5-(3,7-dimethyloctyloxy)-1,4-phenylenevinylene]</t>
  </si>
  <si>
    <t xml:space="preserve">{"power conversion efficiency": {"entity_name": "power conversion efficiency", "entity_start": 88, "entity_end": 90, "property_value_start": 92, "property_value_end": 93, "property_numeric_value": 0.75,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</si>
  <si>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10.1021/acs.chemmater.6b00185</t>
  </si>
  <si>
    <t xml:space="preserve">poly[2,6-(4,4'-bis(2-ethylhexyl)dithieno[3,2-b:2'3'-d]silole)-alt-4,7-(2,1,3-benzothiadiazole)]</t>
  </si>
  <si>
    <t xml:space="preserve">["poly[2,6-(4,4'-bis(2-ethylhexyl)dithieno[3,2-b:2'3'-d]silole)-alt-4,7-(2,1,3-benzothiadiazole)]", 'Si-PCPDTBT']</t>
  </si>
  <si>
    <t xml:space="preserve">{"power conversion efficiency": {"entity_name": "PCE", "entity_start": 216, "entity_end": 216, "property_value_start": 219, "property_value_end": 220, "property_numeric_value": 4.8,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</si>
  <si>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10.1021/cm5033223</t>
  </si>
  <si>
    <t xml:space="preserve">PzNDTT-TPD1</t>
  </si>
  <si>
    <t xml:space="preserve">['PzNDTT-TPD1', 'PzNDTT-TPD1-based']</t>
  </si>
  <si>
    <t xml:space="preserve">{"power conversion efficiency": {"entity_name": "power conversion efficiency", "entity_start": 52, "entity_end": 54, "property_value_start": 86, "property_value_end": 87, "property_numeric_value": 6.4,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</si>
  <si>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10.1021/cm071243u</t>
  </si>
  <si>
    <t xml:space="preserve">{"power conversion efficiency": {"entity_name": "power conversion efficiencies", "entity_start": 175, "entity_end": 177, "property_value_start": 179, "property_value_end": 182, "property_numeric_value": 0.5, "property_unit": "%", "property_value_descriptor": "-"}, "open circuit voltage": {"entity_name": "V_{oc}", "entity_start": 105, "entity_end": 106, "property_value_start": 109, "property_value_end": 112, "property_numeric_value": 0.5, "property_unit": "V", "property_value_descriptor": "-"}, "short circuit current": {"entity_name": "I_{sc}) densitie", "entity_start": 85, "entity_end": 88, "property_value_start": 93, "property_value_end": 99, "property_numeric_value": 4.0, "property_unit": "mA/cm^{2}", "property_value_descriptor": "-"}, "fill factor": {"entity_name": "FF", "entity_start": 118, "entity_end": 118, "property_value_start": 121, "property_value_end": 124, "property_numeric_value": 45.0, "property_unit": "%", "property_value_descriptor": "-"}, "highest occupied molecular orbital": {}, "lowest unoccupied molecular orbital": {}, "bandgap": {}, "hole mobility": {}, "electron mobility": {}, "external quantum efficiency": {}}</t>
  </si>
  <si>
    <t xml:space="preserve">poly((2-methoxy-5-(3,7-dimethyloctyloxy)-p-phenylene) vinylene)</t>
  </si>
  <si>
    <t xml:space="preserve">['poly((2-methoxy-5-(3,7-dimethyloctyloxy)-p-phenylene) vinylene)', 'MDMO-PPV']</t>
  </si>
  <si>
    <t xml:space="preserve">{"power conversion efficiency": {"entity_name": "power conversion efficiencies", "entity_start": 317, "entity_end": 319, "property_value_start": 323, "property_value_end": 324,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</si>
  <si>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10.1021/cm9007798</t>
  </si>
  <si>
    <t xml:space="preserve">TPT</t>
  </si>
  <si>
    <t xml:space="preserve">['TPT']</t>
  </si>
  <si>
    <t xml:space="preserve">{"power conversion efficiency": {"entity_name": "Power conversion efficiencies", "entity_start": 182, "entity_end": 184, "property_value_start": 188, "property_value_end": 189, "property_numeric_value": 4.3, "property_unit": "%", "property_value_descriptor": ""}, "open circuit voltage": {}, "short circuit current": {}, "fill factor": {}, "highest occupied molecular orbital": {}, "lowest unoccupied molecular orbital": {}, "bandgap": {"entity_name": "bandgaps", "entity_start": 48, "entity_end": 48, "property_value_start": 51, "property_value_end": 54, "property_numeric_value": 1.4, "property_unit": "eV", "property_value_descriptor": "to"}, "hole mobility": {"entity_name": "hole mobilities", "entity_start": 115, "entity_end": 116, "property_value_start": 118, "property_value_end": 126, "property_numeric_value": 0.001, "property_unit": "cm^{2} V^{-1} s^{-1}", "property_value_descriptor": "&gt;"}, "electron mobility": {}, "external quantum efficiency": {}}</t>
  </si>
  <si>
    <t xml:space="preserve">10.1021/acs.chemmater.8b00510</t>
  </si>
  <si>
    <t xml:space="preserve">PB55</t>
  </si>
  <si>
    <t xml:space="preserve">['PB55']</t>
  </si>
  <si>
    <t xml:space="preserve">{"power conversion efficiency": {"entity_name": "PCE", "entity_start": 145, "entity_end": 145, "property_value_start": 147, "property_value_end": 148, "property_numeric_value": 12.1,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</si>
  <si>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10.1021/cm903783w</t>
  </si>
  <si>
    <t xml:space="preserve">{"power conversion efficiency": {"entity_name": "power conversion efficiencies", "entity_start": 65, "entity_end": 67, "property_value_start": 71, "property_value_end": 72,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</si>
  <si>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10.1021/acs.chemmater.5b04551</t>
  </si>
  <si>
    <t xml:space="preserve">{"power conversion efficiency": {"entity_name": "power conversion efficiency", "entity_start": 146, "entity_end": 148, "property_value_start": 150, "property_value_end": 151, "property_numeric_value": 2.05,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</si>
  <si>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10.1021/acs.chemmater.7b01650</t>
  </si>
  <si>
    <t xml:space="preserve">{"power conversion efficiency": {"entity_name": "power conversion efficiency", "entity_start": 100, "entity_end": 102, "property_value_start": 104, "property_value_end": 105, "property_numeric_value": 10.92, "property_unit": "%", "property_value_descriptor": ""}, "open circuit voltage": {}, "short circuit current": {"entity_name": "short circuit current density", "entity_start": 108, "entity_end": 111, "property_value_start": 113, "property_value_end": 115, "property_numeric_value": 20.34,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</si>
  <si>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10.1021/acs.chemmater.9b03570</t>
  </si>
  <si>
    <t xml:space="preserve">['PBDT-TT', 'PBDT-TTz']</t>
  </si>
  <si>
    <t xml:space="preserve">{"power conversion efficiency": {"entity_name": "PCEs", "entity_start": 167, "entity_end": 167, "property_value_start": 170, "property_value_end": 171, "property_numeric_value": 0.7,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</si>
  <si>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10.1021/acs.chemmater.9b03694</t>
  </si>
  <si>
    <t xml:space="preserve">{"power conversion efficiency": {"entity_name": "PCE", "entity_start": 209, "entity_end": 209, "property_value_start": 211, "property_value_end": 212, "property_numeric_value": 13.3, "property_unit": "%", "property_value_descriptor": ""}, "open circuit voltage": {"entity_name": "V_{OC}", "entity_start": 112, "entity_end": 113, "property_value_start": 115, "property_value_end": 116, "property_numeric_value": 0.97, "property_unit": "V", "property_value_descriptor": ""}, "short circuit current": {}, "fill factor": {"entity_name": "fill factor", "entity_start": 135, "entity_end": 136, "property_value_start": 138, "property_value_end": 139, "property_numeric_value": 78.0,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</si>
  <si>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10.1021/acs.chemmater.5b01274</t>
  </si>
  <si>
    <t xml:space="preserve">P(NDI2OD-TVT)</t>
  </si>
  <si>
    <t xml:space="preserve">['P(NDI2OD-TVT)']</t>
  </si>
  <si>
    <t xml:space="preserve">{"power conversion efficiency": {"entity_name": "power conversion efficiency", "entity_start": 247, "entity_end": 249, "property_value_start": 251, "property_value_end": 252, "property_numeric_value": 4.25,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mobility", "entity_start": 159, "entity_end": 160, "property_value_start": 162, "property_value_end": 168, "property_numeric_value": 2.31, "property_unit": "cm^{2} V^{-1} s^{-1}", "property_value_descriptor": ""}, "external quantum efficiency": {}}</t>
  </si>
  <si>
    <t xml:space="preserve">10.1021/acs.chemmater.8b02276</t>
  </si>
  <si>
    <t xml:space="preserve">{"power conversion efficiency": {"entity_name": "power conversion efficiency", "entity_start": 84, "entity_end": 86, "property_value_start": 88, "property_value_end": 89, "property_numeric_value": 13.2,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</si>
  <si>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10.1021/acs.chemmater.6b04828</t>
  </si>
  <si>
    <t xml:space="preserve">benzo[1,2-b:4,5-b]dithiophene</t>
  </si>
  <si>
    <t xml:space="preserve">{"power conversion efficiency": {"entity_name": "PCEs", "entity_start": 218, "entity_end": 218, "property_value_start": 222, "property_value_end": 223, "property_numeric_value": 9.11,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</si>
  <si>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10.1021/acs.chemmater.6b04745</t>
  </si>
  <si>
    <t xml:space="preserve">indolo[3,2-b]indole</t>
  </si>
  <si>
    <t xml:space="preserve">{"power conversion efficiency": {"entity_name": "power conversion efficiency", "entity_start": 168, "entity_end": 170, "property_value_start": 172, "property_value_end": 173, "property_numeric_value": 8.84,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</si>
  <si>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10.1021/cm8016424</t>
  </si>
  <si>
    <t xml:space="preserve">{"power conversion efficiency": {"entity_name": "PCE", "entity_start": 68, "entity_end": 68, "property_value_start": 70, "property_value_end": 71, "property_numeric_value": 4.13,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</si>
  <si>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10.1021/acsenergylett.7b00015</t>
  </si>
  <si>
    <t xml:space="preserve">['polystyrene', 'PEDOT']</t>
  </si>
  <si>
    <t xml:space="preserve">{"power conversion efficiency": {"entity_name": "PCE", "entity_start": 147, "entity_end": 147, "property_value_start": 150, "property_value_end": 151, "property_numeric_value": 21.0,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</si>
  <si>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10.1021/acsenergylett.7b00390</t>
  </si>
  <si>
    <t xml:space="preserve">PffBT4T-2DT</t>
  </si>
  <si>
    <t xml:space="preserve">[*]c6ccc(c5ccc(c4sc(c2c(F)c(F)c(c1cc(CC(CCCCCCCCCC)CCCCCCCCCCCC)c([*])s1)c3nsnc23)cc4CC(CCCCCCCCCC)CCCCCCCCCCCC)s5)s6</t>
  </si>
  <si>
    <t xml:space="preserve">['PffBT4T-2DT']</t>
  </si>
  <si>
    <t xml:space="preserve">{"power conversion efficiency": {"entity_name": "power conversion efficiency", "entity_start": 78, "entity_end": 80, "property_value_start": 82, "property_value_end": 83, "property_numeric_value": 11.1,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</si>
  <si>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10.1021/acsenergylett.6b00470</t>
  </si>
  <si>
    <t xml:space="preserve">{"power conversion efficiency": {"entity_name": "PCE", "entity_start": 141, "entity_end": 141, "property_value_start": 146, "property_value_end": 147, "property_numeric_value": 4.4, "property_unit": "%", "property_value_descriptor": ""}, "open circuit voltage": {"entity_name": "open-circuit voltages", "entity_start": 82, "entity_end": 85, "property_value_start": 89, "property_value_end": 90, "property_numeric_value": 5.8,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</si>
  <si>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10.1021/acsenergylett.6b00192</t>
  </si>
  <si>
    <t xml:space="preserve">DNA</t>
  </si>
  <si>
    <t xml:space="preserve">['DNA']</t>
  </si>
  <si>
    <t xml:space="preserve">{"power conversion efficiency": {"entity_name": "PCEs", "entity_start": 110, "entity_end": 110, "property_value_start": 112, "property_value_end": 115, "property_numeric_value": 3.5, "property_unit": "%", "property_value_descriptor": "~to"}, "open circuit voltage": {"entity_name": "V_{OC}", "entity_start": 97, "entity_end": 98, "property_value_start": 100, "property_value_end": 103, "property_numeric_value": 0.56, "property_unit": "V", "property_value_descriptor": "to"},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</si>
  <si>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10.1021/acsenergylett.8b01182</t>
  </si>
  <si>
    <t xml:space="preserve">poly(9,9-di-n-octylfluorenyl-2,7-diyl)</t>
  </si>
  <si>
    <t xml:space="preserve">['poly(9,9-di-n-octylfluorenyl-2,7-diyl)']</t>
  </si>
  <si>
    <t xml:space="preserve">{"power conversion efficiency": {"entity_name": "power conversion efficiency", "entity_start": 164, "entity_end": 166, "property_value_start": 168, "property_value_end": 169, "property_numeric_value": 1.2, "property_unit": "%", "property_value_descriptor": ""}, "open circuit voltage": {"entity_name": "open-circuit voltage", "entity_start": 155, "entity_end": 158, "property_value_start": 160, "property_value_end": 161, "property_numeric_value": 0.6,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</si>
  <si>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10.1021/acsenergylett.9b02842</t>
  </si>
  <si>
    <t xml:space="preserve">PBiTPD</t>
  </si>
  <si>
    <t xml:space="preserve">['PBiTPD']</t>
  </si>
  <si>
    <t xml:space="preserve">{"power conversion efficiency": {"entity_name": "PCE", "entity_start": 91, "entity_end": 91, "property_value_start": 96, "property_value_end": 97, "property_numeric_value": 14.2, "property_unit": "%", "property_value_descriptor": ""}, "open circuit voltage": {"entity_name": "V_{OC}", "entity_start": 179, "entity_end": 180, "property_value_start": 183, "property_value_end": 184, "property_numeric_value": 0.83, "property_unit": "V", "property_value_descriptor": ""}, "short circuit current": {"entity_name": "J_{SC}", "entity_start": 164, "entity_end": 165, "property_value_start": 168, "property_value_end": 170, "property_numeric_value": 25.6, "property_unit": "mA*cm^{-2}", "property_value_descriptor": ""}, "fill factor": {"entity_name": "FF", "entity_start": 152, "entity_end": 152, "property_value_start": 155, "property_value_end": 156, "property_numeric_value": 67.0,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</si>
  <si>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10.1021/acsenergylett.0c00939</t>
  </si>
  <si>
    <t xml:space="preserve">PTzBI-dF</t>
  </si>
  <si>
    <t xml:space="preserve">['TzBI', 'TzBI)-polymer', 'PTzBI-dF', 'PTzBI-pF']</t>
  </si>
  <si>
    <t xml:space="preserve">{"power conversion efficiency": {"entity_name": "power conversion efficiency", "entity_start": 146, "entity_end": 148, "property_value_start": 152, "property_value_end": 153, "property_numeric_value": 17.3,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</si>
  <si>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10.1021/acsenergylett.7b00092</t>
  </si>
  <si>
    <t xml:space="preserve">{"power conversion efficiency": {"entity_name": "power conversion efficiency", "entity_start": 137, "entity_end": 139, "property_value_start": 141, "property_value_end": 142, "property_numeric_value": 8.21,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</si>
  <si>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10.1021/acs.langmuir.9b00846</t>
  </si>
  <si>
    <t xml:space="preserve">PDA</t>
  </si>
  <si>
    <t xml:space="preserve">['PDA', 'PDA']</t>
  </si>
  <si>
    <t xml:space="preserve">{"power conversion efficiency": {"entity_name": "PCE", "entity_start": 196, "entity_end": 196, "property_value_start": 199, "property_value_end": 200, "property_numeric_value": 10.24,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</si>
  <si>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10.1021/la900980y</t>
  </si>
  <si>
    <t xml:space="preserve">poly(ethylene oxide)-b-poly(triphenylamine)</t>
  </si>
  <si>
    <t xml:space="preserve">['poly(ethylene oxide)-b-poly(triphenylamine)', 'PEO-PTPA']</t>
  </si>
  <si>
    <t xml:space="preserve">{"power conversion efficiency": {"entity_name": "power conversion efficiencies", "entity_start": 211, "entity_end": 213, "property_value_start": 216, "property_value_end": 217, "property_numeric_value": 0.15,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</si>
  <si>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10.1021/am5079144</t>
  </si>
  <si>
    <t xml:space="preserve">SQ</t>
  </si>
  <si>
    <t xml:space="preserve">['SQ']</t>
  </si>
  <si>
    <t xml:space="preserve">{"power conversion efficiency": {"entity_name": "PCE", "entity_start": 199, "entity_end": 199, "property_value_start": 204, "property_value_end": 205, "property_numeric_value": 1.17,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</si>
  <si>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10.1021/am401273r</t>
  </si>
  <si>
    <t xml:space="preserve">{"power conversion efficiency": {"entity_name": "PCE", "entity_start": 127, "entity_end": 127, "property_value_start": 129, "property_value_end": 130, "property_numeric_value": 2.32,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</si>
  <si>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10.1021/acsami.5b07197</t>
  </si>
  <si>
    <t xml:space="preserve">['poly(p-phenylenevinylene)', 'PPV']</t>
  </si>
  <si>
    <t xml:space="preserve">{"power conversion efficiency": {"entity_name": "PCE", "entity_start": 164, "entity_end": 164, "property_value_start": 167, "property_value_end": 168, "property_numeric_value": 3.35,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</si>
  <si>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10.1021/acsami.5b01252</t>
  </si>
  <si>
    <t xml:space="preserve">{"power conversion efficiency": {"entity_name": "PCE", "entity_start": 37, "entity_end": 37, "property_value_start": 41, "property_value_end": 42, "property_numeric_value": 13.0,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</si>
  <si>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10.1021/acsami.5b07605</t>
  </si>
  <si>
    <t xml:space="preserve">{"power conversion efficiency": {"entity_name": "PCE", "entity_start": 283, "entity_end": 283, "property_value_start": 300, "property_value_end": 301, "property_numeric_value": 3.52, "property_unit": "%", "property_value_descriptor": ""}, "open circuit voltage": {}, "short circuit current": {"entity_name": "J_{sc}", "entity_start": 208, "entity_end": 210, "property_value_start": 226, "property_value_end": 230, "property_numeric_value": 8.86,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</si>
  <si>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10.1021/am301773t</t>
  </si>
  <si>
    <t xml:space="preserve">{"power conversion efficiency": {"entity_name": "PCE", "entity_start": 226, "entity_end": 226, "property_value_start": 232, "property_value_end": 233, "property_numeric_value": 2.54,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</si>
  <si>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10.1021/acsami.8b13523</t>
  </si>
  <si>
    <t xml:space="preserve">poly[[4,8-bis[(2-ethylhexyl)oxy]benzo[1,2-b:4,5-b']dithiophene-2,6-diyl][3-fluoro-2-[(2-ethylhexyl)carbonyl]thieno[3,4-b]thiophenediyl]]:[6,6]-phenyl</t>
  </si>
  <si>
    <t xml:space="preserve">["poly[[4,8-bis[(2-ethylhexyl)oxy]benzo[1,2-b:4,5-b']dithiophene-2,6-diyl][3-fluoro-2-[(2-ethylhexyl)carbonyl]thieno[3,4-b]thiophenediyl]]:[6,6]-phenyl"]</t>
  </si>
  <si>
    <t xml:space="preserve">{"power conversion efficiency": {"entity_name": "power conversion efficiency", "entity_start": 101, "entity_end": 103, "property_value_start": 105, "property_value_end": 106, "property_numeric_value": 9.53,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</si>
  <si>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10.1021/am4018412</t>
  </si>
  <si>
    <t xml:space="preserve">{"power conversion efficiency": {"entity_name": "power conversion efficiency", "entity_start": 110, "entity_end": 112, "property_value_start": 114, "property_value_end": 115, "property_numeric_value": 8.84, "property_unit": "%", "property_value_descriptor": ""}, "open circuit voltage": {}, "short circuit current": {"entity_name": "short-circuit current density", "entity_start": 117, "entity_end": 121, "property_value_start": 123, "property_value_end": 126, "property_numeric_value": 30.5,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</si>
  <si>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10.1021/am4033263</t>
  </si>
  <si>
    <t xml:space="preserve">P3HT-b-PTcbp</t>
  </si>
  <si>
    <t xml:space="preserve">["polythiophene-b-poly{3-[10-(4'-cyanobiphenyloxy)decyl]thiophene}", 'P3HT-b-PTcbp']</t>
  </si>
  <si>
    <t xml:space="preserve">{"power conversion efficiency": {"entity_name": "PCE", "entity_start": 245, "entity_end": 245, "property_value_start": 264, "property_value_end": 265, "property_numeric_value": 2.3,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</si>
  <si>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10.1021/am405193r</t>
  </si>
  <si>
    <t xml:space="preserve">{"power conversion efficiency": {"entity_name": "power conversion efficiency", "entity_start": 205, "entity_end": 207, "property_value_start": 210, "property_value_end": 211, "property_numeric_value": 3.8, "property_unit": "%", "property_value_descriptor": ""}, "open circuit voltage": {"entity_name": "V_{oc}", "entity_start": 213, "entity_end": 214, "property_value_start": 216, "property_value_end": 217, "property_numeric_value": 0.61, "property_unit": "V", "property_value_descriptor": ""}, "short circuit current": {"entity_name": "J_{sc}", "entity_start": 219, "entity_end": 220, "property_value_start": 222, "property_value_end": 226, "property_numeric_value": 10.6, "property_unit": "mA/cm^{2}", "property_value_descriptor": ""}, "fill factor": {"entity_name": "FF", "entity_start": 228, "entity_end": 228, "property_value_start": 230, "property_value_end": 231, "property_numeric_value": 59.0,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</si>
  <si>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10.1021/acsami.7b18637</t>
  </si>
  <si>
    <t xml:space="preserve">PT4Si-FTAZ</t>
  </si>
  <si>
    <t xml:space="preserve">['PT4Si-FTAZ']</t>
  </si>
  <si>
    <t xml:space="preserve">{"power conversion efficiency": {"entity_name": "power conversion efficiency", "entity_start": 169, "entity_end": 171, "property_value_start": 173, "property_value_end": 174, "property_numeric_value": 6.79,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</si>
  <si>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10.1021/acsami.7b17635</t>
  </si>
  <si>
    <t xml:space="preserve">PS_{29}-b-PSImCl_{60}</t>
  </si>
  <si>
    <t xml:space="preserve">['PS_{29}-b-PSImCl_{60}']</t>
  </si>
  <si>
    <t xml:space="preserve">{"power conversion efficiency": {"entity_name": "PCE", "entity_start": 210, "entity_end": 210, "property_value_start": 213, "property_value_end": 214, "property_numeric_value": 7.55,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</si>
  <si>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polyethylenimine ethoxylated</t>
  </si>
  <si>
    <t xml:space="preserve">['polyethylenimine ethoxylated', 'PEIE']</t>
  </si>
  <si>
    <t xml:space="preserve">{"power conversion efficiency": {"entity_name": "PCE", "entity_start": 225, "entity_end": 225, "property_value_start": 236, "property_value_end": 237, "property_numeric_value": 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</si>
  <si>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10.1021/acsami.8b00093</t>
  </si>
  <si>
    <t xml:space="preserve">{"power conversion efficiency": {"entity_name": "power conversion efficiency", "entity_start": 208, "entity_end": 210, "property_value_start": 212, "property_value_end": 213, "property_numeric_value": 8.08,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</si>
  <si>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10.1021/acsami.7b16112</t>
  </si>
  <si>
    <t xml:space="preserve">{"power conversion efficiency": {"entity_name": "PCEs", "entity_start": 241, "entity_end": 241, "property_value_start": 244, "property_value_end": 245, "property_numeric_value": 7.4, "property_unit": "%", "property_value_descriptor": ""}, "open circuit voltage": {"entity_name": "V_{oc}", "entity_start": 281, "entity_end": 282, "property_value_start": 284, "property_value_end": 285, "property_numeric_value": 0.92, "property_unit": "V", "property_value_descriptor": ""}, "short circuit current": {"entity_name": "J_{sc}", "entity_start": 287, "entity_end": 288, "property_value_start": 290, "property_value_end": 294, "property_numeric_value": 14.48, "property_unit": "mA/cm^{2}", "property_value_descriptor": ""}, "fill factor": {"entity_name": "FF", "entity_start": 297, "entity_end": 297, "property_value_start": 299, "property_value_end": 299, "property_numeric_value": 66.0, "property_unit": "%", "property_value_descriptor": ""}, "highest occupied molecular orbital": {}, "lowest unoccupied molecular orbital": {}, "bandgap": {"entity_name": "optical bandgap", "entity_start": 73, "entity_end": 74, "property_value_start": 76, "property_value_end": 77, "property_numeric_value": 1.74, "property_unit": "eV", "property_value_descriptor": ""}, "hole mobility": {}, "electron mobility": {}, "external quantum efficiency": {}}</t>
  </si>
  <si>
    <t xml:space="preserve">Por-DEHT</t>
  </si>
  <si>
    <t xml:space="preserve">['Por-DEHT', 'Por-DEHT)-based']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</si>
  <si>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bandgap", "entity_start": 145, "entity_end": 146, "property_value_start": 149, "property_value_end": 150, "property_numeric_value": 1.59, "property_unit": "eV", "property_value_descriptor": ""}, "hole mobility": {}, "electron mobility": {}, "external quantum efficiency": {}}</t>
  </si>
  <si>
    <t xml:space="preserve">10.1021/acsami.7b01361</t>
  </si>
  <si>
    <t xml:space="preserve">{"power conversion efficiency": {"entity_name": "power-conversion efficiency", "entity_start": 188, "entity_end": 191, "property_value_start": 193, "property_value_end": 194, "property_numeric_value": 8.2,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</si>
  <si>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10.1021/acsami.6b10272</t>
  </si>
  <si>
    <t xml:space="preserve">poly(3,4-ethyelenedioxythiophene)</t>
  </si>
  <si>
    <t xml:space="preserve">['poly(3,4-ethyelenedioxythiophene)']</t>
  </si>
  <si>
    <t xml:space="preserve">{"power conversion efficiency": {"entity_name": "power conversion efficiency", "entity_start": 165, "entity_end": 167, "property_value_start": 169, "property_value_end": 170, "property_numeric_value": 14.0,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</si>
  <si>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10.1021/acsami.6b04955</t>
  </si>
  <si>
    <t xml:space="preserve">polyethylene glycol</t>
  </si>
  <si>
    <t xml:space="preserve">['polyethylene glycol', 'PEG']</t>
  </si>
  <si>
    <t xml:space="preserve">{"power conversion efficiency": {"entity_name": "PCE", "entity_start": 108, "entity_end": 108, "property_value_start": 119, "property_value_end": 120, "property_numeric_value": 8.0,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</si>
  <si>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10.1021/acsami.6b00637</t>
  </si>
  <si>
    <t xml:space="preserve">PFN_{100}</t>
  </si>
  <si>
    <t xml:space="preserve">['PFN_{100}']</t>
  </si>
  <si>
    <t xml:space="preserve">{"power conversion efficiency": {"entity_name": "PCE", "entity_start": 242, "entity_end": 242, "property_value_start": 244, "property_value_end": 245, "property_numeric_value": 3.27,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</si>
  <si>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10.1021/acsami.9b09486</t>
  </si>
  <si>
    <t xml:space="preserve">PY1</t>
  </si>
  <si>
    <t xml:space="preserve">['PY2', 'PY2-based', 'PY1', 'PY1-based']</t>
  </si>
  <si>
    <t xml:space="preserve">{"power conversion efficiency": {"entity_name": "PCE", "entity_start": 335, "entity_end": 335, "property_value_start": 337, "property_value_end": 338, "property_numeric_value": 9.26, "property_unit": "%", "property_value_descriptor": ""}, "open circuit voltage": {"entity_name": "V_{OC}", "entity_start": 329, "entity_end": 330, "property_value_start": 332, "property_value_end": 333, "property_numeric_value": 0.82, "property_unit": "V", "property_value_descriptor": ""}, "short circuit current": {"entity_name": "J_{SC}", "entity_start": 305, "entity_end": 306, "property_value_start": 308, "property_value_end": 311, "property_numeric_value": 14.54, "property_unit": "mA cm^{-2}", "property_value_descriptor": ""}, "fill factor": {"entity_name": "FF", "entity_start": 314, "entity_end": 314, "property_value_start": 316, "property_value_end": 316, "property_numeric_value": 66.0,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</si>
  <si>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10.1021/acsami.5b11692</t>
  </si>
  <si>
    <t xml:space="preserve">{"power conversion efficiency": {"entity_name": "power conversion efficiency", "entity_start": 173, "entity_end": 175, "property_value_start": 177, "property_value_end": 178, "property_numeric_value": 13.36, "property_unit": "%", "property_value_descriptor": ""}, "open circuit voltage": {"entity_name": "open-circuit voltage", "entity_start": 164, "entity_end": 167, "property_value_start": 169, "property_value_end": 170, "property_numeric_value": 0.528, "property_unit": "V", "property_value_descriptor": ""}, "short circuit current": {"entity_name": "short-circuit current density", "entity_start": 152, "entity_end": 156, "property_value_start": 158, "property_value_end": 162, "property_numeric_value": 35.36, "property_unit": "mA/cm^{2}", "property_value_descriptor": ""}, "fill factor": {"entity_name": "fill factor", "entity_start": 146, "entity_end": 147, "property_value_start": 149, "property_value_end": 150, "property_numeric_value": 70.94,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</si>
  <si>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10.1021/acsami.9b04211</t>
  </si>
  <si>
    <t xml:space="preserve">PCP-B</t>
  </si>
  <si>
    <t xml:space="preserve">['PCP-B', 'PCP-3B']</t>
  </si>
  <si>
    <t xml:space="preserve">{"power conversion efficiency": {"entity_name": "PCE", "entity_start": 206, "entity_end": 206, "property_value_start": 209, "property_value_end": 210, "property_numeric_value": 9.67,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</si>
  <si>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10.1021/acsami.9b02212</t>
  </si>
  <si>
    <t xml:space="preserve">PBTZ-4TC</t>
  </si>
  <si>
    <t xml:space="preserve">['PBTZ-4TC']</t>
  </si>
  <si>
    <t xml:space="preserve">{"power conversion efficiency": {"entity_name": "PCE", "entity_start": 272, "entity_end": 272, "property_value_start": 284, "property_value_end": 285, "property_numeric_value": 8.75,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</si>
  <si>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10.1021/am5055405</t>
  </si>
  <si>
    <t xml:space="preserve">{"power conversion efficiency": {"entity_name": "PCE", "entity_start": 99, "entity_end": 99, "property_value_start": 106, "property_value_end": 107, "property_numeric_value": 2.0, "property_unit": "%", "property_value_descriptor": ""}, "open circuit voltage": {"entity_name": "V_{OC}", "entity_start": 141, "entity_end": 142, "property_value_start": 144, "property_value_end": 145, "property_numeric_value": 1.98,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</si>
  <si>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10.1021/am505303a</t>
  </si>
  <si>
    <t xml:space="preserve">poly[2,6-(4,4-bis(2-ethylhexyl)-4H-cyclopenta[2,1-b;3,4-b']-dithiophene)-alt-4,7-(2,1,3-benzothiadiazole)]</t>
  </si>
  <si>
    <t xml:space="preserve">{"power conversion efficiency": {"entity_name": "PCE", "entity_start": 152, "entity_end": 152, "property_value_start": 154, "property_value_end": 155, "property_numeric_value": 5.5,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</si>
  <si>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10.1021/acsami.8b20276</t>
  </si>
  <si>
    <t xml:space="preserve">PFBTBOX</t>
  </si>
  <si>
    <t xml:space="preserve">['PFBTBOX']</t>
  </si>
  <si>
    <t xml:space="preserve">{"power conversion efficiency": {"entity_name": "PCEs", "entity_start": 137, "entity_end": 137, "property_value_start": 142, "property_value_end": 143, "property_numeric_value": 8.11,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</si>
  <si>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10.1021/am508026s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</si>
  <si>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92, "entity_end": 93, "property_value_start": 95, "property_value_end": 101, "property_numeric_value": 1.92, "property_unit": "cm^{2} V^{-1} s^{-1}", "property_value_descriptor": ""}, "electron mobility": {}, "external quantum efficiency": {}}</t>
  </si>
  <si>
    <t xml:space="preserve">10.1021/acsami.5b03446</t>
  </si>
  <si>
    <t xml:space="preserve">PTVTPD</t>
  </si>
  <si>
    <t xml:space="preserve">['PTVTPD']</t>
  </si>
  <si>
    <t xml:space="preserve">{"power conversion efficiency": {"entity_name": "PCE", "entity_start": 214, "entity_end": 214, "property_value_start": 217, "property_value_end": 218, "property_numeric_value": 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</si>
  <si>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10.1021/acsami.8b20567</t>
  </si>
  <si>
    <t xml:space="preserve">CPDT-4Cl</t>
  </si>
  <si>
    <t xml:space="preserve">['CPDT-4Cl']</t>
  </si>
  <si>
    <t xml:space="preserve">{"power conversion efficiency": {"entity_name": "PCE", "entity_start": 187, "entity_end": 187, "property_value_start": 189, "property_value_end": 190, "property_numeric_value": 9.28, "property_unit": "%", "property_value_descriptor": ""}, "open circuit voltage": {}, "short circuit current": {"entity_name": "short-circuit current density", "entity_start": 166, "entity_end": 170, "property_value_start": 174, "property_value_end": 178, "property_numeric_value": 20.1,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</si>
  <si>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10.1021/am509125c</t>
  </si>
  <si>
    <t xml:space="preserve">{"power conversion efficiency": {"entity_name": "PCE", "entity_start": 303, "entity_end": 303, "property_value_start": 305, "property_value_end": 306, "property_numeric_value": 3.7,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</si>
  <si>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10.1021/am500769k</t>
  </si>
  <si>
    <t xml:space="preserve">{"power conversion efficiency": {"entity_name": "power conversion efficiency", "entity_start": 193, "entity_end": 195, "property_value_start": 201, "property_value_end": 202, "property_numeric_value": 3.14,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</si>
  <si>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10.1021/acsami.7b07855</t>
  </si>
  <si>
    <t xml:space="preserve">poly[(9,9-bis(3-(N</t>
  </si>
  <si>
    <t xml:space="preserve">['poly[(9,9-bis(3-(N']</t>
  </si>
  <si>
    <t xml:space="preserve">{"power conversion efficiency": {"entity_name": "PCE", "entity_start": 150, "entity_end": 150, "property_value_start": 152, "property_value_end": 153, "property_numeric_value": 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</si>
  <si>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- dimethylamino)propyl)-2,7-fluorene)-alt-2,7-(9,9-dioctylfluorene)]-based</t>
  </si>
  <si>
    <t xml:space="preserve">['- dimethylamino)propyl)-2,7-fluorene)-alt-2,7-(9,9-dioctylfluorene)]-based']</t>
  </si>
  <si>
    <t xml:space="preserve">{"power conversion efficiency": {"entity_name": "PCE", "entity_start": 176, "entity_end": 176, "property_value_start": 178, "property_value_end": 179, "property_numeric_value": 8.55,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</si>
  <si>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10.1021/am200145t</t>
  </si>
  <si>
    <t xml:space="preserve">{"power conversion efficiency": {"entity_name": "PCEs", "entity_start": 208, "entity_end": 208, "property_value_start": 213, "property_value_end": 214, "property_numeric_value": 2.41,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mobilities", "entity_start": 145, "entity_end": 146, "property_value_start": 149, "property_value_end": 157, "property_numeric_value": 0.0015, "property_unit": "cm^{2} V^{-1} s^{-1}", "property_value_descriptor": ""}, "external quantum efficiency": {}}</t>
  </si>
  <si>
    <t xml:space="preserve">10.1021/acsami.8b15522</t>
  </si>
  <si>
    <t xml:space="preserve">{"power conversion efficiency": {"entity_name": "power conversion efficiencies", "entity_start": 61, "entity_end": 63, "property_value_start": 66, "property_value_end": 67, "property_numeric_value": 9.5,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</si>
  <si>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['PffBT4T-2OD', 'PCE11']</t>
  </si>
  <si>
    <t xml:space="preserve">{"power conversion efficiency": {}, "open circuit voltage": {}, "short circuit current": {}, "fill factor": {"entity_name": "fill factors", "entity_start": 75, "entity_end": 76, "property_value_start": 78, "property_value_end": 79, "property_numeric_value": 70.0,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</si>
  <si>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10.1021/acsami.7b09565</t>
  </si>
  <si>
    <t xml:space="preserve">{"power conversion efficiency": {"entity_name": "PCE", "entity_start": 244, "entity_end": 244, "property_value_start": 246, "property_value_end": 247, "property_numeric_value": 8.82,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</si>
  <si>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10.1021/am509047g</t>
  </si>
  <si>
    <t xml:space="preserve">["poly[[4,8-bis[(2-ethylhexyl)oxy]benzo[1,2-b:4,5-b']dithiophene-2,6-diyl][3-fluoro-2-[(2-ethylhexyl)carbonyl]thieno[3,4-b]thiophenediyl]]", 'PTB7']</t>
  </si>
  <si>
    <t xml:space="preserve">{"power conversion efficiency": {"entity_name": "PCE", "entity_start": 255, "entity_end": 255, "property_value_start": 257, "property_value_end": 258, "property_numeric_value": 10.12,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</si>
  <si>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10.1021/am500336s</t>
  </si>
  <si>
    <t xml:space="preserve">{"power conversion efficiency": {"entity_name": "PCE", "entity_start": 82, "entity_end": 82, "property_value_start": 92, "property_value_end": 93, "property_numeric_value": 6.6,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</si>
  <si>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10.1021/acsami.8b04582</t>
  </si>
  <si>
    <t xml:space="preserve">{"power conversion efficiency": {"entity_name": "power conversion efficiency", "entity_start": 252, "entity_end": 254, "property_value_start": 256, "property_value_end": 257, "property_numeric_value": 2.82,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</si>
  <si>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10.1021/acsami.7b14395</t>
  </si>
  <si>
    <t xml:space="preserve">poly[(9,9-bis(3'-(N,N-dimethylamino)propyl)-2,7-fluorene)-alt-2,7-(9,9-dioctylfluorene)]</t>
  </si>
  <si>
    <t xml:space="preserve">["poly[(9,9-bis(3'-(N,N-dimethylamino)propyl)-2,7-fluorene)-alt-2,7-(9,9-dioctylfluorene)]", 'PFN']</t>
  </si>
  <si>
    <t xml:space="preserve">{"power conversion efficiency": {"entity_name": "power conversion efficiency", "entity_start": 162, "entity_end": 164, "property_value_start": 166, "property_value_end": 167, "property_numeric_value": 5.02,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</si>
  <si>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10.1021/am100312v</t>
  </si>
  <si>
    <t xml:space="preserve">{"power conversion efficiency": {"entity_name": "PCE", "entity_start": 152, "entity_end": 152, "property_value_start": 154, "property_value_end": 155, "property_numeric_value": 2.97,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</si>
  <si>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10.1021/am400478b</t>
  </si>
  <si>
    <t xml:space="preserve">poly(sodium 4-styrenesulfonate)</t>
  </si>
  <si>
    <t xml:space="preserve">O=S(=O)([O-].[Na+])c1ccc(C(C[*])[*])cc1</t>
  </si>
  <si>
    <t xml:space="preserve">['poly(sodium 4-styrenesulfonate)', 'PSS-Na']</t>
  </si>
  <si>
    <t xml:space="preserve">{"power conversion efficiency": {"entity_name": "PCE", "entity_start": 180, "entity_end": 180, "property_value_start": 204, "property_value_end": 205, "property_numeric_value": 2.83,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</si>
  <si>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10.1021/am503949g</t>
  </si>
  <si>
    <t xml:space="preserve">poly(3,4-ethylene-dioxythiophene)</t>
  </si>
  <si>
    <t xml:space="preserve">['poly(3,4-ethylene-dioxythiophene)']</t>
  </si>
  <si>
    <t xml:space="preserve">{"power conversion efficiency": {"entity_name": "PCE", "entity_start": 185, "entity_end": 185, "property_value_start": 187, "property_value_end": 188, "property_numeric_value": 8.53,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</si>
  <si>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10.1021/acsami.7b11488</t>
  </si>
  <si>
    <t xml:space="preserve">PBDB-TS</t>
  </si>
  <si>
    <t xml:space="preserve">['PBDB-TS']</t>
  </si>
  <si>
    <t xml:space="preserve">{"power conversion efficiency": {"entity_name": "PCE", "entity_start": 187, "entity_end": 187, "property_value_start": 189, "property_value_end": 190, "property_numeric_value": 9.65, "property_unit": "%", "property_value_descriptor": ""}, "open circuit voltage": {}, "short circuit current": {}, "fill factor": {}, "highest occupied molecular orbital": {"entity_name": "HOMO", "entity_start": 101, "entity_end": 101, "property_value_start": 105, "property_value_end": 106, "property_numeric_value": -5.42, "property_unit": "eV", "property_value_descriptor": ""}, "lowest unoccupied molecular orbital": {}, "bandgap": {}, "hole mobility": {}, "electron mobility": {}, "external quantum efficiency": {}}</t>
  </si>
  <si>
    <t xml:space="preserve">10.1021/acsami.7b03074</t>
  </si>
  <si>
    <t xml:space="preserve">{"power conversion efficiency": {"entity_name": "power conversion efficiency", "entity_start": 116, "entity_end": 118, "property_value_start": 120, "property_value_end": 121, "property_numeric_value": 4.8,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</si>
  <si>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10.1021/am401933d</t>
  </si>
  <si>
    <t xml:space="preserve">phthalocyanine</t>
  </si>
  <si>
    <t xml:space="preserve">['phthalocyanine', 'PbPc']</t>
  </si>
  <si>
    <t xml:space="preserve">{"power conversion efficiency": {"entity_name": "PCE", "entity_start": 282, "entity_end": 282, "property_value_start": 285, "property_value_end": 286, "property_numeric_value": 2.9, "property_unit": "%", "property_value_descriptor": ""}, "open circuit voltage": {}, "short circuit current": {"entity_name": "J_{SC}", "entity_start": 245, "entity_end": 246, "property_value_start": 248, "property_value_end": 252, "property_numeric_value": 10.0, "property_unit": "mA/cm^{2}", "property_value_descriptor": ""}, "fill factor": {}, "highest occupied molecular orbital": {}, "lowest unoccupied molecular orbital": {}, "bandgap": {}, "hole mobility": {}, "electron mobility": {}, "external quantum efficiency": {"entity_name": "EQE", "entity_start": 266, "entity_end": 266, "property_value_start": 269, "property_value_end": 270, "property_numeric_value": 35.0, "property_unit": "%", "property_value_descriptor": ""}}</t>
  </si>
  <si>
    <t xml:space="preserve">10.1021/acsami.7b17148</t>
  </si>
  <si>
    <t xml:space="preserve">{"power conversion efficiency": {"entity_name": "power conversion efficiency", "entity_start": 211, "entity_end": 213, "property_value_start": 215, "property_value_end": 216, "property_numeric_value": 8.48,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</si>
  <si>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10.1021/acsami.8b11399</t>
  </si>
  <si>
    <t xml:space="preserve">PEDOP@MnO_{2}</t>
  </si>
  <si>
    <t xml:space="preserve">['PEDOP@MnO_{2}', 'PEDOP@MnO_{2}-based']</t>
  </si>
  <si>
    <t xml:space="preserve">{"power conversion efficiency": {"entity_name": "power conversion efficiency", "entity_start": 260, "entity_end": 262, "property_value_start": 264, "property_value_end": 265, "property_numeric_value": 6.11,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</si>
  <si>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10.1021/acsami.8b00014</t>
  </si>
  <si>
    <t xml:space="preserve">{"power conversion efficiency": {"entity_name": "PCE", "entity_start": 99, "entity_end": 99, "property_value_start": 102, "property_value_end": 103, "property_numeric_value": 12.37,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</si>
  <si>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10.1021/am401845n</t>
  </si>
  <si>
    <t xml:space="preserve">{"power conversion efficiency": {"entity_name": "power-conversion efficiency", "entity_start": 174, "entity_end": 177, "property_value_start": 181, "property_value_end": 182, "property_numeric_value": 5.88,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</si>
  <si>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10.1021/acsami.5b09460</t>
  </si>
  <si>
    <t xml:space="preserve">TQ-DR</t>
  </si>
  <si>
    <t xml:space="preserve">['TQ-DR', 'TQ5-DR']</t>
  </si>
  <si>
    <t xml:space="preserve">{"power conversion efficiency": {"entity_name": "PCE", "entity_start": 193, "entity_end": 193, "property_value_start": 195, "property_value_end": 196, "property_numeric_value": 3.14,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180, "entity_end": 181, "property_value_start": 183, "property_value_end": 189, "property_numeric_value": 0.034, "property_unit": "cm^{2} V^{-1} s^{-1}", "property_value_descriptor": ""}, "electron mobility": {}, "external quantum efficiency": {}}</t>
  </si>
  <si>
    <t xml:space="preserve">10.1021/acsami.9b16784</t>
  </si>
  <si>
    <t xml:space="preserve">{"power conversion efficiency": {"entity_name": "PCE", "entity_start": 201, "entity_end": 201, "property_value_start": 205, "property_value_end": 206, "property_numeric_value": 7.9,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</si>
  <si>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10.1021/acsami.9b12814</t>
  </si>
  <si>
    <t xml:space="preserve">PNDI-TVT</t>
  </si>
  <si>
    <t xml:space="preserve">['PNDI-TVT']</t>
  </si>
  <si>
    <t xml:space="preserve">{"power conversion efficiency": {"entity_name": "power conversion efficiency", "entity_start": 188, "entity_end": 190, "property_value_start": 192, "property_value_end": 193, "property_numeric_value": 6.1,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</si>
  <si>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efficiency", "entity_start": 188, "entity_end": 190, "property_value_start": 211, "property_value_end": 212, "property_numeric_value": 4.24,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</si>
  <si>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10.1021/acsami.9b15936</t>
  </si>
  <si>
    <t xml:space="preserve">PBDT a -TPD b</t>
  </si>
  <si>
    <t xml:space="preserve">['PBDT a -TPD b', 'PBDT a -TPD b P(NDI2HD-T)']</t>
  </si>
  <si>
    <t xml:space="preserve">{"power conversion efficiency": {"entity_name": "PCE", "entity_start": 280, "entity_end": 280, "property_value_start": 283, "property_value_end": 284, "property_numeric_value": 8.2,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</si>
  <si>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PBDT_{5}-TPD_{4}</t>
  </si>
  <si>
    <t xml:space="preserve">['PBDT_{5}-TPD_{4}']</t>
  </si>
  <si>
    <t xml:space="preserve">{"power conversion efficiency": {"entity_name": "PCE", "entity_start": 300, "entity_end": 300, "property_value_start": 302, "property_value_end": 303, "property_numeric_value": 6.41,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</si>
  <si>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10.1021/acsami.9b15617</t>
  </si>
  <si>
    <t xml:space="preserve">{"power conversion efficiency": {"entity_name": "power conversion efficiency", "entity_start": 224, "entity_end": 226, "property_value_start": 228, "property_value_end": 229, "property_numeric_value": 6.32,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</si>
  <si>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10.1021/acsami.9b17321</t>
  </si>
  <si>
    <t xml:space="preserve">{"power conversion efficiency": {"entity_name": "power conversion efficiency", "entity_start": 189, "entity_end": 191, "property_value_start": 193, "property_value_end": 194, "property_numeric_value": 10.1,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</si>
  <si>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10.1021/acsami.9b19909</t>
  </si>
  <si>
    <t xml:space="preserve">['poly(ethylene terephthalate)', 'PET']</t>
  </si>
  <si>
    <t xml:space="preserve">{"power conversion efficiency": {"entity_name": "PCE", "entity_start": 207, "entity_end": 207, "property_value_start": 209, "property_value_end": 210, "property_numeric_value": 7.1,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</si>
  <si>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10.1021/acsami.9b19400</t>
  </si>
  <si>
    <t xml:space="preserve">poly(3,4-ethylenedioxy thiophene)</t>
  </si>
  <si>
    <t xml:space="preserve">['poly(3,4-ethylenedioxy thiophene)']</t>
  </si>
  <si>
    <t xml:space="preserve">{"power conversion efficiency": {"entity_name": "power conversion efficiency", "entity_start": 168, "entity_end": 170, "property_value_start": 173, "property_value_end": 174, "property_numeric_value": 15.3, "property_unit": "%", "property_value_descriptor": ""}, "open circuit voltage": {"entity_name": "open-circuit voltage", "entity_start": 157, "entity_end": 160, "property_value_start": 163, "property_value_end": 164, "property_numeric_value": 0.638,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</si>
  <si>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10.1021/acsami.9b23499</t>
  </si>
  <si>
    <t xml:space="preserve">{"power conversion efficiency": {"entity_name": "power conversion efficiency", "entity_start": 163, "entity_end": 165, "property_value_start": 188, "property_value_end": 189, "property_numeric_value": 11.35,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</si>
  <si>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10.1021/acsami.6b08233</t>
  </si>
  <si>
    <t xml:space="preserve">['DTBT', 'PDTBT-TxfBT', 'PDTBT-TffBT', 'PDTBT-TfBT', 'PDTBT-TBT']</t>
  </si>
  <si>
    <t xml:space="preserve">{"power conversion efficiency": {"entity_name": "PCE", "entity_start": 208, "entity_end": 208, "property_value_start": 211, "property_value_end": 212, "property_numeric_value": 7.53,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</si>
  <si>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10.1021/acsami.0c01850</t>
  </si>
  <si>
    <t xml:space="preserve">BTCIC-4Cl</t>
  </si>
  <si>
    <t xml:space="preserve">['BTCIC-4Cl']</t>
  </si>
  <si>
    <t xml:space="preserve">{"power conversion efficiency": {"entity_name": "power conversion efficiency", "entity_start": 141, "entity_end": 143, "property_value_start": 147, "property_value_end": 148, "property_numeric_value": 10.5,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</si>
  <si>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10.1021/acsami.0c01364</t>
  </si>
  <si>
    <t xml:space="preserve">{"power conversion efficiency": {"entity_name": "PCE", "entity_start": 189, "entity_end": 189, "property_value_start": 211, "property_value_end": 212, "property_numeric_value": 12.22,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</si>
  <si>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222, "entity_end": 222, "property_value_start": 242, "property_value_end": 243, "property_numeric_value": 16.28,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</si>
  <si>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10.1021/jz201493d</t>
  </si>
  <si>
    <t xml:space="preserve">poly-3,4-ethylenedioxy-thiophene</t>
  </si>
  <si>
    <t xml:space="preserve">['poly-3,4-ethylenedioxy-thiophene']</t>
  </si>
  <si>
    <t xml:space="preserve">{"power conversion efficiency": {"entity_name": "PCEs", "entity_start": 166, "entity_end": 166, "property_value_start": 170, "property_value_end": 171, "property_numeric_value": 7.5,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</si>
  <si>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10.1021/acs.jpclett.0c00249</t>
  </si>
  <si>
    <t xml:space="preserve">{"power conversion efficiency": {"entity_name": "power conversion efficiency", "entity_start": 150, "entity_end": 152, "property_value_start": 157, "property_value_end": 158, "property_numeric_value": 7.78,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</si>
  <si>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10.1021/jp065442x</t>
  </si>
  <si>
    <t xml:space="preserve">PT-TThV10</t>
  </si>
  <si>
    <t xml:space="preserve">['PT-TThV10', 'PT-TThV40']</t>
  </si>
  <si>
    <t xml:space="preserve">{"power conversion efficiency": {"entity_name": "power conversion efficiency", "entity_start": 144, "entity_end": 146, "property_value_start": 153, "property_value_end": 154, "property_numeric_value": 1.91,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</si>
  <si>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10.1021/jp907167u</t>
  </si>
  <si>
    <t xml:space="preserve">bis(thienylenevinylene)-substituted polythiophene</t>
  </si>
  <si>
    <t xml:space="preserve">['bis(thienylenevinylene)-substituted polythiophene']</t>
  </si>
  <si>
    <t xml:space="preserve">{"power conversion efficiency": {"entity_name": "PCE", "entity_start": 175, "entity_end": 175, "property_value_start": 184, "property_value_end": 185, "property_numeric_value": 2.2,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</si>
  <si>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10.1021/jp902198y</t>
  </si>
  <si>
    <t xml:space="preserve">{"power conversion efficiency": {"entity_name": "power conversion efficiencies", "entity_start": 136, "entity_end": 138, "property_value_start": 140, "property_value_end": 141, "property_numeric_value": 1.19,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</si>
  <si>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10.1021/acs.jpcc.5b05225</t>
  </si>
  <si>
    <t xml:space="preserve">{"power conversion efficiency": {"entity_name": "power conversion efficiency", "entity_start": 214, "entity_end": 216, "property_value_start": 220, "property_value_end": 221, "property_numeric_value": 7.4,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</si>
  <si>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10.1021/jp308480u</t>
  </si>
  <si>
    <t xml:space="preserve">{"power conversion efficiency": {"entity_name": "power conversion efficiency", "entity_start": 87, "entity_end": 89, "property_value_start": 95, "property_value_end": 96, "property_numeric_value": 3.9,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</si>
  <si>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10.1021/jp077345p</t>
  </si>
  <si>
    <t xml:space="preserve">{"power conversion efficiency": {"entity_name": "\u03b7", "entity_start": 368, "entity_end": 368, "property_value_start": 374, "property_value_end": 375, "property_numeric_value": 0.84,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</si>
  <si>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10.1021/jp302351h</t>
  </si>
  <si>
    <t xml:space="preserve">{"power conversion efficiency": {"entity_name": "PCE", "entity_start": 86, "entity_end": 86, "property_value_start": 95, "property_value_end": 96, "property_numeric_value": 1.171,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</si>
  <si>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178, "entity_end": 178, "property_value_start": 181, "property_value_end": 182, "property_numeric_value": 2.684,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</si>
  <si>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10.1021/jp905675x</t>
  </si>
  <si>
    <t xml:space="preserve">['poly(ethylene glycol)']</t>
  </si>
  <si>
    <t xml:space="preserve">{"power conversion efficiency": {"entity_name": "power conversion efficiency", "entity_start": 116, "entity_end": 118, "property_value_start": 120, "property_value_end": 121, "property_numeric_value": 4.2,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</si>
  <si>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10.1021/acs.jpcc.7b05767</t>
  </si>
  <si>
    <t xml:space="preserve">{"power conversion efficiency": {"entity_name": "PCE", "entity_start": 47, "entity_end": 47, "property_value_start": 53, "property_value_end": 54, "property_numeric_value": 9.48,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</si>
  <si>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103, "entity_end": 103, "property_value_start": 105, "property_value_end": 106, "property_numeric_value": 3.76,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</si>
  <si>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10.1021/acs.jpcc.7b05815</t>
  </si>
  <si>
    <t xml:space="preserve">PBDTDT-TT</t>
  </si>
  <si>
    <t xml:space="preserve">['PBDTDT-TT']</t>
  </si>
  <si>
    <t xml:space="preserve">{"power conversion efficiency": {"entity_name": "PCE", "entity_start": 199, "entity_end": 199, "property_value_start": 202, "property_value_end": 203, "property_numeric_value": 8.43,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</si>
  <si>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PBDTDT-O</t>
  </si>
  <si>
    <t xml:space="preserve">['PBDTDT-O']</t>
  </si>
  <si>
    <t xml:space="preserve">{"power conversion efficiency": {"entity_name": "PCE", "entity_start": 213, "entity_end": 213, "property_value_start": 221, "property_value_end": 223, "property_numeric_value": 1.0, "property_unit": "%", "property_value_descriptor": "&lt;"},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</si>
  <si>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10.1021/jp807868j</t>
  </si>
  <si>
    <t xml:space="preserve">polybithiophene</t>
  </si>
  <si>
    <t xml:space="preserve">['polybithiophene']</t>
  </si>
  <si>
    <t xml:space="preserve">{"power conversion efficiency": {"entity_name": "power conversion efficiency", "entity_start": 184, "entity_end": 186, "property_value_start": 188, "property_value_end": 189, "property_numeric_value": 0.38, "property_unit": "%", "property_value_descriptor": ""}, "open circuit voltage": {"entity_name": "open-circuit voltage", "entity_start": 162, "entity_end": 165, "property_value_start": 167, "property_value_end": 168, "property_numeric_value": 0.84, "property_unit": "V", "property_value_descriptor": ""}, "short circuit current": {"entity_name": "short-circuit current", "entity_start": 172, "entity_end": 175, "property_value_start": 177, "property_value_end": 180, "property_numeric_value": 0.52,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</si>
  <si>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10.1021/jp907758s</t>
  </si>
  <si>
    <t xml:space="preserve">{"power conversion efficiency": {"entity_name": "power conversion efficiency", "entity_start": 120, "entity_end": 122, "property_value_start": 124, "property_value_end": 125, "property_numeric_value": 0.44,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</si>
  <si>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10.1021/jp910921a</t>
  </si>
  <si>
    <t xml:space="preserve">{"power conversion efficiency": {"entity_name": "power conversion efficiency", "entity_start": 101, "entity_end": 103, "property_value_start": 105, "property_value_end": 106, "property_numeric_value": 0.51,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</si>
  <si>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10.1021/jp1013169</t>
  </si>
  <si>
    <t xml:space="preserve">["poly[2-methoxy-5-(2'-ethylhexyloxy)-1,4-phenylene vinylene]", 'MEH-PPV']</t>
  </si>
  <si>
    <t xml:space="preserve">{"power conversion efficiency": {"entity_name": "power conversion efficiency", "entity_start": 257, "entity_end": 259, "property_value_start": 261, "property_value_end": 262,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</si>
  <si>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10.1021/jp1090894</t>
  </si>
  <si>
    <t xml:space="preserve">{"power conversion efficiency": {"entity_name": "power conversion efficiency", "entity_start": 202, "entity_end": 204, "property_value_start": 206, "property_value_end": 207, "property_numeric_value": 3.5, "property_unit": "%", "property_value_descriptor": ""}, "open circuit voltage": {"entity_name": "open-circuit voltage", "entity_start": 221, "entity_end": 224, "property_value_start": 226, "property_value_end": 227, "property_numeric_value": 0.72, "property_unit": "V", "property_value_descriptor": ""}, "short circuit current": {"entity_name": "short-circuit current", "entity_start": 210, "entity_end": 213, "property_value_start": 215, "property_value_end": 218, "property_numeric_value": 9.0, "property_unit": "mA cm^{-2}", "property_value_descriptor": ""}, "fill factor": {"entity_name": "fill factor", "entity_start": 231, "entity_end": 232, "property_value_start": 234, "property_value_end": 235, "property_numeric_value": 53.6,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</si>
  <si>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10.1021/jp503248a</t>
  </si>
  <si>
    <t xml:space="preserve">Pb1-Pb3</t>
  </si>
  <si>
    <t xml:space="preserve">['Pb1-Pb3']</t>
  </si>
  <si>
    <t xml:space="preserve">{"power conversion efficiency": {"entity_name": "power conversion efficiency", "entity_start": 206, "entity_end": 208, "property_value_start": 219, "property_value_end": 220, "property_numeric_value": 8.4,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</si>
  <si>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10.1021/jp506345a</t>
  </si>
  <si>
    <t xml:space="preserve">{"power conversion efficiency": {"entity_name": "PCE", "entity_start": 140, "entity_end": 140, "property_value_start": 142, "property_value_end": 143, "property_numeric_value": 11.2,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</si>
  <si>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10.1021/acs.jpcc.7b07953</t>
  </si>
  <si>
    <t xml:space="preserve">6 T</t>
  </si>
  <si>
    <t xml:space="preserve">['6 T']</t>
  </si>
  <si>
    <t xml:space="preserve">{"power conversion efficiency": {"entity_name": "power conversion efficiency", "entity_start": 142, "entity_end": 144, "property_value_start": 155, "property_value_end": 156, "property_numeric_value": 1.77,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</si>
  <si>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10.1021/jp412545q</t>
  </si>
  <si>
    <t xml:space="preserve">poly((4,8-bis(octyloxy)benzo(1,2-b:4,5-b')dithiophene-2,6-diyl)(2-((dodecyloxy)carbonyl)thieno(3,4-b)thiophenediyl))</t>
  </si>
  <si>
    <t xml:space="preserve">["poly((4,8-bis(octyloxy)benzo(1,2-b:4,5-b')dithiophene-2,6-diyl)(2-((dodecyloxy)carbonyl)thieno(3,4-b)thiophenediyl))", 'PTB1']</t>
  </si>
  <si>
    <t xml:space="preserve">{"power conversion efficiency": {"entity_name": "power conversion efficiencies", "entity_start": 51, "entity_end": 53, "property_value_start": 57, "property_value_end": 58, "property_numeric_value": 2.8,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{"entity_name": "external quantum efficiencies", "entity_start": 43, "entity_end": 45, "property_value_start": 48, "property_value_end": 49, "property_numeric_value": 70.0, "property_unit": "%", "property_value_descriptor": ""}}</t>
  </si>
  <si>
    <t xml:space="preserve">10.1021/acs.jpcc.0c02616</t>
  </si>
  <si>
    <t xml:space="preserve">{"power conversion efficiency": {"entity_name": "PCE", "entity_start": 182, "entity_end": 182, "property_value_start": 185, "property_value_end": 186, "property_numeric_value": 10.82,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</si>
  <si>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10.1021/acs.jpcc.8b04093</t>
  </si>
  <si>
    <t xml:space="preserve">PFS</t>
  </si>
  <si>
    <t xml:space="preserve">['PFS', 'PFB']</t>
  </si>
  <si>
    <t xml:space="preserve">{"power conversion efficiency": {"entity_name": "PCE", "entity_start": 223, "entity_end": 223, "property_value_start": 225, "property_value_end": 226, "property_numeric_value": 9.54,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</si>
  <si>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PFSF</t>
  </si>
  <si>
    <t xml:space="preserve">['PFSF']</t>
  </si>
  <si>
    <t xml:space="preserve">{"power conversion efficiency": {"entity_name": "PCE", "entity_start": 247, "entity_end": 247, "property_value_start": 249, "property_value_end": 250, "property_numeric_value": 10.2,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</si>
  <si>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10.1021/ja207429s</t>
  </si>
  <si>
    <t xml:space="preserve">poly(3,4-dialkylterthiophenes)</t>
  </si>
  <si>
    <t xml:space="preserve">['poly(3,4-dialkylterthiophenes)', 'P34ATs', 'P34AT']</t>
  </si>
  <si>
    <t xml:space="preserve">{"power conversion efficiency": {"entity_name": "power conversion efficiencies", "entity_start": 135, "entity_end": 137, "property_value_start": 139, "property_value_end": 140, "property_numeric_value": 4.2,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</si>
  <si>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10.1021/ja206610u</t>
  </si>
  <si>
    <t xml:space="preserve">{"power conversion efficiency": {"entity_name": "power conversion efficiency", "entity_start": 31, "entity_end": 33, "property_value_start": 35, "property_value_end": 36, "property_numeric_value": 6.3, "property_unit": "%", "property_value_descriptor": ""}, "open circuit voltage": {}, "short circuit current": {}, "fill factor": {}, "highest occupied molecular orbital": {}, "lowest unoccupied molecular orbital": {}, "bandgap": {"entity_name": "optical band gap", "entity_start": 52, "entity_end": 54, "property_value_start": 56, "property_value_end": 57, "property_numeric_value": 1.5, "property_unit": "eV", "property_value_descriptor": ""}, "hole mobility": {}, "electron mobility": {}, "external quantum efficiency": {}}</t>
  </si>
  <si>
    <t xml:space="preserve">10.1021/acssuschemeng.8b03005</t>
  </si>
  <si>
    <t xml:space="preserve">{"power conversion efficiency": {"entity_name": "PCE", "entity_start": 110, "entity_end": 110, "property_value_start": 129, "property_value_end": 130, "property_numeric_value": 10.11,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</si>
  <si>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164, "entity_end": 164, "property_value_start": 173, "property_value_end": 174, "property_numeric_value": 9.6,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</si>
  <si>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10.1021/acssuschemeng.8b01599</t>
  </si>
  <si>
    <t xml:space="preserve">cellulose</t>
  </si>
  <si>
    <t xml:space="preserve">[*]OC1C(CO)OC([*])C(O)C1O</t>
  </si>
  <si>
    <t xml:space="preserve">['cellulose', 'O-(2,3-Dihydroxypropyl) cellulose', 'DHPC']</t>
  </si>
  <si>
    <t xml:space="preserve">{"power conversion efficiency": {"entity_name": "power conversion efficiency", "entity_start": 189, "entity_end": 191, "property_value_start": 201, "property_value_end": 202, "property_numeric_value": 4.98,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</si>
  <si>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10.1021/acs.chemrev.6b00176</t>
  </si>
  <si>
    <t xml:space="preserve">{"power conversion efficiency": {"entity_name": "PCE", "entity_start": 98, "entity_end": 98, "property_value_start": 100, "property_value_end": 101, "property_numeric_value": 11.21,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</si>
  <si>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10.1021/acs.accounts.7b00293</t>
  </si>
  <si>
    <t xml:space="preserve">{"power conversion efficiency": {"entity_name": "PCEs", "entity_start": 54, "entity_end": 54, "property_value_start": 57, "property_value_end": 58, "property_numeric_value": 12.0, "property_unit": "%", "property_value_descriptor": ""}, "open circuit voltage": {}, "short circuit current": {}, "fill factor": {"entity_name": "FFs", "entity_start": 385, "entity_end": 385, "property_value_start": 387, "property_value_end": 390, "property_numeric_value": 73.5, "property_unit": "%", "property_value_descriptor": "-"}, "highest occupied molecular orbital": {}, "lowest unoccupied molecular orbital": {}, "bandgap": {}, "hole mobility": {}, "electron mobility": {}, "external quantum efficiency": {}}</t>
  </si>
  <si>
    <t xml:space="preserve">10.1021/ar900061z</t>
  </si>
  <si>
    <t xml:space="preserve">poly(para-phenylene vinylene)s</t>
  </si>
  <si>
    <t xml:space="preserve">['poly(para-phenylene vinylene)s', 'PPVs']</t>
  </si>
  <si>
    <t xml:space="preserve">{"power conversion efficiency": {"entity_name": "power conversion efficiencies", "entity_start": 157, "entity_end": 159, "property_value_start": 162, "property_value_end": 163, "property_numeric_value": 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</si>
  <si>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10.1021/acs.accounts.5b00334</t>
  </si>
  <si>
    <t xml:space="preserve">{"power conversion efficiency": {"entity_name": "PCEs", "entity_start": 52, "entity_end": 52, "property_value_start": 79, "property_value_end": 80, "property_numeric_value": 11.0,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</si>
  <si>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10.1038/nmat1909</t>
  </si>
  <si>
    <t xml:space="preserve">fulleren</t>
  </si>
  <si>
    <t xml:space="preserve">['fulleren']</t>
  </si>
  <si>
    <t xml:space="preserve">{"power conversion efficiency": {"entity_name": "power-conversion efficiency", "entity_start": 137, "entity_end": 140, "property_value_start": 145, "property_value_end": 146, "property_numeric_value": 4.1, "property_unit": "%", "property_value_descriptor": ""}, "open circuit voltage": {}, "short circuit current": {}, "fill factor": {}, "highest occupied molecular orbital": {}, "lowest unoccupied molecular orbital": {}, "bandgap": {"entity_name": "bandgap", "entity_start": 115, "entity_end": 115, "property_value_start": 117, "property_value_end": 118, "property_numeric_value": 1.85, "property_unit": "eV", "property_value_descriptor": ""}, "hole mobility": {}, "electron mobility": {}, "external quantum efficiency": {}}</t>
  </si>
  <si>
    <t xml:space="preserve">10.1038/nmat2102</t>
  </si>
  <si>
    <t xml:space="preserve">{"power conversion efficiency": {"entity_name": "power conversion efficiency", "entity_start": 95, "entity_end": 97, "property_value_start": 107, "property_value_end": 110, "property_numeric_value": 4.5,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</si>
  <si>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10.1038/s41598-017-08613-7</t>
  </si>
  <si>
    <t xml:space="preserve">{"power conversion efficiency": {"entity_name": "PCE", "entity_start": 133, "entity_end": 133, "property_value_start": 136, "property_value_end": 137, "property_numeric_value": 8.85,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</si>
  <si>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PFN</t>
  </si>
  <si>
    <t xml:space="preserve">['PFN']</t>
  </si>
  <si>
    <t xml:space="preserve">{"power conversion efficiency": {"entity_name": "PCE", "entity_start": 183, "entity_end": 183, "property_value_start": 188, "property_value_end": 189, "property_numeric_value": 9.17,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</si>
  <si>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10.1038/s41598-019-48306-x</t>
  </si>
  <si>
    <t xml:space="preserve">{"power conversion efficiency": {"entity_name": "power conversion efficiency", "entity_start": 67, "entity_end": 69, "property_value_start": 71, "property_value_end": 72, "property_numeric_value": 8.18,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</si>
  <si>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10.1039/c3ee42297f</t>
  </si>
  <si>
    <t xml:space="preserve">PiI2 T</t>
  </si>
  <si>
    <t xml:space="preserve">['PiI2 T']</t>
  </si>
  <si>
    <t xml:space="preserve">{"power conversion efficiency": {"entity_name": "power conversion efficiency", "entity_start": 38, "entity_end": 40, "property_value_start": 54, "property_value_end": 55, "property_numeric_value": 5.55,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</si>
  <si>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10.1039/c3ee41328d</t>
  </si>
  <si>
    <t xml:space="preserve">} PBDTTPD</t>
  </si>
  <si>
    <t xml:space="preserve">['} PBDTTPD']</t>
  </si>
  <si>
    <t xml:space="preserve">{"power conversion efficiency": {"entity_name": "PCE", "entity_start": 19, "entity_end": 19, "property_value_start": 24, "property_value_end": 25, "property_numeric_value": 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</si>
  <si>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10.1039/c8ee00215k</t>
  </si>
  <si>
    <t xml:space="preserve">{"power conversion efficiency": {"entity_name": "PCE", "entity_start": 142, "entity_end": 142, "property_value_start": 144, "property_value_end": 145, "property_numeric_value": 11.92, "property_unit": "%", "property_value_descriptor": ""}, "open circuit voltage": {"entity_name": "open-circuit voltage", "entity_start": 133, "entity_end": 136, "property_value_start": 138, "property_value_end": 139, "property_numeric_value": 0.915, "property_unit": "V", "property_value_descriptor": ""}, "short circuit current": {"entity_name": "short-circuit current density", "entity_start": 93, "entity_end": 97, "property_value_start": 99, "property_value_end": 102, "property_numeric_value": 17.44, "property_unit": "mA cm^{-2}", "property_value_descriptor": ""}, "fill factor": {"entity_name": "FF", "entity_start": 198, "entity_end": 198, "property_value_start": 200, "property_value_end": 201, "property_numeric_value": 76.5,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</si>
  <si>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IDT6CN-M</t>
  </si>
  <si>
    <t xml:space="preserve">CCCCCCc%15ccc(C7(c1ccc(CCCCCC)cc1)c2cc%10c(cc2c6sc5cc(C=c4c(=O)c3cc(C)ccc3c4=C(C#N)C#N)sc5c67)C(c8ccc(CCCCCC)cc8)(c9ccc(CCCCCC)cc9)c%13c%10sc%14cc(C=c%12c(=O)c%11c(C)cccc%11c%12=C(C#N)C#N)sc%13%14)cc%15</t>
  </si>
  <si>
    <t xml:space="preserve">['IDT6CN-M']</t>
  </si>
  <si>
    <t xml:space="preserve">10.1039/c4ee03424d</t>
  </si>
  <si>
    <t xml:space="preserve">{"power conversion efficiency": {"entity_name": "PCEs", "entity_start": 121, "entity_end": 121, "property_value_start": 126, "property_value_end": 127, "property_numeric_value": 6.31, "property_unit": "%", "property_value_descriptor": ""}, "open circuit voltage": {}, "short circuit current": {}, "fill factor": {}, "highest occupied molecular orbital": {}, "lowest unoccupied molecular orbital": {"entity_name": "LUMO energy", "entity_start": 50, "entity_end": 51, "property_value_start": 54, "property_value_end": 55, "property_numeric_value": -3.82, "property_unit": "eV", "property_value_descriptor": ""}, "bandgap": {}, "hole mobility": {}, "electron mobility": {"entity_name": "electron mobility", "entity_start": 67, "entity_end": 68, "property_value_start": 70, "property_value_end": 78, "property_numeric_value": 0.00021, "property_unit": "cm^{2} V^{-1} s^{-1}", "property_value_descriptor": ""}, "external quantum efficiency": {}}</t>
  </si>
  <si>
    <t xml:space="preserve">10.1039/c5ee03045e</t>
  </si>
  <si>
    <t xml:space="preserve">['[6,6]-phenyl C71 butyric acid methyl ester', 'PC_{71}BM']</t>
  </si>
  <si>
    <t xml:space="preserve">{"power conversion efficiency": {"entity_name": "PCE", "entity_start": 153, "entity_end": 153, "property_value_start": 155, "property_value_end": 156, "property_numeric_value": 10.08,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</si>
  <si>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10.1039/c3ee00015j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</si>
  <si>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204, "entity_end": 205, "property_value_start": 207, "property_value_end": 213, "property_numeric_value": 10.5, "property_unit": "cm^{2} V^{-1} s^{-1}", "property_value_descriptor": ""}, "electron mobility": {"entity_name": "electron mobility", "entity_start": 220, "entity_end": 221, "property_value_start": 223, "property_value_end": 229, "property_numeric_value": 3.0, "property_unit": "cm^{2} V^{-1} s^{-1}", "property_value_descriptor": ""}, "external quantum efficiency": {}}</t>
  </si>
  <si>
    <t xml:space="preserve">10.1039/c3ee40481a</t>
  </si>
  <si>
    <t xml:space="preserve">PPV</t>
  </si>
  <si>
    <t xml:space="preserve">{"power conversion efficiency": {"entity_name": "power conversion efficiency", "entity_start": 202, "entity_end": 204, "property_value_start": 206, "property_value_end": 207, "property_numeric_value": 4.76, "property_unit": "%", "property_value_descriptor": ""}, "open circuit voltage": {}, "short circuit current": {"entity_name": "J_{sc}", "entity_start": 213, "entity_end": 214, "property_value_start": 217, "property_value_end": 219, "property_numeric_value": 16.08,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</si>
  <si>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10.1039/c4ee02990a</t>
  </si>
  <si>
    <t xml:space="preserve">{"power conversion efficiency": {"entity_name": "power conversion efficiency", "entity_start": 64, "entity_end": 66, "property_value_start": 68, "property_value_end": 69, "property_numeric_value": 6.3, "property_unit": "%", "property_value_descriptor": ""}, "open circuit voltage": {"entity_name": "V_{OC}", "entity_start": 55, "entity_end": 56, "property_value_start": 58, "property_value_end": 59, "property_numeric_value": 0.98,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</si>
  <si>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10.1039/c6ee01623e</t>
  </si>
  <si>
    <t xml:space="preserve">{"power conversion efficiency": {"entity_name": "power conversion efficiency", "entity_start": 43, "entity_end": 45, "property_value_start": 47, "property_value_end": 49, "property_numeric_value": 10.0, "property_unit": "%", "property_value_descriptor": "&gt;"},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</si>
  <si>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Poly[(5,6-difluoro-2,1,3-benzothiadiazol-4,7-diyl)-alt-(3,3'''-di(2-octyldodecyl)-2,2';5',2'';5'',2'''-quaterthiophen-5,5-diyl)]</t>
  </si>
  <si>
    <t xml:space="preserve">["Poly[(5,6-difluoro-2,1,3-benzothiadiazol-4,7-diyl)-alt-(3,3'''-di(2-octyldodecyl)-2,2';5',2'';5'',2'''-quaterthiophen-5,5-diyl)]"]</t>
  </si>
  <si>
    <t xml:space="preserve">{"power conversion efficiency": {"entity_name": "PCE", "entity_start": 142, "entity_end": 142, "property_value_start": 144, "property_value_end": 145, "property_numeric_value": 9.5,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</si>
  <si>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10.1039/c6ta07364f</t>
  </si>
  <si>
    <t xml:space="preserve">benzo[1,2-b:4,5-b']dithiophene-2,6-dicarboxylate</t>
  </si>
  <si>
    <t xml:space="preserve">{"power conversion efficiency": {"entity_name": "PCE", "entity_start": 165, "entity_end": 165, "property_value_start": 168, "property_value_end": 169, "property_numeric_value": 7.49, "property_unit": "%", "property_value_descriptor": ""}, "open circuit voltage": {"entity_name": "V_{oc}", "entity_start": 204, "entity_end": 205, "property_value_start": 207, "property_value_end": 208, "property_numeric_value": 1.0,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</si>
  <si>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10.1039/c9ta06107j</t>
  </si>
  <si>
    <t xml:space="preserve">CDABP</t>
  </si>
  <si>
    <t xml:space="preserve">['CDABP']</t>
  </si>
  <si>
    <t xml:space="preserve">{"power conversion efficiency": {"entity_name": "PCE", "entity_start": 136, "entity_end": 136, "property_value_start": 139, "property_value_end": 140, "property_numeric_value": 5.28, "property_unit": "%", "property_value_descriptor": ""}, "open circuit voltage": {}, "short circuit current": {"entity_name": "short circuit current", "entity_start": 144, "entity_end": 146, "property_value_start": 148, "property_value_end": 151, "property_numeric_value": 10.77, "property_unit": "mA cm^{-2}", "property_value_descriptor": ""}, "fill factor": {"entity_name": "fill factor", "entity_start": 154, "entity_end": 155, "property_value_start": 167, "property_value_end": 168, "property_numeric_value": 2.62,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</si>
  <si>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10.1039/c8ta12398e</t>
  </si>
  <si>
    <t xml:space="preserve">{"power conversion efficiency": {"entity_name": "power conversion efficiency", "entity_start": 155, "entity_end": 157, "property_value_start": 176, "property_value_end": 177, "property_numeric_value": 12.12,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</si>
  <si>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10.1039/c3ta13406g</t>
  </si>
  <si>
    <t xml:space="preserve">Pa</t>
  </si>
  <si>
    <t xml:space="preserve">['Pa', 'Pc']</t>
  </si>
  <si>
    <t xml:space="preserve">{"power conversion efficiency": {"entity_name": "PCE", "entity_start": 72, "entity_end": 72, "property_value_start": 75, "property_value_end": 76, "property_numeric_value": 3.47, "property_unit": "%", "property_value_descriptor": ""}, "open circuit voltage": {}, "short circuit current": {}, "fill factor": {}, "highest occupied molecular orbital": {}, "lowest unoccupied molecular orbital": {}, "bandgap": {"entity_name": "band gaps", "entity_start": 27, "entity_end": 28, "property_value_start": 34, "property_value_end": 35, "property_numeric_value": 2.21, "property_unit": "eV", "property_value_descriptor": ""}, "hole mobility": {}, "electron mobility": {}, "external quantum efficiency": {}}</t>
  </si>
  <si>
    <t xml:space="preserve">{"power conversion efficiency": {"entity_name": "PCE", "entity_start": 95, "entity_end": 95, "property_value_start": 97, "property_value_end": 98, "property_numeric_value": 4.54, "property_unit": "%", "property_value_descriptor": ""}, "open circuit voltage": {}, "short circuit current": {}, "fill factor": {}, "highest occupied molecular orbital": {}, "lowest unoccupied molecular orbital": {}, "bandgap": {"entity_name": "band gap", "entity_start": 124, "entity_end": 125, "property_value_start": 127, "property_value_end": 128, "property_numeric_value": 2.1, "property_unit": "eV", "property_value_descriptor": ""}, "hole mobility": {}, "electron mobility": {}, "external quantum efficiency": {}}</t>
  </si>
  <si>
    <t xml:space="preserve">10.1039/c5ta07111a</t>
  </si>
  <si>
    <t xml:space="preserve">{"power conversion efficiency": {"entity_name": "power conversion efficiency", "entity_start": 201, "entity_end": 203, "property_value_start": 205, "property_value_end": 206, "property_numeric_value": 5.1,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</si>
  <si>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10.1039/c9ta08636f</t>
  </si>
  <si>
    <t xml:space="preserve">benzo[1,2-b:4,5-b']di(cyclopenta[2,1-b:3,4-b']dithiophene)</t>
  </si>
  <si>
    <t xml:space="preserve">{"power conversion efficiency": {"entity_name": "PCE", "entity_start": 187, "entity_end": 187, "property_value_start": 189, "property_value_end": 190, "property_numeric_value": 12.3, "property_unit": "%", "property_value_descriptor": ""}, "open circuit voltage": {}, "short circuit current": {}, "fill factor": {}, "highest occupied molecular orbital": {}, "lowest unoccupied molecular orbital": {"entity_name": "LUMO", "entity_start": 95, "entity_end": 96, "property_value_start": 98, "property_value_end": 99, "property_numeric_value": -3.9, "property_unit": "eV", "property_value_descriptor": ""}, "bandgap": {"entity_name": "optical band gap", "entity_start": 78, "entity_end": 80, "property_value_start": 82, "property_value_end": 83, "property_numeric_value": 1.49, "property_unit": "eV", "property_value_descriptor": ""}, "hole mobility": {}, "electron mobility": {"entity_name": "electron mobility", "entity_start": 103, "entity_end": 104, "property_value_start": 106, "property_value_end": 114, "property_numeric_value": 0.00021, "property_unit": "cm^{2} V^{-1} s^{-1}", "property_value_descriptor": ""}, "external quantum efficiency": {}}</t>
  </si>
  <si>
    <t xml:space="preserve">10.1039/c5ta04905a</t>
  </si>
  <si>
    <t xml:space="preserve">{"power conversion efficiency": {"entity_name": "PCE", "entity_start": 80, "entity_end": 80, "property_value_start": 84, "property_value_end": 85, "property_numeric_value": 8.2,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</si>
  <si>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152, "entity_end": 152, "property_value_start": 154, "property_value_end": 155, "property_numeric_value": 8.7,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</si>
  <si>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10.1039/c8ta12224e</t>
  </si>
  <si>
    <t xml:space="preserve">PBDS-TZ</t>
  </si>
  <si>
    <t xml:space="preserve">['PBDS-TZ']</t>
  </si>
  <si>
    <t xml:space="preserve">{"power conversion efficiency": {"entity_name": "PCE", "entity_start": 177, "entity_end": 177, "property_value_start": 179, "property_value_end": 180, "property_numeric_value": 12.01, "property_unit": "%", "property_value_descriptor": ""}, "open circuit voltage": {}, "short circuit current": {"entity_name": "J_{SC}", "entity_start": 190, "entity_end": 191, "property_value_start": 193, "property_value_end": 196, "property_numeric_value": 20.45, "property_unit": "mA cm^{-2}", "property_value_descriptor": ""}, "fill factor": {"entity_name": "FF", "entity_start": 185, "entity_end": 185, "property_value_start": 187, "property_value_end": 188, "property_numeric_value": 73.1,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</si>
  <si>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10.1039/c6ta06911h</t>
  </si>
  <si>
    <t xml:space="preserve">polyethyleneimine</t>
  </si>
  <si>
    <t xml:space="preserve">['polyethyleneimine']</t>
  </si>
  <si>
    <t xml:space="preserve">{"power conversion efficiency": {"entity_name": "power conversion efficiency", "entity_start": 107, "entity_end": 109, "property_value_start": 111, "property_value_end": 112, "property_numeric_value": 10.1,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</si>
  <si>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10.1039/c7ta02391j</t>
  </si>
  <si>
    <t xml:space="preserve">{"power conversion efficiency": {"entity_name": "power conversion efficiency", "entity_start": 83, "entity_end": 85, "property_value_start": 87, "property_value_end": 89, "property_numeric_value": 10.0, "property_unit": "%", "property_value_descriptor": "&gt;"},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</si>
  <si>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10.1039/c6ta09607g</t>
  </si>
  <si>
    <t xml:space="preserve">{"power conversion efficiency": {"entity_name": "power conversion efficiencies", "entity_start": 61, "entity_end": 63, "property_value_start": 70, "property_value_end": 71, "property_numeric_value": 7.19,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</si>
  <si>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10.1039/c7ta00495h</t>
  </si>
  <si>
    <t xml:space="preserve">{"power conversion efficiency": {"entity_name": "power conversion efficiency", "entity_start": 52, "entity_end": 54, "property_value_start": 56, "property_value_end": 57, "property_numeric_value": 7.92,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</si>
  <si>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10.1039/c4ta00525b</t>
  </si>
  <si>
    <t xml:space="preserve">DTPs</t>
  </si>
  <si>
    <t xml:space="preserve">{"power conversion efficiency": {}, "open circuit voltage": {"entity_name": "V_{oc}", "entity_start": 121, "entity_end": 122, "property_value_start": 125, "property_value_end": 126, "property_numeric_value": 0.8,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</si>
  <si>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10.1039/c7ta02557b</t>
  </si>
  <si>
    <t xml:space="preserve">{"power conversion efficiency": {"entity_name": "power conversion efficiency", "entity_start": 197, "entity_end": 199, "property_value_start": 201, "property_value_end": 202, "property_numeric_value": 7.21,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</si>
  <si>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10.1039/c7ta05627c</t>
  </si>
  <si>
    <t xml:space="preserve">{"power conversion efficiency": {"entity_name": "power conversion efficiency", "entity_start": 214, "entity_end": 216, "property_value_start": 218, "property_value_end": 219, "property_numeric_value": 9.4,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</si>
  <si>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10.1039/c3ta13204h</t>
  </si>
  <si>
    <t xml:space="preserve">{"power conversion efficiency": {"entity_name": "power conversion efficiencies", "entity_start": 175, "entity_end": 177, "property_value_start": 186, "property_value_end": 187, "property_numeric_value": 3.76,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</si>
  <si>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10.1039/c8ta02467g</t>
  </si>
  <si>
    <t xml:space="preserve">{"power conversion efficiency": {"entity_name": "power conversion efficiency", "entity_start": 13, "entity_end": 15, "property_value_start": 22, "property_value_end": 23, "property_numeric_value": 13.0, "property_unit": "%", "property_value_descriptor": ""}, "open circuit voltage": {}, "short circuit current": {}, "fill factor": {"entity_name": "fill factors", "entity_start": 272, "entity_end": 273, "property_value_start": 275, "property_value_end": 277, "property_numeric_value": 60.0, "property_unit": "%", "property_value_descriptor": "&gt;"}, "highest occupied molecular orbital": {}, "lowest unoccupied molecular orbital": {}, "bandgap": {}, "hole mobility": {}, "electron mobility": {}, "external quantum efficiency": {}}</t>
  </si>
  <si>
    <t xml:space="preserve">10.1039/c4ta03202k</t>
  </si>
  <si>
    <t xml:space="preserve">{"power conversion efficiency": {"entity_name": "power conversion efficiencies", "entity_start": 58, "entity_end": 60, "property_value_start": 63, "property_value_end": 64, "property_numeric_value": 0.22,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</si>
  <si>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10.1039/c4ta03536d</t>
  </si>
  <si>
    <t xml:space="preserve">{"power conversion efficiency": {"entity_name": "power conversion efficiency", "entity_start": 45, "entity_end": 47, "property_value_start": 50, "property_value_end": 51, "property_numeric_value": 4.96,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</si>
  <si>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10.1039/c4ta05703a</t>
  </si>
  <si>
    <t xml:space="preserve">{"power conversion efficiency": {"entity_name": "power conversion efficiencies", "entity_start": 84, "entity_end": 86, "property_value_start": 88, "property_value_end": 89, "property_numeric_value": 5.2,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</si>
  <si>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10.1039/c5ta08507a</t>
  </si>
  <si>
    <t xml:space="preserve">{"power conversion efficiency": {"entity_name": "PCE", "entity_start": 75, "entity_end": 75, "property_value_start": 77, "property_value_end": 78, "property_numeric_value": 4.2,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</si>
  <si>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10.1039/c8ta11404h</t>
  </si>
  <si>
    <t xml:space="preserve">PSS2</t>
  </si>
  <si>
    <t xml:space="preserve">['PSS2', 'PSS2-based']</t>
  </si>
  <si>
    <t xml:space="preserve">{"power conversion efficiency": {"entity_name": "PCE", "entity_start": 243, "entity_end": 243, "property_value_start": 245, "property_value_end": 246, "property_numeric_value": 9.03, "property_unit": "%", "property_value_descriptor": ""}, "open circuit voltage": {"entity_name": "V_{OC}", "entity_start": 180, "entity_end": 181, "property_value_start": 183, "property_value_end": 184, "property_numeric_value": 1.033, "property_unit": "V", "property_value_descriptor": ""}, "short circuit current": {"entity_name": "J_{SC}", "entity_start": 160, "entity_end": 162, "property_value_start": 164, "property_value_end": 167, "property_numeric_value": 15.7, "property_unit": "mA cm^{-2}", "property_value_descriptor": ""}, "fill factor": {"entity_name": "FF", "entity_start": 173, "entity_end": 173, "property_value_start": 176, "property_value_end": 177, "property_numeric_value": 58.3,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</si>
  <si>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PSS3</t>
  </si>
  <si>
    <t xml:space="preserve">['PSS3']</t>
  </si>
  <si>
    <t xml:space="preserve">{"power conversion efficiency": {"entity_name": "PCE", "entity_start": 217, "entity_end": 217, "property_value_start": 219, "property_value_end": 220, "property_numeric_value": 4.74, "property_unit": "%", "property_value_descriptor": ""}, "open circuit voltage": {"entity_name": "V_{OC}", "entity_start": 224, "entity_end": 225, "property_value_start": 227, "property_value_end": 228, "property_numeric_value": 1.138,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</si>
  <si>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10.1039/c5ta02376a</t>
  </si>
  <si>
    <t xml:space="preserve">{"power conversion efficiency": {"entity_name": "power conversion efficiencies", "entity_start": 49, "entity_end": 51, "property_value_start": 55, "property_value_end": 56, "property_numeric_value": 7.5, "property_unit": "%", "property_value_descriptor": ""}, "open circuit voltage": {}, "short circuit current": {"entity_name": "J_{sc}", "entity_start": 65, "entity_end": 66, "property_value_start": 68, "property_value_end": 72, "property_numeric_value": 18.2,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</si>
  <si>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10.1039/c3ta10537g</t>
  </si>
  <si>
    <t xml:space="preserve">{"power conversion efficiency": {"entity_name": "power conversion efficiency", "entity_start": 121, "entity_end": 123, "property_value_start": 125, "property_value_end": 126, "property_numeric_value": 8.54, "property_unit": "%", "property_value_descriptor": ""}, "open circuit voltage": {}, "short circuit current": {}, "fill factor": {"entity_name": "fill factor", "entity_start": 130, "entity_end": 131, "property_value_start": 133, "property_value_end": 134, "property_numeric_value": 73.0,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</si>
  <si>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10.1039/c3ta00122a</t>
  </si>
  <si>
    <t xml:space="preserve">{"power conversion efficiency": {"entity_name": "PCEs", "entity_start": 79, "entity_end": 79, "property_value_start": 83, "property_value_end": 86, "property_numeric_value": 4.375, "property_unit": "%", "property_value_descriptor": "to"},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</si>
  <si>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10.1039/c3ta13762g</t>
  </si>
  <si>
    <t xml:space="preserve">{"power conversion efficiency": {"entity_name": "PCE", "entity_start": 91, "entity_end": 91, "property_value_start": 100, "property_value_end": 101, "property_numeric_value": 7.46,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</si>
  <si>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10.1039/d0ta02271c</t>
  </si>
  <si>
    <t xml:space="preserve">{"power conversion efficiency": {"entity_name": "PCE", "entity_start": 238, "entity_end": 238, "property_value_start": 260, "property_value_end": 261, "property_numeric_value": 12.35,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</si>
  <si>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10.1039/c4ta04102j</t>
  </si>
  <si>
    <t xml:space="preserve">{"power conversion efficiency": {"entity_name": "PCE", "entity_start": 227, "entity_end": 227, "property_value_start": 230, "property_value_end": 231, "property_numeric_value": 6.8,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</si>
  <si>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10.1039/c9ta01195a</t>
  </si>
  <si>
    <t xml:space="preserve">["poly[(2,6-(4,8-bis(5-(2-ethylhexyl)thiophen-2-yl)-benzo[1,2-b:4,5-b']dithiophene))-alt-(5,5-(1',3'-di-2-thienyl-5',7'-bis(2-ethylhexyl)benzo[1',2'-c:4',5'-c']dithiophene-4,8-dione))]", 'PBDB']</t>
  </si>
  <si>
    <t xml:space="preserve">{"power conversion efficiency": {"entity_name": "power conversion efficiency", "entity_start": 174, "entity_end": 176, "property_value_start": 181, "property_value_end": 182, "property_numeric_value": 9.02,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</si>
  <si>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10.1039/c8ta12481g</t>
  </si>
  <si>
    <t xml:space="preserve">PBTA-PS</t>
  </si>
  <si>
    <t xml:space="preserve">['PBTA-PS']</t>
  </si>
  <si>
    <t xml:space="preserve">{"power conversion efficiency": {"entity_name": "power conversion efficiency", "entity_start": 44, "entity_end": 46, "property_value_start": 48, "property_value_end": 49, "property_numeric_value": 13.27, "property_unit": "%", "property_value_descriptor": ""}, "open circuit voltage": {}, "short circuit current": {"entity_name": "J_{SC}", "entity_start": 58, "entity_end": 59, "property_value_start": 62, "property_value_end": 65, "property_numeric_value": 19.6, "property_unit": "mA cm^{-2}", "property_value_descriptor": ""}, "fill factor": {"entity_name": "fill factor", "entity_start": 69, "entity_end": 70, "property_value_start": 72, "property_value_end": 73, "property_numeric_value": 74.45,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</si>
  <si>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10.1039/c7ta10763c</t>
  </si>
  <si>
    <t xml:space="preserve">BDTIT-M</t>
  </si>
  <si>
    <t xml:space="preserve">['BDTIT-M', 'BDTIT-M.']</t>
  </si>
  <si>
    <t xml:space="preserve">{"power conversion efficiency": {"entity_name": "PCE", "entity_start": 124, "entity_end": 124, "property_value_start": 126, "property_value_end": 127, "property_numeric_value": 12.12,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</si>
  <si>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10.1039/c5ta07357j</t>
  </si>
  <si>
    <t xml:space="preserve">{"power conversion efficiency": {"entity_name": "PCE", "entity_start": 125, "entity_end": 125, "property_value_start": 127, "property_value_end": 128,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</si>
  <si>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10.1039/c3ta15378a</t>
  </si>
  <si>
    <t xml:space="preserve">{"power conversion efficiency": {"entity_name": "PCE", "entity_start": 147, "entity_end": 147, "property_value_start": 160, "property_value_end": 161, "property_numeric_value": 5.93,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</si>
  <si>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240, "entity_end": 240, "property_value_start": 258, "property_value_end": 259, "property_numeric_value": 4.26,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</si>
  <si>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10.1039/c8ta12530a</t>
  </si>
  <si>
    <t xml:space="preserve">{"power conversion efficiency": {"entity_name": "PCEs", "entity_start": 209, "entity_end": 209, "property_value_start": 212, "property_value_end": 213, "property_numeric_value": 9.0,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</si>
  <si>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10.1039/c8ta11197a</t>
  </si>
  <si>
    <t xml:space="preserve">SePTTT-2F</t>
  </si>
  <si>
    <t xml:space="preserve">['SePTTT-2F']</t>
  </si>
  <si>
    <t xml:space="preserve">{"power conversion efficiency": {"entity_name": "PCE", "entity_start": 231, "entity_end": 231, "property_value_start": 233, "property_value_end": 234, "property_numeric_value": 12.24, "property_unit": "%", "property_value_descriptor": ""}, "open circuit voltage": {}, "short circuit current": {}, "fill factor": {"entity_name": "FF", "entity_start": 236, "entity_end": 236, "property_value_start": 238, "property_value_end": 239, "property_numeric_value": 75.9,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</si>
  <si>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10.1039/c9ta03188j</t>
  </si>
  <si>
    <t xml:space="preserve">{"power conversion efficiency": {"entity_name": "PCE", "entity_start": 183, "entity_end": 183, "property_value_start": 185, "property_value_end": 186, "property_numeric_value": 11.43,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</si>
  <si>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10.1039/c5ta07205k</t>
  </si>
  <si>
    <t xml:space="preserve">PBDTT-TANT</t>
  </si>
  <si>
    <t xml:space="preserve">['PBDTT-TANT']</t>
  </si>
  <si>
    <t xml:space="preserve">{"power conversion efficiency": {"entity_name": "PCE", "entity_start": 332, "entity_end": 332, "property_value_start": 334, "property_value_end": 335, "property_numeric_value": 8.04,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</si>
  <si>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10.1039/c9ta02900a</t>
  </si>
  <si>
    <t xml:space="preserve">PH1000</t>
  </si>
  <si>
    <t xml:space="preserve">['PH1000']</t>
  </si>
  <si>
    <t xml:space="preserve">{"power conversion efficiency": {"entity_name": "PCE", "entity_start": 123, "entity_end": 123, "property_value_start": 126, "property_value_end": 127, "property_numeric_value": 12.35,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</si>
  <si>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{"entity_name": "V_{oc}", "entity_start": 149, "entity_end": 150, "property_value_start": 153, "property_value_end": 154, "property_numeric_value": 0.885, "property_unit": "V", "property_value_descriptor": ""}, "short circuit current": {"entity_name": "J_{sc}", "entity_start": 162, "entity_end": 163, "property_value_start": 166, "property_value_end": 169, "property_numeric_value": 19.13, "property_unit": "mA cm^{-2}", "property_value_descriptor": ""}, "fill factor": {"entity_name": "FF", "entity_start": 176, "entity_end": 176, "property_value_start": 179, "property_value_end": 180, "property_numeric_value": 72.92,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</si>
  <si>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10.1039/c4ta03421j</t>
  </si>
  <si>
    <t xml:space="preserve">['phenyl-C61-butyric acid methyl ester', 'PC_{61}BM']</t>
  </si>
  <si>
    <t xml:space="preserve">{"power conversion efficiency": {"entity_name": "PCE", "entity_start": 118, "entity_end": 118, "property_value_start": 120, "property_value_end": 121, "property_numeric_value": 80.0, "property_unit": "%", "property_value_descriptor": ""}, "open circuit voltage": {}, "short circuit current": {}, "fill factor": {"entity_name": "FF", "entity_start": 113, "entity_end": 113, "property_value_start": 115, "property_value_end": 116, "property_numeric_value": 28.0,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</si>
  <si>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10.1039/c8ta07544a</t>
  </si>
  <si>
    <t xml:space="preserve">PTBF_{EH}-BDD</t>
  </si>
  <si>
    <t xml:space="preserve">[*]c%10cc9c(c1ccc(CC(CC)CCCC)s1)c7sc(c6ccc(c4sc(c2ccc([*])s2)c5c(=O)c3c(CC(CC)CCCC)sc(CC(CC)CCCC)c3c(=O)c45)s6)cc7c(c8ccc(CC(CC)CCCC)s8)c9o%10</t>
  </si>
  <si>
    <t xml:space="preserve">['PTBF_{EH}-BDD', 'PTBFS_{EH}-BDD']</t>
  </si>
  <si>
    <t xml:space="preserve">{"power conversion efficiency": {"entity_name": "PCE", "entity_start": 151, "entity_end": 151, "property_value_start": 154, "property_value_end": 155, "property_numeric_value": 11.13, "property_unit": "%", "property_value_descriptor": ""}, "open circuit voltage": {"entity_name": "V_{OC}", "entity_start": 167, "entity_end": 168, "property_value_start": 170, "property_value_end": 171, "property_numeric_value": 0.893, "property_unit": "V", "property_value_descriptor": ""}, "short circuit current": {"entity_name": "J_{SC}", "entity_start": 158, "entity_end": 159, "property_value_start": 161, "property_value_end": 164, "property_numeric_value": 17.76, "property_unit": "mA cm^{-2}", "property_value_descriptor": ""}, "fill factor": {"entity_name": "FF", "entity_start": 175, "entity_end": 175, "property_value_start": 177, "property_value_end": 178, "property_numeric_value": 70.16,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</si>
  <si>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10.1039/c8ta00581h</t>
  </si>
  <si>
    <t xml:space="preserve">{"power conversion efficiency": {"entity_name": "PCE", "entity_start": 138, "entity_end": 138, "property_value_start": 141, "property_value_end": 142, "property_numeric_value": 8.21,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</si>
  <si>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10.1039/c6ta00957c</t>
  </si>
  <si>
    <t xml:space="preserve">{"power conversion efficiency": {"entity_name": "power conversion efficiency", "entity_start": 107, "entity_end": 109, "property_value_start": 114, "property_value_end": 115, "property_numeric_value": 8.38,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</si>
  <si>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10.1039/c8ta04657c</t>
  </si>
  <si>
    <t xml:space="preserve">['polydimethylsiloxane', 'SWA-PDMS']</t>
  </si>
  <si>
    <t xml:space="preserve">{"power conversion efficiency": {"entity_name": "power conversion efficiency", "entity_start": 183, "entity_end": 185, "property_value_start": 196, "property_value_end": 197, "property_numeric_value": 8.52,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</si>
  <si>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10.1039/c8ta08679f</t>
  </si>
  <si>
    <t xml:space="preserve">{"power conversion efficiency": {"entity_name": "PCE", "entity_start": 237, "entity_end": 237, "property_value_start": 243, "property_value_end": 244, "property_numeric_value": 0.9, "property_unit": "%", "property_value_descriptor": ""}, "open circuit voltage": {"entity_name": "V_{OC}", "entity_start": 251, "entity_end": 252, "property_value_start": 255, "property_value_end": 256, "property_numeric_value": 0.8,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</si>
  <si>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10.1039/c7ta01143a</t>
  </si>
  <si>
    <t xml:space="preserve">DTCC</t>
  </si>
  <si>
    <t xml:space="preserve">['DTCC', 'IC', 'IC']</t>
  </si>
  <si>
    <t xml:space="preserve">{"power conversion efficiency": {"entity_name": "PCE", "entity_start": 312, "entity_end": 312, "property_value_start": 317, "property_value_end": 318, "property_numeric_value": 6.0, "property_unit": "%", "property_value_descriptor": ""}, "open circuit voltage": {"entity_name": "V_{OC}", "entity_start": 323, "entity_end": 324, "property_value_start": 326, "property_value_end": 327, "property_numeric_value": 0.95, "property_unit": "V", "property_value_descriptor": ""}, "short circuit current": {}, "fill factor": {}, "highest occupied molecular orbital": {}, "lowest unoccupied molecular orbital": {"entity_name": "LUMO energy levels", "entity_start": 192, "entity_end": 194, "property_value_start": 200, "property_value_end": 203, "property_numeric_value": -4.6850000000000005, "property_unit": "eV", "property_value_descriptor": "and"}, "bandgap": {}, "hole mobility": {}, "electron mobility": {"entity_name": "electron mobility", "entity_start": 212, "entity_end": 213, "property_value_start": 215, "property_value_end": 224, "property_numeric_value": 0.00217, "property_unit": "cm^{2} V^{-1} s^{-1}", "property_value_descriptor": ""}, "external quantum efficiency": {}}</t>
  </si>
  <si>
    <t xml:space="preserve">10.1039/c9ta10610c</t>
  </si>
  <si>
    <t xml:space="preserve">PBTA-PS-F</t>
  </si>
  <si>
    <t xml:space="preserve">['PBTA-PS-F', 'D1-A-D2-A']</t>
  </si>
  <si>
    <t xml:space="preserve">{"power conversion efficiency": {"entity_name": "power conversion efficiency", "entity_start": 173, "entity_end": 175, "property_value_start": 177, "property_value_end": 178, "property_numeric_value": 13.48,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</si>
  <si>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10.1039/c3ta14590e</t>
  </si>
  <si>
    <t xml:space="preserve">{"power conversion efficiency": {"entity_name": "power conversion efficiency", "entity_start": 189, "entity_end": 191, "property_value_start": 193, "property_value_end": 194, "property_numeric_value": 12.0,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</si>
  <si>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10.1039/c7ta02590d</t>
  </si>
  <si>
    <t xml:space="preserve">PCPDT-T</t>
  </si>
  <si>
    <t xml:space="preserve">[*]c4ccc(c1cc3c(s1)c2sc([*])cc2C3(CCCCS(=O)(=O)O[K])CCCCS(=O)(=O)O[K])s4</t>
  </si>
  <si>
    <t xml:space="preserve">['PCPDT-T']</t>
  </si>
  <si>
    <t xml:space="preserve">{"power conversion efficiency": {"entity_name": "power conversion efficiencies", "entity_start": 168, "entity_end": 170, "property_value_start": 172, "property_value_end": 173, "property_numeric_value": 7.1,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</si>
  <si>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10.1039/c8ta11420j</t>
  </si>
  <si>
    <t xml:space="preserve">{"power conversion efficiency": {"entity_name": "PCE", "entity_start": 130, "entity_end": 130, "property_value_start": 133, "property_value_end": 134, "property_numeric_value": 8.4,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</si>
  <si>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10.1039/c9ta07493g</t>
  </si>
  <si>
    <t xml:space="preserve">poly-(styrenesulfonate)</t>
  </si>
  <si>
    <t xml:space="preserve">['poly-(styrenesulfonate)', 'PH1000']</t>
  </si>
  <si>
    <t xml:space="preserve">{"power conversion efficiency": {"entity_name": "PCE", "entity_start": 118, "entity_end": 118, "property_value_start": 121, "property_value_end": 122, "property_numeric_value": 13.44, "property_unit": "%", "property_value_descriptor": ""}, "open circuit voltage": {"entity_name": "V_{oc}", "entity_start": 129, "entity_end": 131, "property_value_start": 133, "property_value_end": 134, "property_numeric_value": 0.829, "property_unit": "V", "property_value_descriptor": ""}, "short circuit current": {"entity_name": "J_{sc}", "entity_start": 143, "entity_end": 145, "property_value_start": 147, "property_value_end": 150, "property_numeric_value": 23.2, "property_unit": "mA cm^{-2}", "property_value_descriptor": ""}, "fill factor": {"entity_name": "FF", "entity_start": 156, "entity_end": 156, "property_value_start": 159, "property_value_end": 160, "property_numeric_value": 69.82,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</si>
  <si>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10.1039/d0ta00651c</t>
  </si>
  <si>
    <t xml:space="preserve">IPTBO-4Cl</t>
  </si>
  <si>
    <t xml:space="preserve">['IPTBO-4Cl']</t>
  </si>
  <si>
    <t xml:space="preserve">{"power conversion efficiency": {"entity_name": "PCE", "entity_start": 174, "entity_end": 174, "property_value_start": 176, "property_value_end": 177, "property_numeric_value": 15.0,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</si>
  <si>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10.1039/c9ta00907h</t>
  </si>
  <si>
    <t xml:space="preserve">{"power conversion efficiency": {"entity_name": "PCE", "entity_start": 206, "entity_end": 206, "property_value_start": 208, "property_value_end": 209, "property_numeric_value": 27.1,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</si>
  <si>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10.1039/c4ta06054g</t>
  </si>
  <si>
    <t xml:space="preserve">PCPDTQx</t>
  </si>
  <si>
    <t xml:space="preserve">['PCPDTQx']</t>
  </si>
  <si>
    <t xml:space="preserve">{"power conversion efficiency": {"entity_name": "power conversion efficiency", "entity_start": 127, "entity_end": 129, "property_value_start": 131, "property_value_end": 132, "property_numeric_value": 5.26, "property_unit": "%", "property_value_descriptor": ""}, "open circuit voltage": {"entity_name": "open-circuit voltage", "entity_start": 141, "entity_end": 144, "property_value_start": 146, "property_value_end": 147, "property_numeric_value": 0.83, "property_unit": "V", "property_value_descriptor": ""}, "short circuit current": {"entity_name": "short-circuit current density", "entity_start": 150, "entity_end": 154, "property_value_start": 156, "property_value_end": 159, "property_numeric_value": 11.58, "property_unit": "mA cm^{-2}", "property_value_descriptor": ""}, "fill factor": {"entity_name": "fill factor", "entity_start": 162, "entity_end": 163, "property_value_start": 165, "property_value_end": 166, "property_numeric_value": 55.0,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</si>
  <si>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10.1039/c7ta09837e</t>
  </si>
  <si>
    <t xml:space="preserve">{"power conversion efficiency": {"entity_name": "PCE", "entity_start": 241, "entity_end": 241, "property_value_start": 243, "property_value_end": 244, "property_numeric_value": 8.81,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</si>
  <si>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248, "entity_end": 248, "property_value_start": 252, "property_value_end": 253, "property_numeric_value": 6.91,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</si>
  <si>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10.1039/c3ta12420g</t>
  </si>
  <si>
    <t xml:space="preserve">{"power conversion efficiency": {"entity_name": "power conversion efficiency", "entity_start": 117, "entity_end": 119, "property_value_start": 121, "property_value_end": 122, "property_numeric_value": 7.5, "property_unit": "%", "property_value_descriptor": ""}, "open circuit voltage": {"entity_name": "V_{oc}", "entity_start": 110, "entity_end": 111, "property_value_start": 112, "property_value_end": 114, "property_numeric_value": 0.9, "property_unit": "V", "property_value_descriptor": "~"},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</si>
  <si>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10.1039/c8ta03753a</t>
  </si>
  <si>
    <t xml:space="preserve">HF-PCIC</t>
  </si>
  <si>
    <t xml:space="preserve">['HF-PCIC', 'OF-PCIC']</t>
  </si>
  <si>
    <t xml:space="preserve">{"power conversion efficiency": {"entity_name": "PCE", "entity_start": 196, "entity_end": 196, "property_value_start": 198, "property_value_end": 199, "property_numeric_value": 11.49,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</si>
  <si>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10.1039/c8ta11378e</t>
  </si>
  <si>
    <t xml:space="preserve">{"power conversion efficiency": {"entity_name": "power conversion efficiency", "entity_start": 135, "entity_end": 137, "property_value_start": 139, "property_value_end": 140, "property_numeric_value": 11.6, "property_unit": "%", "property_value_descriptor": ""}, "open circuit voltage": {"entity_name": "V_{OC}", "entity_start": 142, "entity_end": 143, "property_value_start": 145, "property_value_end": 146, "property_numeric_value": 0.82, "property_unit": "V", "property_value_descriptor": ""}, "short circuit current": {"entity_name": "J_{SC}", "entity_start": 148, "entity_end": 149, "property_value_start": 151, "property_value_end": 154, "property_numeric_value": 19.6, "property_unit": "mA cm^{-2}", "property_value_descriptor": ""}, "fill factor": {"entity_name": "FF", "entity_start": 157, "entity_end": 157, "property_value_start": 159, "property_value_end": 159, "property_numeric_value": 72.0,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</si>
  <si>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10.1039/c4tc02092h</t>
  </si>
  <si>
    <t xml:space="preserve">dialkoxybenzothiadiazole</t>
  </si>
  <si>
    <t xml:space="preserve">{"power conversion efficiency": {"entity_name": "PCE", "entity_start": 260, "entity_end": 260, "property_value_start": 262, "property_value_end": 263, "property_numeric_value": 5.63,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</si>
  <si>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P1-P4</t>
  </si>
  <si>
    <t xml:space="preserve">['P1-P4']</t>
  </si>
  <si>
    <t xml:space="preserve">{"power conversion efficiency": {"entity_name": "PCE", "entity_start": 235, "entity_end": 235, "property_value_start": 237, "property_value_end": 238, "property_numeric_value": 5.34,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</si>
  <si>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10.1039/c9tc02296a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</si>
  <si>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bandgaps", "entity_start": 111, "entity_end": 112, "property_value_start": 117, "property_value_end": 120, "property_numeric_value": 2.0300000000000002, "property_unit": "eV", "property_value_descriptor": "-"}, "hole mobility": {}, "electron mobility": {}, "external quantum efficiency": {}}</t>
  </si>
  <si>
    <t xml:space="preserve">10.1039/c7tc02566a</t>
  </si>
  <si>
    <t xml:space="preserve">FBT-TH4</t>
  </si>
  <si>
    <t xml:space="preserve">['FBT-TH4']</t>
  </si>
  <si>
    <t xml:space="preserve">{"power conversion efficiency": {"entity_name": "power conversion efficiency", "entity_start": 47, "entity_end": 49, "property_value_start": 53, "property_value_end": 54, "property_numeric_value": 9.56,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</si>
  <si>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10.1039/c5tc03754a</t>
  </si>
  <si>
    <t xml:space="preserve">poly[(9,9-bis(3'-(N,N-dimethylamino)propyl)-2,7-fluorene)-alt-2,7-(9,9-dioctyl-fluorene)]</t>
  </si>
  <si>
    <t xml:space="preserve">["poly[(9,9-bis(3'-(N,N-dimethylamino)propyl)-2,7-fluorene)-alt-2,7-(9,9-dioctyl-fluorene)]", 'PFN']</t>
  </si>
  <si>
    <t xml:space="preserve">{"power conversion efficiency": {"entity_name": "PCE", "entity_start": 126, "entity_end": 126, "property_value_start": 133, "property_value_end": 134, "property_numeric_value": 9.2,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</si>
  <si>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10.1039/c8tc02701c</t>
  </si>
  <si>
    <t xml:space="preserve">PBDB-T.</t>
  </si>
  <si>
    <t xml:space="preserve">['PBDB-T.']</t>
  </si>
  <si>
    <t xml:space="preserve">{"power conversion efficiency": {"entity_name": "power conversion efficiencies", "entity_start": 80, "entity_end": 82, "property_value_start": 84, "property_value_end": 85, "property_numeric_value": 9.0,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</si>
  <si>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10.1039/c6tc01045h</t>
  </si>
  <si>
    <t xml:space="preserve">{"power conversion efficiency": {"entity_name": "power conversion efficiencies", "entity_start": 30, "entity_end": 32, "property_value_start": 35, "property_value_end": 36, "property_numeric_value": 1.4, "property_unit": "%", "property_value_descriptor": ""}, "open circuit voltage": {}, "short circuit current": {}, "fill factor": {}, "highest occupied molecular orbital": {}, "lowest unoccupied molecular orbital": {"entity_name": "LUMO level", "entity_start": 15, "entity_end": 16, "property_value_start": 18, "property_value_end": 19, "property_numeric_value": -4.56, "property_unit": "eV", "property_value_descriptor": ""}, "bandgap": {}, "hole mobility": {}, "electron mobility": {}, "external quantum efficiency": {}}</t>
  </si>
  <si>
    <t xml:space="preserve">10.1039/c9tc01039d</t>
  </si>
  <si>
    <t xml:space="preserve">{"power conversion efficiency": {"entity_name": "PCE", "entity_start": 139, "entity_end": 139, "property_value_start": 141, "property_value_end": 142, "property_numeric_value": 8.55,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</si>
  <si>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10.1039/c9tc03457a</t>
  </si>
  <si>
    <t xml:space="preserve">T1</t>
  </si>
  <si>
    <t xml:space="preserve">['T1']</t>
  </si>
  <si>
    <t xml:space="preserve">{"power conversion efficiency": {"entity_name": "PCE", "entity_start": 193, "entity_end": 193, "property_value_start": 195, "property_value_end": 196, "property_numeric_value": 7.58, "property_unit": "%", "property_value_descriptor": ""}, "open circuit voltage": {"entity_name": "V_{OC}", "entity_start": 88, "entity_end": 90, "property_value_start": 92, "property_value_end": 93, "property_numeric_value": 0.98,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</si>
  <si>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PM-PDI_{3}</t>
  </si>
  <si>
    <t xml:space="preserve">['PM-PDI_{3}', 'PM-PDI_{4}']</t>
  </si>
  <si>
    <t xml:space="preserve">{"power conversion efficiency": {"entity_name": "PCE", "entity_start": 127, "entity_end": 127, "property_value_start": 140, "property_value_end": 141, "property_numeric_value": 3.26, "property_unit": "%", "property_value_descriptor": ""}, "open circuit voltage": {}, "short circuit current": {"entity_name": "J_{SC}", "entity_start": 102, "entity_end": 104, "property_value_start": 106, "property_value_end": 109, "property_numeric_value": 11.02, "property_unit": "mA cm^{-2}", "property_value_descriptor": ""}, "fill factor": {"entity_name": "FF", "entity_start": 116, "entity_end": 116, "property_value_start": 119, "property_value_end": 120, "property_numeric_value": 69.9,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</si>
  <si>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10.1039/c9tc04014e</t>
  </si>
  <si>
    <t xml:space="preserve">BTP</t>
  </si>
  <si>
    <t xml:space="preserve">{"power conversion efficiency": {"entity_name": "power conversion efficiency", "entity_start": 133, "entity_end": 135, "property_value_start": 139, "property_value_end": 140, "property_numeric_value": 9.54,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</si>
  <si>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10.1039/c7tc01329a</t>
  </si>
  <si>
    <t xml:space="preserve">PBDTPH-DTQx</t>
  </si>
  <si>
    <t xml:space="preserve">['PBDTPH-DTQx', 'PBDTPHO-DTQx']</t>
  </si>
  <si>
    <t xml:space="preserve">{"power conversion efficiency": {"entity_name": "PCE", "entity_start": 76, "entity_end": 76, "property_value_start": 87, "property_value_end": 88, "property_numeric_value": 5.6, "property_unit": "%", "property_value_descriptor": ""}, "open circuit voltage": {"entity_name": "V_{OC}", "entity_start": 92, "entity_end": 93, "property_value_start": 95, "property_value_end": 96, "property_numeric_value": 0.7, "property_unit": "V", "property_value_descriptor": ""}, "short circuit current": {"entity_name": "J_{SC}", "entity_start": 98, "entity_end": 99, "property_value_start": 101, "property_value_end": 104, "property_numeric_value": 11.89, "property_unit": "mA cm^{-2}", "property_value_descriptor": ""}, "fill factor": {"entity_name": "FF", "entity_start": 106, "entity_end": 106, "property_value_start": 108, "property_value_end": 109, "property_numeric_value": 67.3,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</si>
  <si>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10.1039/c3tc32430c</t>
  </si>
  <si>
    <t xml:space="preserve">poly(vinyl alcohol)</t>
  </si>
  <si>
    <t xml:space="preserve">[*]CC([*])O</t>
  </si>
  <si>
    <t xml:space="preserve">['poly(vinyl alcohol)', 'PVA']</t>
  </si>
  <si>
    <t xml:space="preserve">{"power conversion efficiency": {"entity_name": "PCE", "entity_start": 58, "entity_end": 58, "property_value_start": 91, "property_value_end": 92, "property_numeric_value": 2.58,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</si>
  <si>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10.1039/c4tc01500b</t>
  </si>
  <si>
    <t xml:space="preserve">DT</t>
  </si>
  <si>
    <t xml:space="preserve">['DT']</t>
  </si>
  <si>
    <t xml:space="preserve">{"power conversion efficiency": {"entity_name": "power conversion efficiencies", "entity_start": 150, "entity_end": 152, "property_value_start": 156, "property_value_end": 157, "property_numeric_value": 2.2,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mobilities", "entity_start": 130, "entity_end": 131, "property_value_start": 133, "property_value_end": 139, "property_numeric_value": 0.07, "property_unit": "cm^{2} V^{-1} s^{-1}", "property_value_descriptor": ""}, "electron mobility": {}, "external quantum efficiency": {}}</t>
  </si>
  <si>
    <t xml:space="preserve">10.1039/c7tc00706j</t>
  </si>
  <si>
    <t xml:space="preserve">PhITBD</t>
  </si>
  <si>
    <t xml:space="preserve">['PhITBD']</t>
  </si>
  <si>
    <t xml:space="preserve">{"power conversion efficiency": {"entity_name": "PCE", "entity_start": 52, "entity_end": 52, "property_value_start": 55, "property_value_end": 56, "property_numeric_value": 6.57,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</si>
  <si>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10.1039/c8tc05764h</t>
  </si>
  <si>
    <t xml:space="preserve">{"power conversion efficiency": {"entity_name": "PCE", "entity_start": 251, "entity_end": 251, "property_value_start": 255, "property_value_end": 256, "property_numeric_value": 5.2,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</si>
  <si>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10.1039/c3tc31859a</t>
  </si>
  <si>
    <t xml:space="preserve">PV-D4610</t>
  </si>
  <si>
    <t xml:space="preserve">['PV-D4610']</t>
  </si>
  <si>
    <t xml:space="preserve">{"power conversion efficiency": {"entity_name": "PCE", "entity_start": 294, "entity_end": 294, "property_value_start": 296, "property_value_end": 297, "property_numeric_value": 1.6,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</si>
  <si>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10.1039/c9tc02141h</t>
  </si>
  <si>
    <t xml:space="preserve">{"power conversion efficiency": {"entity_name": "PCE", "entity_start": 238, "entity_end": 238, "property_value_start": 240, "property_value_end": 241, "property_numeric_value": 8.0, "property_unit": "%", "property_value_descriptor": ""}, "open circuit voltage": {"entity_name": "V_{oc}", "entity_start": 246, "entity_end": 247, "property_value_start": 249, "property_value_end": 250, "property_numeric_value": 1.05, "property_unit": "V", "property_value_descriptor": ""}, "short circuit current": {}, "fill factor": {}, "highest occupied molecular orbital": {"entity_name": "HOMO", "entity_start": 192, "entity_end": 192, "property_value_start": 195, "property_value_end": 196, "property_numeric_value": -5.73, "property_unit": "eV", "property_value_descriptor": ""}, "lowest unoccupied molecular orbital": {}, "bandgap": {}, "hole mobility": {}, "electron mobility": {}, "external quantum efficiency": {}}</t>
  </si>
  <si>
    <t xml:space="preserve">10.1039/c3tc32520b</t>
  </si>
  <si>
    <t xml:space="preserve">{"power conversion efficiency": {"entity_name": "power conversion efficiency", "entity_start": 11, "entity_end": 13, "property_value_start": 15, "property_value_end": 16, "property_numeric_value": 8.7,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</si>
  <si>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10.1039/c8tc02021c</t>
  </si>
  <si>
    <t xml:space="preserve">PdC8ThDT</t>
  </si>
  <si>
    <t xml:space="preserve">[*]/C=C(C#N)/c8cc(OCCCCCCCC)c(/C(C#N)=C/c7ccc(c6cc5c(c1cc(CCCCCCCC)c(CCCCCCCC)s1)c3sc(c2ccc([*])s2)cc3c(c4cc(CCCCCCCC)c(CCCCCCCC)s4)c5s6)s7)cc8OCCCCCCCC</t>
  </si>
  <si>
    <t xml:space="preserve">['PdC8ThDT']</t>
  </si>
  <si>
    <t xml:space="preserve">{"power conversion efficiency": {"entity_name": "PCE", "entity_start": 150, "entity_end": 150, "property_value_start": 152, "property_value_end": 153, "property_numeric_value": 8.54,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</si>
  <si>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10.1039/c9tc03534f</t>
  </si>
  <si>
    <t xml:space="preserve">{"power conversion efficiency": {"entity_name": "PCEs", "entity_start": 254, "entity_end": 254, "property_value_start": 257, "property_value_end": 258, "property_numeric_value": 12.0, "property_unit": "%", "property_value_descriptor": ""}, "open circuit voltage": {"entity_name": "V_{OC}", "entity_start": 118, "entity_end": 119, "property_value_start": 121, "property_value_end": 122, "property_numeric_value": 0.83, "property_unit": "V", "property_value_descriptor": ""}, "short circuit current": {"entity_name": "J_{SC}", "entity_start": 125, "entity_end": 126, "property_value_start": 128, "property_value_end": 131, "property_numeric_value": 21.6, "property_unit": "mA cm^{-2}", "property_value_descriptor": ""}, "fill factor": {"entity_name": "FF", "entity_start": 134, "entity_end": 134, "property_value_start": 136, "property_value_end": 136, "property_numeric_value": 74.6,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</si>
  <si>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10.1039/d0tc00075b</t>
  </si>
  <si>
    <t xml:space="preserve">{"power conversion efficiency": {"entity_name": "PCE", "entity_start": 226, "entity_end": 226, "property_value_start": 246, "property_value_end": 247, "property_numeric_value": 13.1,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</si>
  <si>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10.1039/c6tc03771b</t>
  </si>
  <si>
    <t xml:space="preserve">poly[(9,9-bis(4-sulfonatobutyl sodium) fluorene-alt-phenylene)-ran-(4,7-di-2-thienyl-2,1,3-benzothiadiazole-alt-phenylene)]</t>
  </si>
  <si>
    <t xml:space="preserve">['poly[(9,9-bis(4-sulfonatobutyl sodium) fluorene-alt-phenylene)-ran-(4,7-di-2-thienyl-2,1,3-benzothiadiazole-alt-phenylene)]']</t>
  </si>
  <si>
    <t xml:space="preserve">{"power conversion efficiency": {"entity_name": "power conversion efficiency", "entity_start": 121, "entity_end": 123, "property_value_start": 135, "property_value_end": 136, "property_numeric_value": 5.26,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</si>
  <si>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10.1039/c9tc05358a</t>
  </si>
  <si>
    <t xml:space="preserve">{"power conversion efficiency": {"entity_name": "power conversion efficiency", "entity_start": 214, "entity_end": 216, "property_value_start": 244, "property_value_end": 245, "property_numeric_value": 9.94,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</si>
  <si>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10.1039/c9tc06238f</t>
  </si>
  <si>
    <t xml:space="preserve">['PTQ10', 'PTQ10:9b']</t>
  </si>
  <si>
    <t xml:space="preserve">{"power conversion efficiency": {"entity_name": "PCE", "entity_start": 156, "entity_end": 156, "property_value_start": 159, "property_value_end": 160, "property_numeric_value": 6.25, "property_unit": "%", "property_value_descriptor": ""}, "open circuit voltage": {}, "short circuit current": {}, "fill factor": {}, "highest occupied molecular orbital": {}, "lowest unoccupied molecular orbital": {"entity_name": "lowest unoccupied molecular orbital energy levels", "entity_start": 94, "entity_end": 99, "property_value_start": 101, "property_value_end": 104, "property_numeric_value": -3.8449999999999998, "property_unit": "eV", "property_value_descriptor": "to"}, "bandgap": {}, "hole mobility": {}, "electron mobility": {}, "external quantum efficiency": {}}</t>
  </si>
  <si>
    <t xml:space="preserve">10.1039/d0tc00087f</t>
  </si>
  <si>
    <t xml:space="preserve">{"power conversion efficiency": {"entity_name": "PCE", "entity_start": 181, "entity_end": 181, "property_value_start": 211, "property_value_end": 212, "property_numeric_value": 4.3,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</si>
  <si>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10.1039/c5mh00056d</t>
  </si>
  <si>
    <t xml:space="preserve">['perylene', 'perylene bisimide', 'PBI']</t>
  </si>
  <si>
    <t xml:space="preserve">{"power conversion efficiency": {"entity_name": "PCE", "entity_start": 35, "entity_end": 35, "property_value_start": 40, "property_value_end": 41, "property_numeric_value": 9.11,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</si>
  <si>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10.1039/c3cc47868h</t>
  </si>
  <si>
    <t xml:space="preserve">{"power conversion efficiency": {"entity_name": "Power conversion efficiencies", "entity_start": 25, "entity_end": 27, "property_value_start": 29, "property_value_end": 32, "property_numeric_value": 4.7, "property_unit": "%", "property_value_descriptor": "-"}, "open circuit voltage": {"entity_name": "open-circuit voltages", "entity_start": 35, "entity_end": 38, "property_value_start": 40, "property_value_end": 43, "property_numeric_value": 0.865, "property_unit": "V", "property_value_descriptor": "-"},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</si>
  <si>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10.1039/b927350f</t>
  </si>
  <si>
    <t xml:space="preserve">{"power conversion efficiency": {"entity_name": "PCE", "entity_start": 45, "entity_end": 45, "property_value_start": 48, "property_value_end": 49, "property_numeric_value": 2.0, "property_unit": "%", "property_value_descriptor": "~"}, "open circuit voltage": {}, "short circuit current": {"entity_name": "J_{sc}", "entity_start": 60, "entity_end": 61, "property_value_start": 63, "property_value_end": 65, "property_numeric_value": 4.8, "property_unit": "mA cm^{-2}", "property_value_descriptor": "~"}, "fill factor": {}, "highest occupied molecular orbital": {}, "lowest unoccupied molecular orbital": {}, "bandgap": {"entity_name": "bandgap", "entity_start": 13, "entity_end": 13, "property_value_start": 15, "property_value_end": 16, "property_numeric_value": 1.6, "property_unit": "eV", "property_value_descriptor": "~"}, "hole mobility": {}, "electron mobility": {}, "external quantum efficiency": {}}</t>
  </si>
  <si>
    <t xml:space="preserve">10.1039/c7cc09348a</t>
  </si>
  <si>
    <t xml:space="preserve">{"power conversion efficiency": {"entity_name": "power conversion efficiency", "entity_start": 108, "entity_end": 110, "property_value_start": 112, "property_value_end": 113, "property_numeric_value": 5.55,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</si>
  <si>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10.1039/b921691j</t>
  </si>
  <si>
    <t xml:space="preserve">PAT4</t>
  </si>
  <si>
    <t xml:space="preserve">['PAT4', 'PAT4-based']</t>
  </si>
  <si>
    <t xml:space="preserve">{"power conversion efficiency": {"entity_name": "power conversion efficiencies", "entity_start": 58, "entity_end": 60, "property_value_start": 62, "property_value_end": 63, "property_numeric_value": 1.7,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36, "entity_end": 37, "property_value_start": 45, "property_value_end": 50, "property_numeric_value": 0.037, "property_unit": "cm^{2} V^{-1} s^{-1}", "property_value_descriptor": ""}, "electron mobility": {}, "external quantum efficiency": {}}</t>
  </si>
  <si>
    <t xml:space="preserve">10.1039/c0cc00098a</t>
  </si>
  <si>
    <t xml:space="preserve">PBDTDPT1</t>
  </si>
  <si>
    <t xml:space="preserve">[*]C5=CC4C(OCCCCCCCCCCCC)=c3sc(c1sc([*])c2c(=O)n(CC(CCCCCCCC)CCCCCCCCCC)c(=O)c12)cc3=C(OCCCCCCCCCCCC)C4S5</t>
  </si>
  <si>
    <t xml:space="preserve">['PBDTDPT1']</t>
  </si>
  <si>
    <t xml:space="preserve">{"power conversion efficiency": {}, "open circuit voltage": {}, "short circuit current": {}, "fill factor": {}, "highest occupied molecular orbital": {"entity_name": "HOMO levels", "entity_start": 26, "entity_end": 27, "property_value_start": 31, "property_value_end": 32, "property_numeric_value": -5.44, "property_unit": "eV", "property_value_descriptor": ""}, "lowest unoccupied molecular orbital": {}, "bandgap": {}, "hole mobility": {}, "electron mobility": {}, "external quantum efficiency": {}}</t>
  </si>
  <si>
    <t xml:space="preserve">PBDTDPT2</t>
  </si>
  <si>
    <t xml:space="preserve">['PBDTDPT2']</t>
  </si>
  <si>
    <t xml:space="preserve">{"power conversion efficiency": {"entity_name": "PCE", "entity_start": 49, "entity_end": 49, "property_value_start": 51, "property_value_end": 52, "property_numeric_value": 4.79, "property_unit": "%", "property_value_descriptor": ""}, "open circuit voltage": {"entity_name": "V_{oc}", "entity_start": 54, "entity_end": 55, "property_value_start": 57, "property_value_end": 58, "property_numeric_value": 0.91,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</si>
  <si>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10.1039/c1cc12851e</t>
  </si>
  <si>
    <t xml:space="preserve">{"power conversion efficiency": {"entity_name": "power conversion efficiency", "entity_start": 46, "entity_end": 48, "property_value_start": 50, "property_value_end": 51,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</si>
  <si>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10.1039/c1cc13477a</t>
  </si>
  <si>
    <t xml:space="preserve">{"power conversion efficiency": {"entity_name": "power conversion efficiency", "entity_start": 40, "entity_end": 42, "property_value_start": 45, "property_value_end": 46, "property_numeric_value": 5.88, "property_unit": "%", "property_value_descriptor": ""}, "open circuit voltage": {}, "short circuit current": {}, "fill factor": {"entity_name": "fill factor", "entity_start": 50, "entity_end": 51, "property_value_start": 53, "property_value_end": 54, "property_numeric_value": 71.6,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</si>
  <si>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10.1039/b811031j</t>
  </si>
  <si>
    <t xml:space="preserve">{"power conversion efficiency": {"entity_name": "power conversion efficiencies", "entity_start": 33, "entity_end": 35, "property_value_start": 37, "property_value_end": 38, "property_numeric_value": 3.6,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</si>
  <si>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10.1039/c6ra01204c</t>
  </si>
  <si>
    <t xml:space="preserve">{"power conversion efficiency": {"entity_name": "PCE", "entity_start": 40, "entity_end": 40, "property_value_start": 43, "property_value_end": 44, "property_numeric_value": 7.5,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</si>
  <si>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10.1039/c4ra16855k</t>
  </si>
  <si>
    <t xml:space="preserve">{"power conversion efficiency": {"entity_name": "PCE", "entity_start": 235, "entity_end": 235, "property_value_start": 237, "property_value_end": 238, "property_numeric_value": 3.38,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</si>
  <si>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10.1039/c5ra22418g</t>
  </si>
  <si>
    <t xml:space="preserve">poly(methyl-methacrylate)</t>
  </si>
  <si>
    <t xml:space="preserve">[*]CC([*])(C)C(=O)OC</t>
  </si>
  <si>
    <t xml:space="preserve">['poly(methyl-methacrylate)', 'PMMA']</t>
  </si>
  <si>
    <t xml:space="preserve">{"power conversion efficiency": {"entity_name": "PCE", "entity_start": 145, "entity_end": 145, "property_value_start": 147, "property_value_end": 148, "property_numeric_value": 8.9,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</si>
  <si>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10.1039/c5ra23109d</t>
  </si>
  <si>
    <t xml:space="preserve">{"power conversion efficiency": {"entity_name": "PCE", "entity_start": 215, "entity_end": 215, "property_value_start": 217, "property_value_end": 218, "property_numeric_value": 12.82, "property_unit": "%", "property_value_descriptor": ""}, "open circuit voltage": {"entity_name": "V_{oc}", "entity_start": 202, "entity_end": 203, "property_value_start": 205, "property_value_end": 206, "property_numeric_value": 0.524, "property_unit": "V", "property_value_descriptor": ""}, "short circuit current": {"entity_name": "J_{sc}", "entity_start": 194, "entity_end": 195, "property_value_start": 197, "property_value_end": 200, "property_numeric_value": 36.8, "property_unit": "mA cm^{-2}", "property_value_descriptor": ""}, "fill factor": {"entity_name": "FF", "entity_start": 208, "entity_end": 208, "property_value_start": 210, "property_value_end": 211, "property_numeric_value": 66.5,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</si>
  <si>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10.1039/c5ra23693b</t>
  </si>
  <si>
    <t xml:space="preserve">{"power conversion efficiency": {"entity_name": "power conversion efficiency", "entity_start": 140, "entity_end": 142, "property_value_start": 144, "property_value_end": 145, "property_numeric_value": 4.59, "property_unit": "%", "property_value_descriptor": ""}, "open circuit voltage": {"entity_name": "V_{oc}", "entity_start": 148, "entity_end": 149, "property_value_start": 151, "property_value_end": 152, "property_numeric_value": 0.94,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</si>
  <si>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10.1039/c5ra25088a</t>
  </si>
  <si>
    <t xml:space="preserve">carbazole</t>
  </si>
  <si>
    <t xml:space="preserve">{"power conversion efficiency": {"entity_name": "PCE", "entity_start": 146, "entity_end": 146, "property_value_start": 151, "property_value_end": 152, "property_numeric_value": 4.03, "property_unit": "%", "property_value_descriptor": ""}, "open circuit voltage": {"entity_name": "V_{OC}", "entity_start": 166, "entity_end": 167, "property_value_start": 170, "property_value_end": 171, "property_numeric_value": 1.0,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</si>
  <si>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10.1039/c8ra07884j</t>
  </si>
  <si>
    <t xml:space="preserve">{"power conversion efficiency": {"entity_name": "power conversion efficiency", "entity_start": 155, "entity_end": 157, "property_value_start": 169, "property_value_end": 170, "property_numeric_value": 5.03,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{"entity_name": "external quantum efficiency", "entity_start": 174, "entity_end": 176, "property_value_start": 179, "property_value_end": 180, "property_numeric_value": 87.01, "property_unit": "%", "property_value_descriptor": ""}}</t>
  </si>
  <si>
    <t xml:space="preserve">10.1039/c6ra04835h</t>
  </si>
  <si>
    <t xml:space="preserve">benzo[c][1,2,5]thiadiazole</t>
  </si>
  <si>
    <t xml:space="preserve">{"power conversion efficiency": {"entity_name": "power conversion efficiency", "entity_start": 119, "entity_end": 121, "property_value_start": 123, "property_value_end": 124, "property_numeric_value": 4.57,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</si>
  <si>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3,4-bis(octyloxy)-phenyl substituted benzo[1,2-b:4,5-b]dithiophene</t>
  </si>
  <si>
    <t xml:space="preserve">{"power conversion efficiency": {"entity_name": "power conversion efficiency", "entity_start": 138, "entity_end": 140, "property_value_start": 142, "property_value_end": 143, "property_numeric_value": 4.33,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</si>
  <si>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10.1039/c9ra04299g</t>
  </si>
  <si>
    <t xml:space="preserve">['polyethylenimine', 'PEI']</t>
  </si>
  <si>
    <t xml:space="preserve">{"power conversion efficiency": {"entity_name": "PCE", "entity_start": 109, "entity_end": 109, "property_value_start": 125, "property_value_end": 126, "property_numeric_value": 6.77,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</si>
  <si>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10.1039/c6ra19587c</t>
  </si>
  <si>
    <t xml:space="preserve">{"power conversion efficiency": {"entity_name": "PCE", "entity_start": 55, "entity_end": 55, "property_value_start": 65, "property_value_end": 66, "property_numeric_value": 9.22,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</si>
  <si>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10.1039/c6ra17986j</t>
  </si>
  <si>
    <t xml:space="preserve">{"power conversion efficiency": {"entity_name": "PCEs", "entity_start": 136, "entity_end": 136, "property_value_start": 139, "property_value_end": 140, "property_numeric_value": 6.1, "property_unit": "%", "property_value_descriptor": ""}, "open circuit voltage": {}, "short circuit current": {"entity_name": "J_{sc}", "entity_start": 128, "entity_end": 129, "property_value_start": 131, "property_value_end": 134, "property_numeric_value": 12.8, "property_unit": "mA cm^{-2}", "property_value_descriptor": ""}, "fill factor": {}, "highest occupied molecular orbital": {}, "lowest unoccupied molecular orbital": {}, "bandgap": {}, "hole mobility": {"entity_name": "hole mobilities", "entity_start": 71, "entity_end": 72, "property_value_start": 75, "property_value_end": 81, "property_numeric_value": 0.57, "property_unit": "cm^{2} V^{-1} s^{-1}", "property_value_descriptor": ""}, "electron mobility": {}, "external quantum efficiency": {}}</t>
  </si>
  <si>
    <t xml:space="preserve">10.1039/c7ra01311f</t>
  </si>
  <si>
    <t xml:space="preserve">BDDT</t>
  </si>
  <si>
    <t xml:space="preserve">['BDDT']</t>
  </si>
  <si>
    <t xml:space="preserve">{"power conversion efficiency": {"entity_name": "PCEs", "entity_start": 97, "entity_end": 97, "property_value_start": 110, "property_value_end": 111, "property_numeric_value": 4.52, "property_unit": "%", "property_value_descriptor": ""}, "open circuit voltage": {"entity_name": "V_{OC}", "entity_start": 125, "entity_end": 127, "property_value_start": 129, "property_value_end": 130, "property_numeric_value": 1.0, "property_unit": "V", "property_value_descriptor": "~"},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</si>
  <si>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10.1039/c7ra02473h</t>
  </si>
  <si>
    <t xml:space="preserve">{"power conversion efficiency": {"entity_name": "PCE", "entity_start": 76, "entity_end": 76, "property_value_start": 79, "property_value_end": 80, "property_numeric_value": 4.01,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</si>
  <si>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10.1039/c7ra06879d</t>
  </si>
  <si>
    <t xml:space="preserve">IDT-benzodithiophene</t>
  </si>
  <si>
    <t xml:space="preserve">['IDT-benzodithiophene', 'BDT)-ID']</t>
  </si>
  <si>
    <t xml:space="preserve">{"power conversion efficiency": {"entity_name": "PCE", "entity_start": 167, "entity_end": 167, "property_value_start": 169, "property_value_end": 170, "property_numeric_value": 5.33,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</si>
  <si>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10.1039/c3ra45473h</t>
  </si>
  <si>
    <t xml:space="preserve">{"power conversion efficiency": {"entity_name": "power conversion efficiency", "entity_start": 131, "entity_end": 133, "property_value_start": 135, "property_value_end": 136, "property_numeric_value": 6.7,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</si>
  <si>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10.1039/c3ra42263a</t>
  </si>
  <si>
    <t xml:space="preserve">PAFBToBT</t>
  </si>
  <si>
    <t xml:space="preserve">['polyalkylidene fluorene', 'PAFBToBT']</t>
  </si>
  <si>
    <t xml:space="preserve">{"power conversion efficiency": {"entity_name": "PCE", "entity_start": 156, "entity_end": 156, "property_value_start": 162, "property_value_end": 163, "property_numeric_value": 3.9,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</si>
  <si>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10.1039/c4ra02554g</t>
  </si>
  <si>
    <t xml:space="preserve">{"power conversion efficiency": {"entity_name": "power conversion efficiency", "entity_start": 153, "entity_end": 155, "property_value_start": 157, "property_value_end": 158, "property_numeric_value": 1.32, "property_unit": "%", "property_value_descriptor": ""}, "open circuit voltage": {"entity_name": "V_{oc}", "entity_start": 142, "entity_end": 143, "property_value_start": 146, "property_value_end": 147, "property_numeric_value": 0.44, "property_unit": "V", "property_value_descriptor": ""}, "short circuit current": {"entity_name": "J_{sc}", "entity_start": 128, "entity_end": 129, "property_value_start": 132, "property_value_end": 135, "property_numeric_value": 5.57,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</si>
  <si>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10.1039/c4ra07186g</t>
  </si>
  <si>
    <t xml:space="preserve">{"power conversion efficiency": {"entity_name": "power conversion efficiencies", "entity_start": 37, "entity_end": 39, "property_value_start": 42, "property_value_end": 45, "property_numeric_value": 5.0, "property_unit": "%", "property_value_descriptor": "and"},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</si>
  <si>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10.1039/c4ra10312b</t>
  </si>
  <si>
    <t xml:space="preserve">polypyrrole</t>
  </si>
  <si>
    <t xml:space="preserve">[*]c1ccc([*])[nH]1</t>
  </si>
  <si>
    <t xml:space="preserve">['polypyrrole']</t>
  </si>
  <si>
    <t xml:space="preserve">{"power conversion efficiency": {"entity_name": "power-conversion efficiency", "entity_start": 180, "entity_end": 183, "property_value_start": 187, "property_value_end": 188, "property_numeric_value": 3.8, "property_unit": "%", "property_value_descriptor": "~"}, "open circuit voltage": {"entity_name": "open-circuit voltage", "entity_start": 130, "entity_end": 133, "property_value_start": 135, "property_value_end": 137, "property_numeric_value": 1.0, "property_unit": "V", "property_value_descriptor": "&gt;"}, "short circuit current": {"entity_name": "short-circuit current", "entity_start": 140, "entity_end": 143, "property_value_start": 147, "property_value_end": 150, "property_numeric_value": 7.5,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</si>
  <si>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10.1039/c4ra09474c</t>
  </si>
  <si>
    <t xml:space="preserve">{"power conversion efficiency": {"entity_name": "power conversion efficiency", "entity_start": 303, "entity_end": 305, "property_value_start": 307, "property_value_end": 308, "property_numeric_value": 3.388,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</si>
  <si>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10.1039/c4ra09765c</t>
  </si>
  <si>
    <t xml:space="preserve">{"power conversion efficiency": {"entity_name": "PCE", "entity_start": 150, "entity_end": 150, "property_value_start": 155, "property_value_end": 156,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</si>
  <si>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10.1039/c4ra14522d</t>
  </si>
  <si>
    <t xml:space="preserve">["benzo[1,2-b:4,5-b']dithiophene"]</t>
  </si>
  <si>
    <t xml:space="preserve">{"power conversion efficiency": {"entity_name": "power conversion efficiency", "entity_start": 120, "entity_end": 122, "property_value_start": 124, "property_value_end": 125, "property_numeric_value": 6.73, "property_unit": "%", "property_value_descriptor": ""}, "open circuit voltage": {}, "short circuit current": {"entity_name": "short circuit current density", "entity_start": 129, "entity_end": 132, "property_value_start": 134, "property_value_end": 136, "property_numeric_value": 12.91,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</si>
  <si>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10.1039/c5ra01763g</t>
  </si>
  <si>
    <t xml:space="preserve">PIDTT-DFBT-EH</t>
  </si>
  <si>
    <t xml:space="preserve">['PIDTT-DFBT-EH']</t>
  </si>
  <si>
    <t xml:space="preserve">{"power conversion efficiency": {"entity_name": "PCEs", "entity_start": 74, "entity_end": 74, "property_value_start": 86, "property_value_end": 87, "property_numeric_value": 5.14,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</si>
  <si>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10.1039/c5ra04336k</t>
  </si>
  <si>
    <t xml:space="preserve">{"power conversion efficiency": {"entity_name": "power conversion efficiency", "entity_start": 131, "entity_end": 133, "property_value_start": 135, "property_value_end": 136, "property_numeric_value": 0.65, "property_unit": "%", "property_value_descriptor": ""}, "open circuit voltage": {"entity_name": "open circuit voltage", "entity_start": 139, "entity_end": 141, "property_value_start": 143, "property_value_end": 144, "property_numeric_value": 0.85, "property_unit": "V", "property_value_descriptor": ""}, "short circuit current": {"entity_name": "short-circuit current density", "entity_start": 147, "entity_end": 151, "property_value_start": 153, "property_value_end": 156, "property_numeric_value": 2.19, "property_unit": "mA cm^{-2}", "property_value_descriptor": ""}, "fill factor": {"entity_name": "fill factor", "entity_start": 160, "entity_end": 161, "property_value_start": 163, "property_value_end": 164, "property_numeric_value": 35.0,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</si>
  <si>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10.1039/c5ra02867a</t>
  </si>
  <si>
    <t xml:space="preserve">{"power conversion efficiency": {"entity_name": "power conversion efficiency", "entity_start": 155, "entity_end": 157, "property_value_start": 159, "property_value_end": 160, "property_numeric_value": 4.15,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</si>
  <si>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10.1039/c5ra05849j</t>
  </si>
  <si>
    <t xml:space="preserve">{"power conversion efficiency": {"entity_name": "PCE", "entity_start": 92, "entity_end": 92, "property_value_start": 111, "property_value_end": 112, "property_numeric_value": 1.92,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</si>
  <si>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10.1039/c5ra05991g</t>
  </si>
  <si>
    <t xml:space="preserve">{"power conversion efficiency": {"entity_name": "PCE", "entity_start": 236, "entity_end": 236, "property_value_start": 238, "property_value_end": 239, "property_numeric_value": 22.96, "property_unit": "%", "property_value_descriptor": ""}, "open circuit voltage": {}, "short circuit current": {"entity_name": "short circuit current density", "entity_start": 245, "entity_end": 248, "property_value_start": 252, "property_value_end": 255, "property_numeric_value": 27.64,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</si>
  <si>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10.1039/c5ra13488a</t>
  </si>
  <si>
    <t xml:space="preserve">polymethylmethacrylate</t>
  </si>
  <si>
    <t xml:space="preserve">['polymethylmethacrylate', 'PMMA']</t>
  </si>
  <si>
    <t xml:space="preserve">{"power conversion efficiency": {"entity_name": "power conversion efficiency", "entity_start": 92, "entity_end": 94, "property_value_start": 106, "property_value_end": 107, "property_numeric_value": 5.09,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</si>
  <si>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10.1039/c5ra21087a</t>
  </si>
  <si>
    <t xml:space="preserve">{"power conversion efficiency": {"entity_name": "power conversion efficiency", "entity_start": 194, "entity_end": 196, "property_value_start": 204, "property_value_end": 205, "property_numeric_value": 7.8,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</si>
  <si>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10.1039/c4ra00029c</t>
  </si>
  <si>
    <t xml:space="preserve">{"power conversion efficiency": {"entity_name": "power conversion efficiencies", "entity_start": 217, "entity_end": 219, "property_value_start": 234, "property_value_end": 237, "property_numeric_value": 2.52,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</si>
  <si>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10.1039/c9ra00229d</t>
  </si>
  <si>
    <t xml:space="preserve">{"power conversion efficiency": {"entity_name": "PCE", "entity_start": 159, "entity_end": 159, "property_value_start": 166, "property_value_end": 167, "property_numeric_value": 6.13,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</si>
  <si>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10.1039/b915995a</t>
  </si>
  <si>
    <t xml:space="preserve">2,7-carbazole</t>
  </si>
  <si>
    <t xml:space="preserve">{"power conversion efficiency": {"entity_name": "power conversion efficiencies", "entity_start": 215, "entity_end": 217, "property_value_start": 219, "property_value_end": 220,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</si>
  <si>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10.1039/c5cp05161d</t>
  </si>
  <si>
    <t xml:space="preserve">{"power conversion efficiency": {"entity_name": "power conversion efficiency", "entity_start": 162, "entity_end": 164, "property_value_start": 166, "property_value_end": 167, "property_numeric_value": 5.6,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</si>
  <si>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10.1039/c5cp07942j</t>
  </si>
  <si>
    <t xml:space="preserve">{"power conversion efficiency": {"entity_name": "PCE", "entity_start": 132, "entity_end": 132, "property_value_start": 134, "property_value_end": 135, "property_numeric_value": 5.4,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</si>
  <si>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10.1039/c6cp06571f</t>
  </si>
  <si>
    <t xml:space="preserve">{"power conversion efficiency": {"entity_name": "power conversion efficiency", "entity_start": 182, "entity_end": 184, "property_value_start": 213, "property_value_end": 214, "property_numeric_value": 2.81,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</si>
  <si>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10.1039/c7cp00494j</t>
  </si>
  <si>
    <t xml:space="preserve">{"power conversion efficiency": {"entity_name": "PCEs", "entity_start": 124, "entity_end": 124, "property_value_start": 126, "property_value_end": 129, "property_numeric_value": 3.0,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</si>
  <si>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10.1039/c3cp53493f</t>
  </si>
  <si>
    <t xml:space="preserve">{"power conversion efficiency": {"entity_name": "power conversion efficiency", "entity_start": 171, "entity_end": 173, "property_value_start": 175, "property_value_end": 176, "property_numeric_value": 2.84,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</si>
  <si>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10.1039/c3cp53268b</t>
  </si>
  <si>
    <t xml:space="preserve">PDTPr-1CNBT</t>
  </si>
  <si>
    <t xml:space="preserve">['PDTPr-1CNBT']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</si>
  <si>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235, "entity_end": 236, "property_value_start": 249, "property_value_end": 258, "property_numeric_value": 0.0008050000000000002, "property_unit": "cm^{2} V^{-1} s^{-1}", "property_value_descriptor": ""}, "electron mobility": {}, "external quantum efficiency": {}}</t>
  </si>
  <si>
    <t xml:space="preserve">PCPDT-1CNBT</t>
  </si>
  <si>
    <t xml:space="preserve">['PCPDT-1CNBT']</t>
  </si>
  <si>
    <t xml:space="preserve">{"power conversion efficiency": {"entity_name": "PCEs", "entity_start": 273, "entity_end": 273, "property_value_start": 279, "property_value_end": 280, "property_numeric_value": 6.8,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</si>
  <si>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10.1039/c4cp01566e</t>
  </si>
  <si>
    <t xml:space="preserve">{"power conversion efficiency": {"entity_name": "power conversion efficiencies", "entity_start": 92, "entity_end": 94, "property_value_start": 105, "property_value_end": 106, "property_numeric_value": 3.0, "property_unit": "%", "property_value_descriptor": ""}, "open circuit voltage": {"entity_name": "open-circuit voltage", "entity_start": 125, "entity_end": 128, "property_value_start": 133, "property_value_end": 134, "property_numeric_value": 0.72,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</si>
  <si>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10.1039/c5cp00349k</t>
  </si>
  <si>
    <t xml:space="preserve">{"power conversion efficiency": {"entity_name": "PCE", "entity_start": 99, "entity_end": 99, "property_value_start": 102, "property_value_end": 103, "property_numeric_value": 5.63, "property_unit": "%", "property_value_descriptor": ""}, "open circuit voltage": {}, "short circuit current": {"entity_name": "J_{sc}", "entity_start": 113, "entity_end": 114, "property_value_start": 116, "property_value_end": 119, "property_numeric_value": 10.24, "property_unit": "mA cm^{-2}", "property_value_descriptor": ""}, "fill factor": {"entity_name": "FF", "entity_start": 122, "entity_end": 122, "property_value_start": 124, "property_value_end": 125, "property_numeric_value": 66.3,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</si>
  <si>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10.1039/c3cp54096k</t>
  </si>
  <si>
    <t xml:space="preserve">PMMA</t>
  </si>
  <si>
    <t xml:space="preserve">['PMMA']</t>
  </si>
  <si>
    <t xml:space="preserve">{"power conversion efficiency": {"entity_name": "power conversion efficiencies", "entity_start": 94, "entity_end": 96, "property_value_start": 98, "property_value_end": 99, "property_numeric_value": 9.48,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</si>
  <si>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10.1039/c9cp01101c</t>
  </si>
  <si>
    <t xml:space="preserve">{"power conversion efficiency": {"entity_name": "PCE", "entity_start": 295, "entity_end": 295, "property_value_start": 297, "property_value_end": 298, "property_numeric_value": 9.1, "property_unit": "%", "property_value_descriptor": ""}, "open circuit voltage": {}, "short circuit current": {"entity_name": "short-circuit current density", "entity_start": 183, "entity_end": 187, "property_value_start": 189, "property_value_end": 192, "property_numeric_value": 19.7, "property_unit": "mA cm^{-2}", "property_value_descriptor": ""}, "fill factor": {"entity_name": "fill factor", "entity_start": 196, "entity_end": 197, "property_value_start": 199, "property_value_end": 200, "property_numeric_value": 73.9,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</si>
  <si>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10.1007/s11664-017-5706-3</t>
  </si>
  <si>
    <t xml:space="preserve">{"power conversion efficiency": {"entity_name": "PCE", "entity_start": 228, "entity_end": 228, "property_value_start": 231, "property_value_end": 232, "property_numeric_value": 0.19, "property_unit": "%", "property_value_descriptor": ""}, "open circuit voltage": {"entity_name": "V_{oc}", "entity_start": 234, "entity_end": 235, "property_value_start": 237, "property_value_end": 238, "property_numeric_value": 0.3, "property_unit": "V", "property_value_descriptor": ""}, "short circuit current": {"entity_name": "J_{sc}", "entity_start": 240, "entity_end": 241, "property_value_start": 243, "property_value_end": 246, "property_numeric_value": 1.72, "property_unit": "mA cm^{-2}", "property_value_descriptor": ""}, "fill factor": {"entity_name": "FF", "entity_start": 252, "entity_end": 252, "property_value_start": 255, "property_value_end": 256, "property_numeric_value": 37.0,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</si>
  <si>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10.1007/s10853-012-6446-7</t>
  </si>
  <si>
    <t xml:space="preserve">{"power conversion efficiency": {}, "open circuit voltage": {}, "short circuit current": {}, "fill factor": {}, "highest occupied molecular orbital": {"entity_name": "HOMO energy", "entity_start": 129, "entity_end": 130, "property_value_start": 133, "property_value_end": 136, "property_numeric_value": -5.55, "property_unit": "eV", "property_value_descriptor": "~"}, "lowest unoccupied molecular orbital": {}, "bandgap": {}, "hole mobility": {}, "electron mobility": {}, "external quantum efficiency": {}}</t>
  </si>
  <si>
    <t xml:space="preserve">PT-DTAQx</t>
  </si>
  <si>
    <t xml:space="preserve">[*]c8ccc(c7sc(c3ccc(c1cc(CCCCCCCCCCC)c([*])s1)c4nc2c6cccc5cccc(c2nc34)c56)cc7CCCCCCCCCCCC)s8</t>
  </si>
  <si>
    <t xml:space="preserve">['PT-DTAQx', 'PF-DTAQx']</t>
  </si>
  <si>
    <t xml:space="preserve">{"power conversion efficiency": {}, "open circuit voltage": {"entity_name": "V_{oc}", "entity_start": 164, "entity_end": 165, "property_value_start": 167, "property_value_end": 168, "property_numeric_value": 0.84,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</si>
  <si>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PBDT-DTAQx</t>
  </si>
  <si>
    <t xml:space="preserve">['PBDT-DTAQx']</t>
  </si>
  <si>
    <t xml:space="preserve">{"power conversion efficiency": {"entity_name": "PCE", "entity_start": 185, "entity_end": 185, "property_value_start": 188, "property_value_end": 189, "property_numeric_value": 0.9,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</si>
  <si>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10.1007/s10853-012-7010-1</t>
  </si>
  <si>
    <t xml:space="preserve">[6</t>
  </si>
  <si>
    <t xml:space="preserve">['[6']</t>
  </si>
  <si>
    <t xml:space="preserve">{"power conversion efficiency": {"entity_name": "power conversion efficiency", "entity_start": 151, "entity_end": 153, "property_value_start": 161, "property_value_end": 162,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</si>
  <si>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10.1007/s10853-019-03551-3</t>
  </si>
  <si>
    <t xml:space="preserve">PTz4T-2OD</t>
  </si>
  <si>
    <t xml:space="preserve">['PTz4T-2OD']</t>
  </si>
  <si>
    <t xml:space="preserve">{"power conversion efficiency": {}, "open circuit voltage": {}, "short circuit current": {}, "fill factor": {}, "highest occupied molecular orbital": {"entity_name": "HOMO energy level", "entity_start": 91, "entity_end": 93, "property_value_start": 95, "property_value_end": 97, "property_numeric_value": 5.58, "property_unit": "eV", "property_value_descriptor": "-"}, "lowest unoccupied molecular orbital": {}, "bandgap": {"entity_name": "optical band gap", "entity_start": 82, "entity_end": 84, "property_value_start": 86, "property_value_end": 87, "property_numeric_value": 1.8, "property_unit": "eV", "property_value_descriptor": ""}, "hole mobility": {}, "electron mobility": {}, "external quantum efficiency": {}}</t>
  </si>
  <si>
    <t xml:space="preserve">{"power conversion efficiency": {"entity_name": "power conversion efficiencies", "entity_start": 117, "entity_end": 119, "property_value_start": 123, "property_value_end": 124, "property_numeric_value": 2.6,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</si>
  <si>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10.1007/s10853-016-0543-y</t>
  </si>
  <si>
    <t xml:space="preserve">{"power conversion efficiency": {"entity_name": "PCE", "entity_start": 240, "entity_end": 240, "property_value_start": 242, "property_value_end": 243, "property_numeric_value": 2.64,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</si>
  <si>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10.1007/s10854-019-00921-0</t>
  </si>
  <si>
    <t xml:space="preserve">['PSS', 'B-PE', 'G-PE']</t>
  </si>
  <si>
    <t xml:space="preserve">{"power conversion efficiency": {"entity_name": "PCE", "entity_start": 217, "entity_end": 217, "property_value_start": 219, "property_value_end": 220, "property_numeric_value": 4.52,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</si>
  <si>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10.1007/s10854-016-5425-1</t>
  </si>
  <si>
    <t xml:space="preserve">{"power conversion efficiency": {"entity_name": "power conversion efficiency", "entity_start": 271, "entity_end": 273, "property_value_start": 277, "property_value_end": 278, "property_numeric_value": 0.043, "property_unit": "%", "property_value_descriptor": ""}, "open circuit voltage": {}, "short circuit current": {"entity_name": "short circuit current density", "entity_start": 241, "entity_end": 244, "property_value_start": 248, "property_value_end": 254, "property_numeric_value": 0.943, "property_unit": "mA/cm^{2}", "property_value_descriptor": "to"}, "fill factor": {"entity_name": "fill factor", "entity_start": 257, "entity_end": 258, "property_value_start": 262, "property_value_end": 265, "property_numeric_value": 21.814999999999998, "property_unit": "%", "property_value_descriptor": "and"}, "highest occupied molecular orbital": {}, "lowest unoccupied molecular orbital": {}, "bandgap": {}, "hole mobility": {}, "electron mobility": {}, "external quantum efficiency": {}}</t>
  </si>
  <si>
    <t xml:space="preserve">10.1007/s10854-017-8185-7</t>
  </si>
  <si>
    <t xml:space="preserve">{"power conversion efficiency": {"entity_name": "PCE", "entity_start": 227, "entity_end": 227, "property_value_start": 243, "property_value_end": 244, "property_numeric_value": 0.16,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</si>
  <si>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10.1016/j.cplett.2008.05.071</t>
  </si>
  <si>
    <t xml:space="preserve">{"power conversion efficiency": {"entity_name": "power conversion efficiency", "entity_start": 101, "entity_end": 103, "property_value_start": 108, "property_value_end": 109, "property_numeric_value": 1.3, "property_unit": "%", "property_value_descriptor": ""}, "open circuit voltage": {}, "short circuit current": {"entity_name": "short circuit current", "entity_start": 81, "entity_end": 83, "property_value_start": 96, "property_value_end": 99, "property_numeric_value": 3.92,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</si>
  <si>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10.1021/jacs.9b04675</t>
  </si>
  <si>
    <t xml:space="preserve">PAHs</t>
  </si>
  <si>
    <t xml:space="preserve">['PAHs', 'PAH']</t>
  </si>
  <si>
    <t xml:space="preserve">{"power conversion efficiency": {"entity_name": "PCEs", "entity_start": 226, "entity_end": 226, "property_value_start": 231, "property_value_end": 232,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</si>
  <si>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10.1021/ja110619k</t>
  </si>
  <si>
    <t xml:space="preserve">{"power conversion efficiency": {"entity_name": "power conversion efficiency", "entity_start": 63, "entity_end": 65, "property_value_start": 67, "property_value_end": 68, "property_numeric_value": 5.4,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25, "entity_end": 26, "property_value_start": 28, "property_value_end": 34, "property_numeric_value": 1.95, "property_unit": "cm^{2} V^{-1} s^{-1}", "property_value_descriptor": ""}, "electron mobility": {}, "external quantum efficiency": {}}</t>
  </si>
  <si>
    <t xml:space="preserve">10.1021/ja074959z</t>
  </si>
  <si>
    <t xml:space="preserve">poly(3-hexylthiophene)-based</t>
  </si>
  <si>
    <t xml:space="preserve">['poly(3-hexylthiophene)-based']</t>
  </si>
  <si>
    <t xml:space="preserve">{"power conversion efficiency": {"entity_name": "PCEs", "entity_start": 144, "entity_end": 144, "property_value_start": 148, "property_value_end": 149, "property_numeric_value": 2.7,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{"entity_name": "external quantum efficiency", "entity_start": 153, "entity_end": 155, "property_value_start": 157, "property_value_end": 158, "property_numeric_value": 83.0, "property_unit": "%", "property_value_descriptor": ""}}</t>
  </si>
  <si>
    <t xml:space="preserve">10.1021/ja806687u</t>
  </si>
  <si>
    <t xml:space="preserve">{"power conversion efficiency": {"entity_name": "PCE", "entity_start": 41, "entity_end": 41, "property_value_start": 43, "property_value_end": 44, "property_numeric_value": 5.1,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</si>
  <si>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10.1021/jacs.6b10023</t>
  </si>
  <si>
    <t xml:space="preserve">{"power conversion efficiency": {"entity_name": "power conversion efficiency", "entity_start": 249, "entity_end": 251, "property_value_start": 253, "property_value_end": 254, "property_numeric_value": 8.4,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</si>
  <si>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10.1021/jacs.6b03495</t>
  </si>
  <si>
    <t xml:space="preserve">BIT6F</t>
  </si>
  <si>
    <t xml:space="preserve">['BIT6F', 'BIT4F', 'BIT8F']</t>
  </si>
  <si>
    <t xml:space="preserve">{"power conversion efficiency": {"entity_name": "PCE", "entity_start": 178, "entity_end": 178, "property_value_start": 180, "property_value_end": 181, "property_numeric_value": 9.1, "property_unit": "%", "property_value_descriptor": ""}, "open circuit voltage": {}, "short circuit current": {}, "fill factor": {"entity_name": "FF", "entity_start": 237, "entity_end": 237, "property_value_start": 239, "property_value_end": 239, "property_numeric_value": 77.0,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</si>
  <si>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10.1021/ja108259n</t>
  </si>
  <si>
    <t xml:space="preserve">{"power conversion efficiency": {"entity_name": "PCE", "entity_start": 54, "entity_end": 54, "property_value_start": 57, "property_value_end": 58, "property_numeric_value": 4.8, "property_unit": "%", "property_value_descriptor": ""}, "open circuit voltage": {"entity_name": "open-circuit voltage", "entity_start": 25, "entity_end": 28, "property_value_start": 30, "property_value_end": 31, "property_numeric_value": 0.82,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</si>
  <si>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103, "entity_end": 103, "property_value_start": 105, "property_value_end": 106, "property_numeric_value": 6.2,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</si>
  <si>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10.1021/ja306865z</t>
  </si>
  <si>
    <t xml:space="preserve">DR_{3}TBDT</t>
  </si>
  <si>
    <t xml:space="preserve">['DR_{3}TBDT']</t>
  </si>
  <si>
    <t xml:space="preserve">{"power conversion efficiency": {"entity_name": "power conversion efficiency", "entity_start": 73, "entity_end": 75, "property_value_start": 79, "property_value_end": 80, "property_numeric_value": 7.38,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</si>
  <si>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10.1021/ja201131h</t>
  </si>
  <si>
    <t xml:space="preserve">PBDT-DTNT</t>
  </si>
  <si>
    <t xml:space="preserve">['PBDT-DTNT']</t>
  </si>
  <si>
    <t xml:space="preserve">{"power conversion efficiency": {"entity_name": "PCE", "entity_start": 83, "entity_end": 83, "property_value_start": 86, "property_value_end": 87, "property_numeric_value": 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</si>
  <si>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PBDT-DTBT</t>
  </si>
  <si>
    <t xml:space="preserve">['PBDT-DTBT']</t>
  </si>
  <si>
    <t xml:space="preserve">{"power conversion efficiency": {"entity_name": "PCE", "entity_start": 103, "entity_end": 103, "property_value_start": 105, "property_value_end": 106, "property_numeric_value": 2.11,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</si>
  <si>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10.1021/jacs.6b05418</t>
  </si>
  <si>
    <t xml:space="preserve">PNTz4TF2</t>
  </si>
  <si>
    <t xml:space="preserve">['PNTz4TF2']</t>
  </si>
  <si>
    <t xml:space="preserve">{"power conversion efficiency": {"entity_name": "PCE", "entity_start": 108, "entity_end": 108, "property_value_start": 123, "property_value_end": 124, "property_numeric_value": 10.5,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</si>
  <si>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10.1021/ja0771989</t>
  </si>
  <si>
    <t xml:space="preserve">poly(2,7-carbazole)</t>
  </si>
  <si>
    <t xml:space="preserve">['poly(2,7-carbazole)']</t>
  </si>
  <si>
    <t xml:space="preserve">{"power conversion efficiency": {"entity_name": "PCE", "entity_start": 172, "entity_end": 172, "property_value_start": 176, "property_value_end": 177, "property_numeric_value": 3.6,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</si>
  <si>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10.1021/jacs.5b00305</t>
  </si>
  <si>
    <t xml:space="preserve">{"power conversion efficiency": {"entity_name": "PCE", "entity_start": 131, "entity_end": 131, "property_value_start": 134, "property_value_end": 135, "property_numeric_value": 10.1,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</si>
  <si>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10.1021/ja9064975</t>
  </si>
  <si>
    <t xml:space="preserve">PBDTTT</t>
  </si>
  <si>
    <t xml:space="preserve">[*]c7cc6c(c1ccc(CC(CC)CCCC)s1)c4sc(c2sc([*])c3cc(C(=O)CC(CC)CCCC)sc23)cc4c(c5ccc(CC(CC)CCCC)s5)c6s7</t>
  </si>
  <si>
    <t xml:space="preserve">['PBDTTT']</t>
  </si>
  <si>
    <t xml:space="preserve">{"power conversion efficiency": {"entity_name": "PCE", "entity_start": 38, "entity_end": 38, "property_value_start": 41, "property_value_end": 42, "property_numeric_value": 6.58,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</si>
  <si>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10.1021/ja208642b</t>
  </si>
  <si>
    <t xml:space="preserve">{"power conversion efficiency": {"entity_name": "PCE", "entity_start": 140, "entity_end": 140, "property_value_start": 144, "property_value_end": 145, "property_numeric_value": 2.04, "property_unit": "%", "property_value_descriptor": ""}, "open circuit voltage": {}, "short circuit current": {}, "fill factor": {}, "highest occupied molecular orbital": {}, "lowest unoccupied molecular orbital": {"entity_name": "LUMO energy level", "entity_start": 92, "entity_end": 94, "property_value_start": 96, "property_value_end": 97, "property_numeric_value": -3.29, "property_unit": "eV", "property_value_descriptor": ""}, "bandgap": {}, "hole mobility": {}, "electron mobility": {}, "external quantum efficiency": {}}</t>
  </si>
  <si>
    <t xml:space="preserve">10.1021/jacs.6b00853</t>
  </si>
  <si>
    <t xml:space="preserve">IC-C6IDT-IC</t>
  </si>
  <si>
    <t xml:space="preserve">['IC-C6IDT-IC']</t>
  </si>
  <si>
    <t xml:space="preserve">{"power conversion efficiency": {"entity_name": "power conversion efficiencies", "entity_start": 82, "entity_end": 84, "property_value_start": 88, "property_value_end": 89, "property_numeric_value": 8.71,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mobility", "entity_start": 51, "entity_end": 52, "property_value_start": 54, "property_value_end": 62, "property_numeric_value": 0.0011, "property_unit": "cm^{2} V^{-1} s^{-1}", "property_value_descriptor": ""}, "external quantum efficiency": {}}</t>
  </si>
  <si>
    <t xml:space="preserve">10.1021/ja108115y</t>
  </si>
  <si>
    <t xml:space="preserve">{"power conversion efficiency": {"entity_name": "power conversion efficiencies", "entity_start": 90, "entity_end": 92, "property_value_start": 94, "property_value_end": 95,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</si>
  <si>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10.1021/jacs.6b12826</t>
  </si>
  <si>
    <t xml:space="preserve">{"power conversion efficiency": {"entity_name": "PCE", "entity_start": 249, "entity_end": 249, "property_value_start": 251, "property_value_end": 252, "property_numeric_value": 9.73,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</si>
  <si>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10.1021/jacs.6b04368</t>
  </si>
  <si>
    <t xml:space="preserve">TPH-Se</t>
  </si>
  <si>
    <t xml:space="preserve">['triperylene hexaimides', 'TPH', 'TPH-Se']</t>
  </si>
  <si>
    <t xml:space="preserve">{"power conversion efficiency": {"entity_name": "power conversion efficiency", "entity_start": 169, "entity_end": 171, "property_value_start": 176, "property_value_end": 177, "property_numeric_value": 9.28, "property_unit": "%", "property_value_descriptor": ""}, "open circuit voltage": {}, "short circuit current": {}, "fill factor": {}, "highest occupied molecular orbital": {}, "lowest unoccupied molecular orbital": {"entity_name": "LUMO levels", "entity_start": 52, "entity_end": 53, "property_value_start": 56, "property_value_end": 57, "property_numeric_value": -3.8, "property_unit": "eV", "property_value_descriptor": ""}, "bandgap": {}, "hole mobility": {}, "electron mobility": {}, "external quantum efficiency": {}}</t>
  </si>
  <si>
    <t xml:space="preserve">10.1021/jacs.6b12755</t>
  </si>
  <si>
    <t xml:space="preserve">6,6,12,12-tetrakis(4-hexylphenyl)-indacenobis(dithieno[3,2-b;2',3'-d]thiophene)</t>
  </si>
  <si>
    <t xml:space="preserve">{"power conversion efficiency": {"entity_name": "power conversion efficiencies", "entity_start": 97, "entity_end": 99, "property_value_start": 115, "property_value_end": 116, "property_numeric_value": 7.7,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</si>
  <si>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10.1021/jacs.7b01493</t>
  </si>
  <si>
    <t xml:space="preserve">{"power conversion efficiency": {"entity_name": "PCE", "entity_start": 184, "entity_end": 184, "property_value_start": 188, "property_value_end": 189, "property_numeric_value": 13.0, "property_unit": "%", "property_value_descriptor": ""}, "open circuit voltage": {}, "short circuit current": {}, "fill factor": {}, "highest occupied molecular orbital": {}, "lowest unoccupied molecular orbital": {}, "bandgap": {"entity_name": "E_{g}^{opt}", "entity_start": 89, "entity_end": 90, "property_value_start": 92, "property_value_end": 93, "property_numeric_value": 1.36, "property_unit": "eV", "property_value_descriptor": ""}, "hole mobility": {}, "electron mobility": {}, "external quantum efficiency": {}}</t>
  </si>
  <si>
    <t xml:space="preserve">10.1021/jacs.8b02695</t>
  </si>
  <si>
    <t xml:space="preserve">{"power conversion efficiency": {"entity_name": "PCE", "entity_start": 331, "entity_end": 331, "property_value_start": 334, "property_value_end": 335, "property_numeric_value": 14.2, "property_unit": "%", "property_value_descriptor": ""}, "open circuit voltage": {"entity_name": "open-circuit voltage", "entity_start": 137, "entity_end": 140, "property_value_start": 142, "property_value_end": 143, "property_numeric_value": 0.9, "property_unit": "V", "property_value_descriptor": ""}, "short circuit current": {}, "fill factor": {"entity_name": "FF", "entity_start": 339, "entity_end": 339, "property_value_start": 341, "property_value_end": 341, "property_numeric_value": 76.0,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</si>
  <si>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10.1021/jacs.6b02004</t>
  </si>
  <si>
    <t xml:space="preserve">indacenodithieno[3,2-b]thiophene</t>
  </si>
  <si>
    <t xml:space="preserve">{"power conversion efficiency": {"entity_name": "power conversion efficiency", "entity_start": 190, "entity_end": 192, "property_value_start": 194, "property_value_end": 195, "property_numeric_value": 9.6, "property_unit": "%", "property_value_descriptor": ""}, "open circuit voltage": {}, "short circuit current": {}, "fill factor": {}, "highest occupied molecular orbital": {"entity_name": "HOMO", "entity_start": 68, "entity_end": 68, "property_value_start": 70, "property_value_end": 71, "property_numeric_value": -5.48, "property_unit": "eV", "property_value_descriptor": ""}, "lowest unoccupied molecular orbital": {"entity_name": "LUMO", "entity_start": 73, "entity_end": 73, "property_value_start": 75, "property_value_end": 76, "property_numeric_value": -3.83, "property_unit": "eV", "property_value_descriptor": ""}, "bandgap": {}, "hole mobility": {}, "electron mobility": {"entity_name": "electron mobility", "entity_start": 119, "entity_end": 120, "property_value_start": 136, "property_value_end": 145, "property_numeric_value": 0.00026000000000000003, "property_unit": "cm^{2} V^{-1} s^{-1}", "property_value_descriptor": ""}, "external quantum efficiency": {}}</t>
  </si>
  <si>
    <t xml:space="preserve">10.1038/srep08319</t>
  </si>
  <si>
    <t xml:space="preserve">{"power conversion efficiency": {"entity_name": "PCE", "entity_start": 233, "entity_end": 233, "property_value_start": 236, "property_value_end": 237, "property_numeric_value": 5.1, "property_unit": "%", "property_value_descriptor": ""}, "open circuit voltage": {"entity_name": "V_{OC}", "entity_start": 214, "entity_end": 215, "property_value_start": 217, "property_value_end": 218, "property_numeric_value": 0.14,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</si>
  <si>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10.1038/srep14202</t>
  </si>
  <si>
    <t xml:space="preserve">{"power conversion efficiency": {"entity_name": "PCEs", "entity_start": 105, "entity_end": 105, "property_value_start": 109, "property_value_end": 110, "property_numeric_value": 9.0, "property_unit": "%", "property_value_descriptor": ""}, "open circuit voltage": {}, "short circuit current": {}, "fill factor": {}, "highest occupied molecular orbital": {"entity_name": "HOMO energy levels", "entity_start": 75, "entity_end": 77, "property_value_start": 79, "property_value_end": 80, "property_numeric_value": -5.4, "property_unit": "eV", "property_value_descriptor": "~"}, "lowest unoccupied molecular orbital": {}, "bandgap": {"entity_name": "band gaps", "entity_start": 66, "entity_end": 67, "property_value_start": 69, "property_value_end": 70, "property_numeric_value": 1.57, "property_unit": "eV", "property_value_descriptor": "~"}, "hole mobility": {}, "electron mobility": {}, "external quantum efficiency": {}}</t>
  </si>
  <si>
    <t xml:space="preserve">10.1038/s41598-019-48504-7</t>
  </si>
  <si>
    <t xml:space="preserve">{"power conversion efficiency": {"entity_name": "power conversion efficiency", "entity_start": 135, "entity_end": 137, "property_value_start": 165, "property_value_end": 166, "property_numeric_value": 8.52,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</si>
  <si>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10.1038/srep12093</t>
  </si>
  <si>
    <t xml:space="preserve">{"power conversion efficiency": {"entity_name": "power conversion efficiency", "entity_start": 115, "entity_end": 117, "property_value_start": 122, "property_value_end": 123, "property_numeric_value": 13.2,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</si>
  <si>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10.1038/srep02244</t>
  </si>
  <si>
    <t xml:space="preserve">poly-Si</t>
  </si>
  <si>
    <t xml:space="preserve">['poly-Si']</t>
  </si>
  <si>
    <t xml:space="preserve">{"power conversion efficiency": {"entity_name": "PCE", "entity_start": 148, "entity_end": 148, "property_value_start": 153, "property_value_end": 154, "property_numeric_value": 18.0,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</si>
  <si>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10.1039/c5cc00678c</t>
  </si>
  <si>
    <t xml:space="preserve">TTBTBTT</t>
  </si>
  <si>
    <t xml:space="preserve">['TTBTBTT']</t>
  </si>
  <si>
    <t xml:space="preserve">{"power conversion efficiency": {"entity_name": "power conversion efficiencies", "entity_start": 49, "entity_end": 51, "property_value_start": 53, "property_value_end": 56, "property_numeric_value": 6.6,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</si>
  <si>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10.1039/c6cc09274h</t>
  </si>
  <si>
    <t xml:space="preserve">{"power conversion efficiency": {"entity_name": "PCE", "entity_start": 46, "entity_end": 46, "property_value_start": 48, "property_value_end": 49, "property_numeric_value": 9.24,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</si>
  <si>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10.1039/c4nr04958f</t>
  </si>
  <si>
    <t xml:space="preserve">poly[[4,8-bis[(2-ethylhexyl)oxy]benzo[1,2-b:4,5-b']dithiophene-2,6-diyl][3-fluoro-2-[(2)</t>
  </si>
  <si>
    <t xml:space="preserve">["poly[[4,8-bis[(2-ethylhexyl)oxy]benzo[1,2-b:4,5-b']dithiophene-2,6-diyl][3-fluoro-2-[(2)", ']]']</t>
  </si>
  <si>
    <t xml:space="preserve">{"power conversion efficiency": {"entity_name": "PCE", "entity_start": 45, "entity_end": 45, "property_value_start": 51, "property_value_end": 52, "property_numeric_value": 8.55,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</si>
  <si>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10.1039/c3nr01923c</t>
  </si>
  <si>
    <t xml:space="preserve">poly[2,6-(4,4'-bis-(2-ethylhexyl)dithieno[3,2-b:2',3'-d]silole)-alt-4,7(2,1,3-benzothiadiazole)]</t>
  </si>
  <si>
    <t xml:space="preserve">["poly[2,6-(4,4'-bis-(2-ethylhexyl)dithieno[3,2-b:2',3'-d]silole)-alt-4,7(2,1,3-benzothiadiazole)]", 'PSBTBT']</t>
  </si>
  <si>
    <t xml:space="preserve">{"power conversion efficiency": {"entity_name": "PCE", "entity_start": 80, "entity_end": 80, "property_value_start": 83, "property_value_end": 84, "property_numeric_value": 3.4,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</si>
  <si>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10.1039/c3nr06323b</t>
  </si>
  <si>
    <t xml:space="preserve">PEDOT-PSS</t>
  </si>
  <si>
    <t xml:space="preserve">['PEDOT-PSS']</t>
  </si>
  <si>
    <t xml:space="preserve">{"power conversion efficiency": {"entity_name": "power conversion efficiency", "entity_start": 47, "entity_end": 49, "property_value_start": 51, "property_value_end": 52, "property_numeric_value": 12.0,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</si>
  <si>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10.1039/c2nr30210a</t>
  </si>
  <si>
    <t xml:space="preserve">{"power conversion efficiency": {"entity_name": "power conversion efficiencies", "entity_start": 196, "entity_end": 198, "property_value_start": 201, "property_value_end": 204, "property_numeric_value": 3.7,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</si>
  <si>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10.1039/c4nr03176h</t>
  </si>
  <si>
    <t xml:space="preserve">{"power conversion efficiency": {"entity_name": "power conversion efficiency", "entity_start": 300, "entity_end": 302, "property_value_start": 306, "property_value_end": 307, "property_numeric_value": 15.0,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</si>
  <si>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10.1039/c4nr00733f</t>
  </si>
  <si>
    <t xml:space="preserve">{"power conversion efficiency": {"entity_name": "PCE", "entity_start": 165, "entity_end": 165, "property_value_start": 167, "property_value_end": 168, "property_numeric_value": 9.3,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</si>
  <si>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10.1039/c3nr03011c</t>
  </si>
  <si>
    <t xml:space="preserve">['polyaniline', 'PANI']</t>
  </si>
  <si>
    <t xml:space="preserve">{"power conversion efficiency": {"entity_name": "PCE", "entity_start": 123, "entity_end": 123, "property_value_start": 125, "property_value_end": 126, "property_numeric_value": 6.87, "property_unit": "%", "property_value_descriptor": ""}, "open circuit voltage": {"entity_name": "V_{oc}", "entity_start": 108, "entity_end": 109, "property_value_start": 111, "property_value_end": 112, "property_numeric_value": 0.89, "property_unit": "V", "property_value_descriptor": ""}, "short circuit current": {"entity_name": "J_{sc}", "entity_start": 99, "entity_end": 100, "property_value_start": 102, "property_value_end": 105, "property_numeric_value": 11.6, "property_unit": "mA cm^{-2}", "property_value_descriptor": ""}, "fill factor": {"entity_name": "FF", "entity_start": 115, "entity_end": 115, "property_value_start": 117, "property_value_end": 118, "property_numeric_value": 66.87,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</si>
  <si>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10.1007/s12274-013-0325-7</t>
  </si>
  <si>
    <t xml:space="preserve">{"power conversion efficiency": {"entity_name": "PCE", "entity_start": 72, "entity_end": 72, "property_value_start": 75, "property_value_end": 76, "property_numeric_value": 2.04,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</si>
  <si>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10.1007/s12274-015-0810-2</t>
  </si>
  <si>
    <t xml:space="preserve">{"power conversion efficiency": {"entity_name": "power conversion efficiency", "entity_start": 28, "entity_end": 30, "property_value_start": 60, "property_value_end": 61, "property_numeric_value": 2.79,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</si>
  <si>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10.1007/s12274-011-0162-5</t>
  </si>
  <si>
    <t xml:space="preserve">['polystyrene', 'PS', 'PSS']</t>
  </si>
  <si>
    <t xml:space="preserve">{"power conversion efficiency": {"entity_name": "power conversion efficiency", "entity_start": 239, "entity_end": 241, "property_value_start": 246, "property_value_end": 247, "property_numeric_value": 5.7, "property_unit": "%", "property_value_descriptor": ""}, "open circuit voltage": {}, "short circuit current": {"entity_name": "short-circuit current density", "entity_start": 219, "entity_end": 223, "property_value_start": 231, "property_value_end": 235, "property_numeric_value": 21.1,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</si>
  <si>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10.1002/smll.201902598</t>
  </si>
  <si>
    <t xml:space="preserve">P(F-Cl)</t>
  </si>
  <si>
    <t xml:space="preserve">['P(F-Cl)', 'P(F-Cl)(BDD)']</t>
  </si>
  <si>
    <t xml:space="preserve">{"power conversion efficiency": {"entity_name": "PCEs", "entity_start": 188, "entity_end": 188, "property_value_start": 193, "property_value_end": 194, "property_numeric_value": 13.9,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</si>
  <si>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10.1021/acs.macromol.0c01042</t>
  </si>
  <si>
    <t xml:space="preserve">{"power conversion efficiency": {"entity_name": "PCE", "entity_start": 68, "entity_end": 68, "property_value_start": 72, "property_value_end": 73, "property_numeric_value": 9.68,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</si>
  <si>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10.1039/d0py00868k</t>
  </si>
  <si>
    <t xml:space="preserve">BOPT</t>
  </si>
  <si>
    <t xml:space="preserve">{"power conversion efficiency": {"entity_name": "power conversion efficiencies", "entity_start": 204, "entity_end": 206, "property_value_start": 208, "property_value_end": 209, "property_numeric_value": 2.6,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</si>
  <si>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10.1002/marc.202000170</t>
  </si>
  <si>
    <t xml:space="preserve">PBPD-m</t>
  </si>
  <si>
    <t xml:space="preserve">[*]c%10ccc(c8sc(c6ccc(c5cc4c(c1cccc(CC(CC)CCCC)c1)c2sc([*])cc2c(c3cccc(CC(CC)CCCC)c3)c4s5)s6)c9c(=O)c7c(CC(CC)CCCC)sc(CC(CC)CCCC)c7c(=O)c89)s%10</t>
  </si>
  <si>
    <t xml:space="preserve">['PBPD-m']</t>
  </si>
  <si>
    <t xml:space="preserve">{"power conversion efficiency": {"entity_name": "PCE", "entity_start": 154, "entity_end": 154, "property_value_start": 157, "property_value_end": 158, "property_numeric_value": 11.95, "property_unit": "%", "property_value_descriptor": ""}, "open circuit voltage": {"entity_name": "V_{oc}", "entity_start": 167, "entity_end": 168, "property_value_start": 171, "property_value_end": 172, "property_numeric_value": 0.88, "property_unit": "V", "property_value_descriptor": ""}, "short circuit current": {"entity_name": "J_{sc}", "entity_start": 181, "entity_end": 182, "property_value_start": 185, "property_value_end": 188, "property_numeric_value": 19.76,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</si>
  <si>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PBPD-p</t>
  </si>
  <si>
    <t xml:space="preserve">['PBPD-p']</t>
  </si>
  <si>
    <t xml:space="preserve">{"power conversion efficiency": {"entity_name": "PCE", "entity_start": 203, "entity_end": 203, "property_value_start": 205, "property_value_end": 206, "property_numeric_value": 6.97, "property_unit": "%", "property_value_descriptor": ""}, "open circuit voltage": {"entity_name": "V_{oc}", "entity_start": 209, "entity_end": 210, "property_value_start": 212, "property_value_end": 213, "property_numeric_value": 0.81, "property_unit": "V", "property_value_descriptor": ""}, "short circuit current": {"entity_name": "J_{sc}", "entity_start": 216, "entity_end": 217, "property_value_start": 219, "property_value_end": 222, "property_numeric_value": 15.97, "property_unit": "mA cm^{-2}", "property_value_descriptor": ""}, "fill factor": {"entity_name": "FF", "entity_start": 225, "entity_end": 225, "property_value_start": 227, "property_value_end": 228, "property_numeric_value": 53.9,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</si>
  <si>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10.1021/acsami.0c08671</t>
  </si>
  <si>
    <t xml:space="preserve">{"power conversion efficiency": {"entity_name": "PCEs", "entity_start": 58, "entity_end": 58, "property_value_start": 61, "property_value_end": 62, "property_numeric_value": 15.0,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</si>
  <si>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152, "entity_end": 152, "property_value_start": 154, "property_value_end": 155, "property_numeric_value": 13.38,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</si>
  <si>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256, "entity_end": 256, "property_value_start": 258, "property_value_end": 259, "property_numeric_value": 9.5,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</si>
  <si>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10.1021/nn3007509</t>
  </si>
  <si>
    <t xml:space="preserve">{"power conversion efficiency": {"entity_name": "power conversion efficiencies", "entity_start": 104, "entity_end": 106, "property_value_start": 108, "property_value_end": 109, "property_numeric_value": 1.9, "property_unit": "%", "property_value_descriptor": ""}, "open circuit voltage": {"entity_name": "V_{OC}", "entity_start": 141, "entity_end": 142, "property_value_start": 144, "property_value_end": 145, "property_numeric_value": 0.8,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</si>
  <si>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10.1021/nn9001165</t>
  </si>
  <si>
    <t xml:space="preserve">['perylene bisimide']</t>
  </si>
  <si>
    <t xml:space="preserve">{"power conversion efficiency": {"entity_name": "power conversion efficiency \u03b7", "entity_start": 263, "entity_end": 266, "property_value_start": 268, "property_value_end": 269, "property_numeric_value": 0.041, "property_unit": "%", "property_value_descriptor": ""}, "open circuit voltage": {}, "short circuit current": {}, "fill factor": {"entity_name": "fill factor FF", "entity_start": 254, "entity_end": 256, "property_value_start": 258, "property_value_end": 259, "property_numeric_value": 38.0,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</si>
  <si>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10.1021/nn301721q</t>
  </si>
  <si>
    <t xml:space="preserve">{"power conversion efficiency": {"entity_name": "PCE", "entity_start": 176, "entity_end": 176, "property_value_start": 178, "property_value_end": 179, "property_numeric_value": 2.58,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</si>
  <si>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10.1021/acsnano.7b02322</t>
  </si>
  <si>
    <t xml:space="preserve">{"power conversion efficiency": {"entity_name": "power conversion efficiency", "entity_start": 158, "entity_end": 160, "property_value_start": 177, "property_value_end": 178, "property_numeric_value": 8.0, "property_unit": "%", "property_value_descriptor": ""}, "open circuit voltage": {"entity_name": "open-circuit voltage", "entity_start": 138, "entity_end": 141, "property_value_start": 143, "property_value_end": 144, "property_numeric_value": 0.607, "property_unit": "V", "property_value_descriptor": ""}, "short circuit current": {"entity_name": "short circuit current density", "entity_start": 147, "entity_end": 150, "property_value_start": 152, "property_value_end": 155, "property_numeric_value": 34.0, "property_unit": "mA/cm^{2}", "property_value_descriptor": ""}, "fill factor": {"entity_name": "fill factor", "entity_start": 224, "entity_end": 225, "property_value_start": 237, "property_value_end": 238, "property_numeric_value": 61.4,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</si>
  <si>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10.1021/nn303815z</t>
  </si>
  <si>
    <t xml:space="preserve">{"power conversion efficiency": {"entity_name": "power conversion efficiency", "entity_start": 117, "entity_end": 119, "property_value_start": 123, "property_value_end": 126, "property_numeric_value": 15.0,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</si>
  <si>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10.1021/acsnano.7b03090</t>
  </si>
  <si>
    <t xml:space="preserve">naphthalene</t>
  </si>
  <si>
    <t xml:space="preserve">{"power conversion efficiency": {"entity_name": "power conversion efficiencies", "entity_start": 155, "entity_end": 157, "property_value_start": 172, "property_value_end": 173, "property_numeric_value": 14.5,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</si>
  <si>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10.1021/acsnano.8b04848</t>
  </si>
  <si>
    <t xml:space="preserve">{"power conversion efficiency": {"entity_name": "power conversion efficiency", "entity_start": 247, "entity_end": 249, "property_value_start": 253, "property_value_end": 254, "property_numeric_value": 15.0,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</si>
  <si>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10.1063/1.5018382</t>
  </si>
  <si>
    <t xml:space="preserve">poly{4,8-bis[(2-ethylhexyl)-oxy]benzo[1,2-b:4,5-b'] dithiophene-2,6-diyl-alt-3-fluoro-2-[(2-ethylhexyl)carbonyl]thieno[3,4-b]thiophene- 4,6-diyl}</t>
  </si>
  <si>
    <t xml:space="preserve">["poly{4,8-bis[(2-ethylhexyl)-oxy]benzo[1,2-b:4,5-b'] dithiophene-2,6-diyl-alt-3-fluoro-2-[(2-ethylhexyl)carbonyl]thieno[3,4-b]thiophene- 4,6-diyl}", 'PTB7)-base']</t>
  </si>
  <si>
    <t xml:space="preserve">{"power conversion efficiency": {"entity_name": "PCE", "entity_start": 113, "entity_end": 113, "property_value_start": 115, "property_value_end": 116, "property_numeric_value": 7.85,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</si>
  <si>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10.1063/1.5021780</t>
  </si>
  <si>
    <t xml:space="preserve">PDPP3 T</t>
  </si>
  <si>
    <t xml:space="preserve">['PDPP3 T']</t>
  </si>
  <si>
    <t xml:space="preserve">{"power conversion efficiency": {"entity_name": "power conversion efficiency", "entity_start": 97, "entity_end": 99, "property_value_start": 101, "property_value_end": 102, "property_numeric_value": 4.5,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</si>
  <si>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10.1063/1.4962206</t>
  </si>
  <si>
    <t xml:space="preserve">['polyethylene terephthalate']</t>
  </si>
  <si>
    <t xml:space="preserve">{"power conversion efficiency": {"entity_name": "power conversion efficiency", "entity_start": 43, "entity_end": 45, "property_value_start": 47, "property_value_end": 48, "property_numeric_value": 7.7,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</si>
  <si>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10.1063/1.3643450</t>
  </si>
  <si>
    <t xml:space="preserve">poly[(4,4'-bis(2-lethylhexyl)dithieno-[3,2-b:2',3'-d]silole)-2,6-diyl-alt-(2,1,3-benzothiadiazole)-4,7-diyl]</t>
  </si>
  <si>
    <t xml:space="preserve">["poly[(4,4'-bis(2-lethylhexyl)dithieno-[3,2-b:2',3'-d]silole)-2,6-diyl-alt-(2,1,3-benzothiadiazole)-4,7-diyl]"]</t>
  </si>
  <si>
    <t xml:space="preserve">{"power conversion efficiency": {"entity_name": "power conversion efficiency", "entity_start": 41, "entity_end": 43, "property_value_start": 54, "property_value_end": 55, "property_numeric_value": 4.5,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</si>
  <si>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10.1063/1.4961935</t>
  </si>
  <si>
    <t xml:space="preserve">{"power conversion efficiency": {"entity_name": "power conversion efficiencies", "entity_start": 69, "entity_end": 71, "property_value_start": 75, "property_value_end": 76,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</si>
  <si>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10.1063/1.4773515</t>
  </si>
  <si>
    <t xml:space="preserve">{"power conversion efficiency": {"entity_name": "PCE", "entity_start": 99, "entity_end": 99, "property_value_start": 101, "property_value_end": 102, "property_numeric_value": 6.48,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</si>
  <si>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10.1063/1.1890468</t>
  </si>
  <si>
    <t xml:space="preserve">poly[2-(2-ethylhexyloxy)-5-methoxy-1,4-phenylenevinylene]</t>
  </si>
  <si>
    <t xml:space="preserve">['poly[2-(2-ethylhexyloxy)-5-methoxy-1,4-phenylenevinylene]', 'MEH-PPV']</t>
  </si>
  <si>
    <t xml:space="preserve">{"power conversion efficiency": {"entity_name": "power conversion efficiency", "entity_start": 139, "entity_end": 141, "property_value_start": 143, "property_value_end": 144, "property_numeric_value": 0.58, "property_unit": "%", "property_value_descriptor": ""}, "open circuit voltage": {"entity_name": "open circuit voltage", "entity_start": 119, "entity_end": 121, "property_value_start": 126, "property_value_end": 127, "property_numeric_value": 0.64, "property_unit": "V", "property_value_descriptor": ""}, "short circuit current": {}, "fill factor": {"entity_name": "fill factor", "entity_start": 130, "entity_end": 131, "property_value_start": 133, "property_value_end": 133, "property_numeric_value": 43.0,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</si>
  <si>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10.1063/1.4875913</t>
  </si>
  <si>
    <t xml:space="preserve">{"power conversion efficiency": {"entity_name": "power conversion efficiency", "entity_start": 133, "entity_end": 135, "property_value_start": 137, "property_value_end": 138, "property_numeric_value": 11.52,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</si>
  <si>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10.1063/1.4918686</t>
  </si>
  <si>
    <t xml:space="preserve">[6,6]-phenyl C71-butyric acid methyl ester</t>
  </si>
  <si>
    <t xml:space="preserve">{"power conversion efficiency": {"entity_name": "PCE", "entity_start": 126, "entity_end": 126, "property_value_start": 128, "property_value_end": 129, "property_numeric_value": 7.78,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</si>
  <si>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10.1063/1.2835047</t>
  </si>
  <si>
    <t xml:space="preserve">{"power conversion efficiency": {"entity_name": "power conversion efficiency", "entity_start": 74, "entity_end": 76, "property_value_start": 85, "property_value_end": 86, "property_numeric_value": 2.47,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</si>
  <si>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10.1063/1.2836266</t>
  </si>
  <si>
    <t xml:space="preserve">[6,6]-phenyl- C61 -butyric acid</t>
  </si>
  <si>
    <t xml:space="preserve">{"power conversion efficiency": {"entity_name": "power-conversion efficiency", "entity_start": 50, "entity_end": 53, "property_value_start": 56, "property_value_end": 57, "property_numeric_value": 5.4, "property_unit": "%", "property_value_descriptor": ""}, "open circuit voltage": {"entity_name": "open-circuit voltage", "entity_start": 60, "entity_end": 63, "property_value_start": 65, "property_value_end": 65, "property_numeric_value": 0.9, "property_unit": "V", "property_value_descriptor": ""}, "short circuit current": {}, "fill factor": {"entity_name": "fill factor", "entity_start": 77, "entity_end": 78, "property_value_start": 80, "property_value_end": 81, "property_numeric_value": 50.7,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</si>
  <si>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10.1063/1.4765343</t>
  </si>
  <si>
    <t xml:space="preserve">{"power conversion efficiency": {"entity_name": "power conversion efficiency", "entity_start": 89, "entity_end": 91, "property_value_start": 93, "property_value_end": 94,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</si>
  <si>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10.1063/1.3469928</t>
  </si>
  <si>
    <t xml:space="preserve">{"power conversion efficiency": {"entity_name": "power conversion efficiency", "entity_start": 104, "entity_end": 106, "property_value_start": 109, "property_value_end": 110, "property_numeric_value": 2.78, "property_unit": "%", "property_value_descriptor": ""}, "open circuit voltage": {}, "short circuit current": {}, "fill factor": {"entity_name": "fill factor", "entity_start": 95, "entity_end": 96, "property_value_start": 98, "property_value_end": 99, "property_numeric_value": 61.8,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</si>
  <si>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10.1063/1.3479916</t>
  </si>
  <si>
    <t xml:space="preserve">{"power conversion efficiency": {"entity_name": "Power conversion efficiency", "entity_start": 61, "entity_end": 63, "property_value_start": 65, "property_value_end": 66, "property_numeric_value": 3.92, "property_unit": "%", "property_value_descriptor": ""}, "open circuit voltage": {"entity_name": "open circuit voltage", "entity_start": 68, "entity_end": 70, "property_value_start": 72, "property_value_end": 73, "property_numeric_value": 0.583, "property_unit": "V", "property_value_descriptor": ""}, "short circuit current": {}, "fill factor": {"entity_name": "fill factor", "entity_start": 85, "entity_end": 86, "property_value_start": 88, "property_value_end": 88, "property_numeric_value": 61.4,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</si>
  <si>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10.1063/1.1320022</t>
  </si>
  <si>
    <t xml:space="preserve">poly(p-phenylene vinylene)</t>
  </si>
  <si>
    <t xml:space="preserve">['poly(p-phenylene vinylene)']</t>
  </si>
  <si>
    <t xml:space="preserve">{"power conversion efficiency": {"entity_name": "power conversion efficiency", "entity_start": 37, "entity_end": 39, "property_value_start": 48, "property_value_end": 49,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</si>
  <si>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10.1063/1.1883319</t>
  </si>
  <si>
    <t xml:space="preserve">poly(3-octylthiophene)</t>
  </si>
  <si>
    <t xml:space="preserve">[*]c1cc(CCCCCCCC)c([*])s1</t>
  </si>
  <si>
    <t xml:space="preserve">['poly(3-octylthiophene)', 'P3OT']</t>
  </si>
  <si>
    <t xml:space="preserve">{"power conversion efficiency": {"entity_name": "power conversion efficiency", "entity_start": 84, "entity_end": 86, "property_value_start": 88, "property_value_end": 89, "property_numeric_value": 1.06,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</si>
  <si>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10.1063/1.4823582</t>
  </si>
  <si>
    <t xml:space="preserve">["poly[N-9'-heptadecanyl-2,7-carbazole-alt-5,5-(4',7'-di-2-thienyl-2',1',3'-benzothiadiazole)]", 'PCDTBT)-base']</t>
  </si>
  <si>
    <t xml:space="preserve">{"power conversion efficiency": {"entity_name": "PCE", "entity_start": 108, "entity_end": 108, "property_value_start": 110, "property_value_end": 111, "property_numeric_value": 6.27, "property_unit": "%", "property_value_descriptor": ""}, "open circuit voltage": {"entity_name": "V_{oc}", "entity_start": 132, "entity_end": 133, "property_value_start": 136, "property_value_end": 137, "property_numeric_value": 1.0,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</si>
  <si>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10.1063/1.4903749</t>
  </si>
  <si>
    <t xml:space="preserve">poly(3,4-thylenedioxythiophene)</t>
  </si>
  <si>
    <t xml:space="preserve">['poly(3,4-thylenedioxythiophene)']</t>
  </si>
  <si>
    <t xml:space="preserve">{"power conversion efficiency": {"entity_name": "power conversion efficiency", "entity_start": 19, "entity_end": 21, "property_value_start": 63, "property_value_end": 64, "property_numeric_value": 7.43,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</si>
  <si>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10.1063/1.3601921</t>
  </si>
  <si>
    <t xml:space="preserve">(polystyrene sulfonic acid)</t>
  </si>
  <si>
    <t xml:space="preserve">['(polystyrene sulfonic acid)', 'PEDOT']</t>
  </si>
  <si>
    <t xml:space="preserve">{"power conversion efficiency": {"entity_name": "power conversion efficiency", "entity_start": 147, "entity_end": 149, "property_value_start": 151, "property_value_end": 152, "property_numeric_value": 2.92, "property_unit": "%", "property_value_descriptor": ""}, "open circuit voltage": {}, "short circuit current": {}, "fill factor": {"entity_name": "fill factor", "entity_start": 141, "entity_end": 142, "property_value_start": 144, "property_value_end": 145, "property_numeric_value": 66.7,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</si>
  <si>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10.1063/1.4906454</t>
  </si>
  <si>
    <t xml:space="preserve">{"power conversion efficiency": {"entity_name": "power conversion efficiency", "entity_start": 153, "entity_end": 155, "property_value_start": 157, "property_value_end": 158, "property_numeric_value": 4.2,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</si>
  <si>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10.1063/1.4734240</t>
  </si>
  <si>
    <t xml:space="preserve">{"power conversion efficiency": {"entity_name": "power conversion efficiency", "entity_start": 70, "entity_end": 72, "property_value_start": 74, "property_value_end": 75, "property_numeric_value": 9.84,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</si>
  <si>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10.1063/1.4790624</t>
  </si>
  <si>
    <t xml:space="preserve">{"power conversion efficiency": {"entity_name": "power conversion efficiency", "entity_start": 79, "entity_end": 81, "property_value_start": 83, "property_value_end": 84, "property_numeric_value": 6.27,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</si>
  <si>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10.1063/1.2799257</t>
  </si>
  <si>
    <t xml:space="preserve">['poly(3-hexylthiophene)', 'P3HT)-([6,6]-phenyl- C71 -butyric acid methyl ester']</t>
  </si>
  <si>
    <t xml:space="preserve">{"power conversion efficiency": {"entity_name": "power conversion efficiencies", "entity_start": 101, "entity_end": 103, "property_value_start": 105, "property_value_end": 106, "property_numeric_value": 4.1,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</si>
  <si>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10.1063/1.4822116</t>
  </si>
  <si>
    <t xml:space="preserve">{"power conversion efficiency": {"entity_name": "power conversion efficiency", "entity_start": 29, "entity_end": 31, "property_value_start": 33, "property_value_end": 34, "property_numeric_value": 10.86,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</si>
  <si>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{}, "short circuit current": {"entity_name": "J_{sc}", "entity_start": 97, "entity_end": 99, "property_value_start": 118, "property_value_end": 122, "property_numeric_value": 32.5,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</si>
  <si>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10.1063/1.4863965</t>
  </si>
  <si>
    <t xml:space="preserve">{"power conversion efficiency": {"entity_name": "power conversion efficiency", "entity_start": 73, "entity_end": 75, "property_value_start": 77, "property_value_end": 78, "property_numeric_value": 8.3,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</si>
  <si>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10.1063/1.4866968</t>
  </si>
  <si>
    <t xml:space="preserve">{"power conversion efficiency": {"entity_name": "PCE", "entity_start": 49, "entity_end": 49, "property_value_start": 52, "property_value_end": 53, "property_numeric_value": 11.09,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</si>
  <si>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10.1063/1.3280370</t>
  </si>
  <si>
    <t xml:space="preserve">{"power conversion efficiency": {"entity_name": "power conversion efficiencies", "entity_start": 32, "entity_end": 34, "property_value_start": 37, "property_value_end": 38,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</si>
  <si>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10.1063/1.2975160</t>
  </si>
  <si>
    <t xml:space="preserve">bis(dithienothiophene)</t>
  </si>
  <si>
    <t xml:space="preserve">['bis(dithienothiophene)']</t>
  </si>
  <si>
    <t xml:space="preserve">{"power conversion efficiency": {"entity_name": "power conversion efficiency", "entity_start": 84, "entity_end": 86, "property_value_start": 88, "property_value_end": 89, "property_numeric_value": 1.48,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</si>
  <si>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10.1063/1.4812988</t>
  </si>
  <si>
    <t xml:space="preserve">Si</t>
  </si>
  <si>
    <t xml:space="preserve">['Si']</t>
  </si>
  <si>
    <t xml:space="preserve">{"power conversion efficiency": {"entity_name": "power conversion efficiencies", "entity_start": 43, "entity_end": 45, "property_value_start": 64, "property_value_end": 65, "property_numeric_value": 9.33,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</si>
  <si>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10.1063/1.2711707</t>
  </si>
  <si>
    <t xml:space="preserve">PTEBS</t>
  </si>
  <si>
    <t xml:space="preserve">[*]c1cc(CCOCCCCS(=O)(=O)O[Na])c([*])s1</t>
  </si>
  <si>
    <t xml:space="preserve">['sodium poly[2-(3-thienyl)-ethoxy-4-butylsulfonate]', 'PTEBS']</t>
  </si>
  <si>
    <t xml:space="preserve">{"power conversion efficiency": {"entity_name": "power conversion efficiency", "entity_start": 118, "entity_end": 120, "property_value_start": 122, "property_value_end": 123, "property_numeric_value": 0.43, "property_unit": "%", "property_value_descriptor": ""}, "open circuit voltage": {"entity_name": "open-circuit voltage", "entity_start": 103, "entity_end": 106, "property_value_start": 108, "property_value_end": 108, "property_numeric_value": 0.67, "property_unit": "V", "property_value_descriptor": ""}, "short circuit current": {}, "fill factor": {"entity_name": "fill factor", "entity_start": 111, "entity_end": 112, "property_value_start": 114, "property_value_end": 114, "property_numeric_value": 53.0,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</si>
  <si>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10.1063/1.2891884</t>
  </si>
  <si>
    <t xml:space="preserve">['poly(3-hexylthiophene)', 'RR-P3HT']</t>
  </si>
  <si>
    <t xml:space="preserve">{"power conversion efficiency": {"entity_name": "power conversion efficiency", "entity_start": 106, "entity_end": 108, "property_value_start": 110, "property_value_end": 111, "property_numeric_value": 3.8, "property_unit": "%", "property_value_descriptor": ""}, "open circuit voltage": {}, "short circuit current": {}, "fill factor": {"entity_name": "fill factor", "entity_start": 99, "entity_end": 100, "property_value_start": 103, "property_value_end": 104, "property_numeric_value": 73.0,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</si>
  <si>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10.1063/1.2212270</t>
  </si>
  <si>
    <t xml:space="preserve">['poly-(3-hexylthiophene)']</t>
  </si>
  <si>
    <t xml:space="preserve">{"power conversion efficiency": {"entity_name": "power conversion efficiency", "entity_start": 107, "entity_end": 109, "property_value_start": 111, "property_value_end": 112, "property_numeric_value": 2.25, "property_unit": "%", "property_value_descriptor": ""}, "open circuit voltage": {"entity_name": "open-circuit voltage", "entity_start": 99, "entity_end": 102, "property_value_start": 104, "property_value_end": 104, "property_numeric_value": 0.56,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</si>
  <si>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10.1063/1.5125438</t>
  </si>
  <si>
    <t xml:space="preserve">{"power conversion efficiency": {"entity_name": "power conversion efficiency", "entity_start": 168, "entity_end": 170, "property_value_start": 178, "property_value_end": 179, "property_numeric_value": 13.1,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</si>
  <si>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10.1063/1.4807475</t>
  </si>
  <si>
    <t xml:space="preserve">{"power conversion efficiency": {"entity_name": "power conversion efficiency", "entity_start": 222, "entity_end": 224, "property_value_start": 226, "property_value_end": 227, "property_numeric_value": 5.4,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</si>
  <si>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10.1063/1.1804245</t>
  </si>
  <si>
    <t xml:space="preserve">{"power conversion efficiency": {"entity_name": "power conversion efficiency", "entity_start": 142, "entity_end": 144, "property_value_start": 147, "property_value_end": 148, "property_numeric_value": 1.9,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</si>
  <si>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10.1063/1.3153281</t>
  </si>
  <si>
    <t xml:space="preserve">poly[2-methoxy-5-(2'-ethyl-hexyloxy)-1,4-phenylene vinylene</t>
  </si>
  <si>
    <t xml:space="preserve">["poly[2-methoxy-5-(2'-ethyl-hexyloxy)-1,4-phenylene vinylene"]</t>
  </si>
  <si>
    <t xml:space="preserve">{"power conversion efficiency": {"entity_name": "power conversion efficiency", "entity_start": 170, "entity_end": 172, "property_value_start": 174, "property_value_end": 175, "property_numeric_value": 15.0,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</si>
  <si>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10.1016/j.nanoen.2017.08.062</t>
  </si>
  <si>
    <t xml:space="preserve">{"power conversion efficiency": {}, "open circuit voltage": {"entity_name": "V_{OC}", "entity_start": 105, "entity_end": 107, "property_value_start": 110, "property_value_end": 111, "property_numeric_value": 0.9, "property_unit": "V", "property_value_descriptor": ""}, "short circuit current": {}, "fill factor": {}, "highest occupied molecular orbital": {}, "lowest unoccupied molecular orbital": {}, "bandgap": {"entity_name": "optical bandgaps", "entity_start": 136, "entity_end": 137, "property_value_start": 139, "property_value_end": 141, "property_numeric_value": 1.7, "property_unit": "eV", "property_value_descriptor": "~"}, "hole mobility": {}, "electron mobility": {}, "external quantum efficiency": {}}</t>
  </si>
  <si>
    <t xml:space="preserve">P2-based</t>
  </si>
  <si>
    <t xml:space="preserve">['P2-based']</t>
  </si>
  <si>
    <t xml:space="preserve">{"power conversion efficiency": {"entity_name": "PCE", "entity_start": 169, "entity_end": 169, "property_value_start": 171, "property_value_end": 172, "property_numeric_value": 10.3, "property_unit": "%", "property_value_descriptor": ""}, "open circuit voltage": {"entity_name": "V_{OC}", "entity_start": 174, "entity_end": 175, "property_value_start": 177, "property_value_end": 178, "property_numeric_value": 0.97,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</si>
  <si>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10.1016/j.nanoen.2017.01.022</t>
  </si>
  <si>
    <t xml:space="preserve">{"power conversion efficiency": {"entity_name": "power-conversion efficiency", "entity_start": 141, "entity_end": 144, "property_value_start": 147, "property_value_end": 148, "property_numeric_value": 86.0,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</si>
  <si>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10.1016/j.nanoen.2016.08.058</t>
  </si>
  <si>
    <t xml:space="preserve">AsP</t>
  </si>
  <si>
    <t xml:space="preserve">['AsP']</t>
  </si>
  <si>
    <t xml:space="preserve">{"power conversion efficiency": {"entity_name": "PCE", "entity_start": 102, "entity_end": 102, "property_value_start": 104, "property_value_end": 105, "property_numeric_value": 22.1,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mobility", "entity_start": 61, "entity_end": 62, "property_value_start": 64, "property_value_end": 70, "property_numeric_value": 14380.0, "property_unit": "cm^{2} V^{-1} s^{-1}", "property_value_descriptor": "~"}, "external quantum efficiency": {}}</t>
  </si>
  <si>
    <t xml:space="preserve">10.1155/2012/368236</t>
  </si>
  <si>
    <t xml:space="preserve">["poly(2-methoxyl-5-(2'-ethylhexyloxy)-1,4-phenylenevinylene)", 'MEH-PPV']</t>
  </si>
  <si>
    <t xml:space="preserve">{"power conversion efficiency": {"entity_name": "solar power conversion efficiency", "entity_start": 137, "entity_end": 140, "property_value_start": 142, "property_value_end": 143, "property_numeric_value": 1.37,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</si>
  <si>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10.1155/2016/9592189</t>
  </si>
  <si>
    <t xml:space="preserve">polyvinylcarbazole</t>
  </si>
  <si>
    <t xml:space="preserve">[*]CC([*])n1c2ccccc2c2ccccc21</t>
  </si>
  <si>
    <t xml:space="preserve">['polyvinylcarbazole', 'PVK']</t>
  </si>
  <si>
    <t xml:space="preserve">{"power conversion efficiency": {"entity_name": "PCE", "entity_start": 209, "entity_end": 209, "property_value_start": 211, "property_value_end": 212, "property_numeric_value": 1.02, "property_unit": "%", "property_value_descriptor": ""}, "open circuit voltage": {"entity_name": "open circuit voltage", "entity_start": 181, "entity_end": 183, "property_value_start": 185, "property_value_end": 186, "property_numeric_value": 0.5, "property_unit": "V", "property_value_descriptor": ""}, "short circuit current": {"entity_name": "short circuit current", "entity_start": 189, "entity_end": 191, "property_value_start": 193, "property_value_end": 197, "property_numeric_value": 7.34, "property_unit": "mA/cm^{2}", "property_value_descriptor": ""}, "fill factor": {"entity_name": "fill factor", "entity_start": 201, "entity_end": 202, "property_value_start": 204, "property_value_end": 205, "property_numeric_value": 22.28,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</si>
  <si>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10.1039/c3sc22258f</t>
  </si>
  <si>
    <t xml:space="preserve">poly[(9,9-bis((N-(4-sulfonate-1-butyl)-N,N-dimethylammonium)propyl)-2,7-fluorene)-alt-N-phenyl-4,4'-diphenylamine</t>
  </si>
  <si>
    <t xml:space="preserve">["poly[(9,9-bis((N-(4-sulfonate-1-butyl)-N,N-dimethylammonium)propyl)-2,7-fluorene)-alt-N-phenyl-4,4'-diphenylamine", 'PFNSO-TPA']</t>
  </si>
  <si>
    <t xml:space="preserve">{"power conversion efficiency": {"entity_name": "PCE", "entity_start": 196, "entity_end": 196, "property_value_start": 199, "property_value_end": 200, "property_numeric_value": 8.74,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</si>
  <si>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10.1039/c5sc01427a</t>
  </si>
  <si>
    <t xml:space="preserve">{"power conversion efficiency": {"entity_name": "power conversion efficiencies", "entity_start": 51, "entity_end": 53, "property_value_start": 57, "property_value_end": 58, "property_numeric_value": 5.33,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</si>
  <si>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10.1039/c7sc05093c</t>
  </si>
  <si>
    <t xml:space="preserve">oligo(alkylthiophene)</t>
  </si>
  <si>
    <t xml:space="preserve">['oligo(alkylthiophene)']</t>
  </si>
  <si>
    <t xml:space="preserve">{"power conversion efficiency": {"entity_name": "power conversion efficiency", "entity_start": 127, "entity_end": 129, "property_value_start": 131, "property_value_end": 132, "property_numeric_value": 4.5,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</si>
  <si>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10.1039/c9dt01496a</t>
  </si>
  <si>
    <t xml:space="preserve">{"power conversion efficiency": {"entity_name": "power conversion efficiencies", "entity_start": 64, "entity_end": 66, "property_value_start": 68, "property_value_end": 69, "property_numeric_value": 4.0, "property_unit": "%", "property_value_descriptor": ""}, "open circuit voltage": {"entity_name": "open circuit voltages", "entity_start": 56, "entity_end": 58, "property_value_start": 60, "property_value_end": 61, "property_numeric_value": 0.9,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</si>
  <si>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10.1039/d0tc02136a</t>
  </si>
  <si>
    <t xml:space="preserve">{"power conversion efficiency": {"entity_name": "power conversion efficiencies", "entity_start": 67, "entity_end": 69, "property_value_start": 72, "property_value_end": 73, "property_numeric_value": 8.1,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</si>
  <si>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10.1039/d0tc02061c</t>
  </si>
  <si>
    <t xml:space="preserve">IDT-BC</t>
  </si>
  <si>
    <t xml:space="preserve">['IDT-BC']</t>
  </si>
  <si>
    <t xml:space="preserve">{"power conversion efficiency": {"entity_name": "PCE", "entity_start": 135, "entity_end": 135, "property_value_start": 147, "property_value_end": 148, "property_numeric_value": 7.3, "property_unit": "%", "property_value_descriptor": ""}, "open circuit voltage": {}, "short circuit current": {}, "fill factor": {}, "highest occupied molecular orbital": {}, "lowest unoccupied molecular orbital": {}, "bandgap": {"entity_name": "optical bandgaps", "entity_start": 80, "entity_end": 81, "property_value_start": 91, "property_value_end": 92, "property_numeric_value": 1.89, "property_unit": "eV", "property_value_descriptor": ""}, "hole mobility": {}, "electron mobility": {}, "external quantum efficiency": {}}</t>
  </si>
  <si>
    <t xml:space="preserve">10.1039/c6qm00286b</t>
  </si>
  <si>
    <t xml:space="preserve">['3', 'PBI3']</t>
  </si>
  <si>
    <t xml:space="preserve">{"power conversion efficiency": {"entity_name": "PCE", "entity_start": 162, "entity_end": 162, "property_value_start": 165, "property_value_end": 166, "property_numeric_value": 8.79,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</si>
  <si>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10.1039/c9qm00212j</t>
  </si>
  <si>
    <t xml:space="preserve">PDBT -</t>
  </si>
  <si>
    <t xml:space="preserve">['PDBT -']</t>
  </si>
  <si>
    <t xml:space="preserve">{"power conversion efficiency": {"entity_name": "PCE", "entity_start": 175, "entity_end": 175, "property_value_start": 183, "property_value_end": 184, "property_numeric_value": 6.2,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</si>
  <si>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10.1039/d0qm00287a</t>
  </si>
  <si>
    <t xml:space="preserve">{"power conversion efficiency": {"entity_name": "PCE", "entity_start": 100, "entity_end": 100, "property_value_start": 103, "property_value_end": 104, "property_numeric_value": 13.36, "property_unit": "%", "property_value_descriptor": ""}, "open circuit voltage": {}, "short circuit current": {"entity_name": "J_{sc}", "entity_start": 114, "entity_end": 116, "property_value_start": 118, "property_value_end": 120, "property_numeric_value": 20.9,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</si>
  <si>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10.1039/d0qm00123f</t>
  </si>
  <si>
    <t xml:space="preserve">IPT</t>
  </si>
  <si>
    <t xml:space="preserve">{"power conversion efficiency": {"entity_name": "PCE", "entity_start": 163, "entity_end": 163, "property_value_start": 165, "property_value_end": 166, "property_numeric_value": 14.62, "property_unit": "%", "property_value_descriptor": ""}, "open circuit voltage": {"entity_name": "V_{OC}", "entity_start": 170, "entity_end": 171, "property_value_start": 173, "property_value_end": 174, "property_numeric_value": 0.88, "property_unit": "V", "property_value_descriptor": ""}, "short circuit current": {"entity_name": "J_{SC}", "entity_start": 176, "entity_end": 177, "property_value_start": 179, "property_value_end": 182, "property_numeric_value": 22.15, "property_unit": "mA cm^{-2}", "property_value_descriptor": ""}, "fill factor": {"entity_name": "FF", "entity_start": 186, "entity_end": 186, "property_value_start": 188, "property_value_end": 189, "property_numeric_value": 75.01,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</si>
  <si>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10.1039/c9qm00505f</t>
  </si>
  <si>
    <t xml:space="preserve">['PTB7-Th', 'PTB7-Th:4TO']</t>
  </si>
  <si>
    <t xml:space="preserve">{"power conversion efficiency": {"entity_name": "PCE", "entity_start": 158, "entity_end": 158, "property_value_start": 160, "property_value_end": 161, "property_numeric_value": 7.4, "property_unit": "%", "property_value_descriptor": ""}, "open circuit voltage": {}, "short circuit current": {}, "fill factor": {}, "highest occupied molecular orbital": {}, "lowest unoccupied molecular orbital": {}, "bandgap": {"entity_name": "bandgap", "entity_start": 95, "entity_end": 95, "property_value_start": 97, "property_value_end": 100, "property_numeric_value": 1.2850000000000001, "property_unit": "eV", "property_value_descriptor": "~and"}, "hole mobility": {}, "electron mobility": {}, "external quantum efficiency": {}}</t>
  </si>
  <si>
    <t xml:space="preserve">10.1039/c8qm00604k</t>
  </si>
  <si>
    <t xml:space="preserve">['PBD', 'PBD2 T']</t>
  </si>
  <si>
    <t xml:space="preserve">{"power conversion efficiency": {"entity_name": "power conversion efficiencies", "entity_start": 51, "entity_end": 53, "property_value_start": 56, "property_value_end": 57, "property_numeric_value": 10.34, "property_unit": "%", "property_value_descriptor": ""}, "open circuit voltage": {"entity_name": "open-circuit voltages", "entity_start": 41, "entity_end": 44, "property_value_start": 47, "property_value_end": 48, "property_numeric_value": 1.0,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</si>
  <si>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10.1039/c9qm00622b</t>
  </si>
  <si>
    <t xml:space="preserve">PPN4T-2F</t>
  </si>
  <si>
    <t xml:space="preserve">['PPN4T-2F']</t>
  </si>
  <si>
    <t xml:space="preserve">{"power conversion efficiency": {"entity_name": "PCE", "entity_start": 54, "entity_end": 54, "property_value_start": 57, "property_value_end": 58, "property_numeric_value": 8.54, "property_unit": "%", "property_value_descriptor": ""}, "open circuit voltage": {}, "short circuit current": {}, "fill factor": {}, "highest occupied molecular orbital": {"entity_name": "highest occupied molecular orbital level", "entity_start": 27, "entity_end": 31, "property_value_start": 33, "property_value_end": 34, "property_numeric_value": -5.43, "property_unit": "eV", "property_value_descriptor": ""}, "lowest unoccupied molecular orbital": {}, "bandgap": {"entity_name": "optical bandgap", "entity_start": 19, "entity_end": 20, "property_value_start": 22, "property_value_end": 23, "property_numeric_value": 2.15, "property_unit": "eV", "property_value_descriptor": ""}, "hole mobility": {}, "electron mobility": {}, "external quantum efficiency": {}}</t>
  </si>
  <si>
    <t xml:space="preserve">10.1039/c6qm00130k</t>
  </si>
  <si>
    <t xml:space="preserve">DTNQx</t>
  </si>
  <si>
    <t xml:space="preserve">{"power conversion efficiency": {"entity_name": "PCE", "entity_start": 224, "entity_end": 224, "property_value_start": 226, "property_value_end": 227, "property_numeric_value": 3.8, "property_unit": "%", "property_value_descriptor": ""}, "open circuit voltage": {"entity_name": "V_{oc}", "entity_start": 212, "entity_end": 213, "property_value_start": 215, "property_value_end": 216, "property_numeric_value": 0.88, "property_unit": "V", "property_value_descriptor": ""}, "short circuit current": {"entity_name": "J_{sc}", "entity_start": 204, "entity_end": 205, "property_value_start": 207, "property_value_end": 210, "property_numeric_value": 9.1, "property_unit": "mA cm^{-2}", "property_value_descriptor": ""}, "fill factor": {"entity_name": "FF", "entity_start": 218, "entity_end": 218, "property_value_start": 220, "property_value_end": 221, "property_numeric_value": 48.0, "property_unit": "%", "property_value_descriptor": ""}, "highest occupied molecular orbital": {"entity_name": "HOMO energy level", "entity_start": 113, "entity_end": 115, "property_value_start": 117, "property_value_end": 118, "property_numeric_value": -5.16, "property_unit": "eV", "property_value_descriptor": ""}, "lowest unoccupied molecular orbital": {}, "bandgap": {"entity_name": "optical bandgap", "entity_start": 106, "entity_end": 107, "property_value_start": 109, "property_value_end": 110, "property_numeric_value": 1.7, "property_unit": "eV", "property_value_descriptor": ""}, "hole mobility": {"entity_name": "hole mobility", "entity_start": 184, "entity_end": 185, "property_value_start": 187, "property_value_end": 196, "property_numeric_value": 0.00027000000000000006, "property_unit": "cm^{2} V^{-1} s^{-1}", "property_value_descriptor": ""}, "electron mobility": {}, "external quantum efficiency": {}}</t>
  </si>
  <si>
    <t xml:space="preserve">10.1039/c7qm00182g</t>
  </si>
  <si>
    <t xml:space="preserve">{"power conversion efficiency": {"entity_name": "PCE", "entity_start": 232, "entity_end": 232, "property_value_start": 236, "property_value_end": 237, "property_numeric_value": 9.4,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</si>
  <si>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10.1039/c9qm00236g</t>
  </si>
  <si>
    <t xml:space="preserve">P3P-NBr</t>
  </si>
  <si>
    <t xml:space="preserve">['P3P-NBr']</t>
  </si>
  <si>
    <t xml:space="preserve">{"power conversion efficiency": {"entity_name": "PCE", "entity_start": 128, "entity_end": 128, "property_value_start": 137, "property_value_end": 138, "property_numeric_value": 10.46,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</si>
  <si>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P1P -</t>
  </si>
  <si>
    <t xml:space="preserve">['P1P -']</t>
  </si>
  <si>
    <t xml:space="preserve">{"power conversion efficiency": {"entity_name": "PCE", "entity_start": 171, "entity_end": 171, "property_value_start": 173, "property_value_end": 174, "property_numeric_value": 11.56,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</si>
  <si>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10.1039/c8qm00614h</t>
  </si>
  <si>
    <t xml:space="preserve">{"power conversion efficiency": {"entity_name": "PCE", "entity_start": 191, "entity_end": 191, "property_value_start": 201, "property_value_end": 202, "property_numeric_value": 10.19,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</si>
  <si>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250, "entity_end": 250, "property_value_start": 256, "property_value_end": 257, "property_numeric_value": 10.55,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</si>
  <si>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10.1039/c5nj00287g</t>
  </si>
  <si>
    <t xml:space="preserve">EDOT</t>
  </si>
  <si>
    <t xml:space="preserve">{"power conversion efficiency": {"entity_name": "power conversion efficiency", "entity_start": 122, "entity_end": 124, "property_value_start": 126, "property_value_end": 127, "property_numeric_value": 2.36,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</si>
  <si>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10.1039/c9nj02419k</t>
  </si>
  <si>
    <t xml:space="preserve">1,2,5]thiadiazolo[3,4-g]quinoxaline</t>
  </si>
  <si>
    <t xml:space="preserve">{"power conversion efficiency": {"entity_name": "power conversion efficiencies", "entity_start": 178, "entity_end": 180, "property_value_start": 182, "property_value_end": 183, "property_numeric_value": 0.39, "property_unit": "%", "property_value_descriptor": ""}, "open circuit voltage": {}, "short circuit current": {}, "fill factor": {}, "highest occupied molecular orbital": {}, "lowest unoccupied molecular orbital": {}, "bandgap": {"entity_name": "optical bandgaps", "entity_start": 108, "entity_end": 109, "property_value_start": 113, "property_value_end": 116, "property_numeric_value": 1.78, "property_unit": "eV", "property_value_descriptor": "to"}, "hole mobility": {}, "electron mobility": {}, "external quantum efficiency": {}}</t>
  </si>
  <si>
    <t xml:space="preserve">10.1039/c7nj00656j</t>
  </si>
  <si>
    <t xml:space="preserve">['PDI2']</t>
  </si>
  <si>
    <t xml:space="preserve">{"power conversion efficiency": {"entity_name": "power conversion efficiencies", "entity_start": 132, "entity_end": 134, "property_value_start": 138, "property_value_end": 139, "property_numeric_value": 4.43,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</si>
  <si>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10.1039/c5nj01118c</t>
  </si>
  <si>
    <t xml:space="preserve">{"power conversion efficiency": {"entity_name": "PCEs", "entity_start": 142, "entity_end": 142, "property_value_start": 149, "property_value_end": 150, "property_numeric_value": 1.84,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</si>
  <si>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10.1039/c5nj02124c</t>
  </si>
  <si>
    <t xml:space="preserve">polytriphenylamine</t>
  </si>
  <si>
    <t xml:space="preserve">['polytriphenylamine']</t>
  </si>
  <si>
    <t xml:space="preserve">{"power conversion efficiency": {"entity_name": "PCE", "entity_start": 267, "entity_end": 267, "property_value_start": 270, "property_value_end": 271, "property_numeric_value": 2.22, "property_unit": "%", "property_value_descriptor": ""}, "open circuit voltage": {"entity_name": "V_{oc}", "entity_start": 257, "entity_end": 258, "property_value_start": 260, "property_value_end": 261, "property_numeric_value": 0.8, "property_unit": "V", "property_value_descriptor": ""}, "short circuit current": {"entity_name": "J_{sc}", "entity_start": 244, "entity_end": 245, "property_value_start": 247, "property_value_end": 250, "property_numeric_value": 4.84, "property_unit": "mA cm^{-2}", "property_value_descriptor": ""}, "fill factor": {"entity_name": "FF", "entity_start": 252, "entity_end": 252, "property_value_start": 254, "property_value_end": 255, "property_numeric_value": 50.0,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</si>
  <si>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10.1039/c8nj03941k</t>
  </si>
  <si>
    <t xml:space="preserve">HFQx-T</t>
  </si>
  <si>
    <t xml:space="preserve">['HFQx-T']</t>
  </si>
  <si>
    <t xml:space="preserve">{"power conversion efficiency": {"entity_name": "PCE", "entity_start": 78, "entity_end": 78, "property_value_start": 81, "property_value_end": 82, "property_numeric_value": 7.33,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</si>
  <si>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10.1039/c2nj40535k</t>
  </si>
  <si>
    <t xml:space="preserve">{"power conversion efficiency": {"entity_name": "power conversion efficiencies", "entity_start": 189, "entity_end": 191, "property_value_start": 193, "property_value_end": 194, "property_numeric_value": 0.1, "property_unit": "%", "property_value_descriptor": ""}, "open circuit voltage": {"entity_name": "open-circuit voltages", "entity_start": 169, "entity_end": 172, "property_value_start": 175, "property_value_end": 176, "property_numeric_value": 0.4, "property_unit": "V", "property_value_descriptor": ""}, "short circuit current": {"entity_name": "short-circuit currents", "entity_start": 178, "entity_end": 181, "property_value_start": 183, "property_value_end": 186, "property_numeric_value": 0.5,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</si>
  <si>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10.1039/d0ra03461d</t>
  </si>
  <si>
    <t xml:space="preserve">{"power conversion efficiency": {"entity_name": "PCE", "entity_start": 150, "entity_end": 150, "property_value_start": 157, "property_value_end": 158, "property_numeric_value": 14.6,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</si>
  <si>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10.1039/d0se00306a</t>
  </si>
  <si>
    <t xml:space="preserve">['P(NDI2OD-T2)', 'PBDT-TzBI-P(NDI2OD-T2)']</t>
  </si>
  <si>
    <t xml:space="preserve">{"power conversion efficiency": {"entity_name": "power conversion efficiencies", "entity_start": 47, "entity_end": 49, "property_value_start": 52, "property_value_end": 53, "property_numeric_value": 18.0,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</si>
  <si>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10.1002/aenm.201801214</t>
  </si>
  <si>
    <t xml:space="preserve">PBDT-TT</t>
  </si>
  <si>
    <t xml:space="preserve">['PBDT-TT']</t>
  </si>
  <si>
    <t xml:space="preserve">{"power conversion efficiency": {"entity_name": "PCE", "entity_start": 155, "entity_end": 155, "property_value_start": 157, "property_value_end": 158, "property_numeric_value": 11.03,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</si>
  <si>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10.1002/aenm.201801212</t>
  </si>
  <si>
    <t xml:space="preserve">{"power conversion efficiency": {"entity_name": "PCE", "entity_start": 167, "entity_end": 167, "property_value_start": 172, "property_value_end": 173, "property_numeric_value": 9.0, "property_unit": "%", "property_value_descriptor": ""}, "open circuit voltage": {}, "short circuit current": {"entity_name": "short-circuit current densities", "entity_start": 224, "entity_end": 228, "property_value_start": 232, "property_value_end": 235, "property_numeric_value": 22.8, "property_unit": "mA cm^{-2}", "property_value_descriptor": ""}, "fill factor": {}, "highest occupied molecular orbital": {}, "lowest unoccupied molecular orbital": {}, "bandgap": {"entity_name": "E_{g}^{opt}", "entity_start": 123, "entity_end": 124, "property_value_start": 130, "property_value_end": 131, "property_numeric_value": 1.1, "property_unit": "eV", "property_value_descriptor": "\u2248"}, "hole mobility": {}, "electron mobility": {}, "external quantum efficiency": {}}</t>
  </si>
  <si>
    <t xml:space="preserve">10.1002/adfm.202003654</t>
  </si>
  <si>
    <t xml:space="preserve">poly(aryl ether)</t>
  </si>
  <si>
    <t xml:space="preserve">['poly(aryl ether)', 'PAE']</t>
  </si>
  <si>
    <t xml:space="preserve">{"power conversion efficiency": {"entity_name": "PCE", "entity_start": 156, "entity_end": 156, "property_value_start": 158, "property_value_end": 159,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</si>
  <si>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128, "entity_end": 128, "property_value_start": 130, "property_value_end": 131, "property_numeric_value": 15.17,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</si>
  <si>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10.1002/adma.201803769</t>
  </si>
  <si>
    <t xml:space="preserve">{"power conversion efficiency": {"entity_name": "PCE", "entity_start": 228, "entity_end": 228, "property_value_start": 230, "property_value_end": 231, "property_numeric_value": 14.64,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</si>
  <si>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10.1002/adom.202000669</t>
  </si>
  <si>
    <t xml:space="preserve">{"power conversion efficiency": {"entity_name": "power conversion efficiency", "entity_start": 143, "entity_end": 145, "property_value_start": 147, "property_value_end": 148, "property_numeric_value": 16.1,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</si>
  <si>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10.1002/anie.202007907</t>
  </si>
  <si>
    <t xml:space="preserve">{"power conversion efficiency": {"entity_name": "PCE", "entity_start": 123, "entity_end": 123, "property_value_start": 125, "property_value_end": 126, "property_numeric_value": 4.21, "property_unit": "%", "property_value_descriptor": ""}, "open circuit voltage": {"entity_name": "V_{OC}", "entity_start": 129, "entity_end": 130, "property_value_start": 132, "property_value_end": 133, "property_numeric_value": 0.83,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</si>
  <si>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10.1002/chem.202000951</t>
  </si>
  <si>
    <t xml:space="preserve">PBDTT</t>
  </si>
  <si>
    <t xml:space="preserve">['PBDTT', 'PBDTF']</t>
  </si>
  <si>
    <t xml:space="preserve">{"power conversion efficiency": {"entity_name": "PCE", "entity_start": 186, "entity_end": 186, "property_value_start": 188, "property_value_end": 189, "property_numeric_value": 13.46, "property_unit": "%", "property_value_descriptor": ""}, "open circuit voltage": {"entity_name": "V_{oc}", "entity_start": 192, "entity_end": 193, "property_value_start": 195, "property_value_end": 196, "property_numeric_value": 0.84, "property_unit": "V", "property_value_descriptor": ""}, "short circuit current": {"entity_name": "J_{sc}", "entity_start": 199, "entity_end": 200, "property_value_start": 202, "property_value_end": 205, "property_numeric_value": 23.16, "property_unit": "mA cm^{-2}", "property_value_descriptor": ""}, "fill factor": {"entity_name": "FF", "entity_start": 208, "entity_end": 208, "property_value_start": 210, "property_value_end": 211, "property_numeric_value": 69.2,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</si>
  <si>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10.1021/acs.macromol.0c01548</t>
  </si>
  <si>
    <t xml:space="preserve">PTOBT-Z</t>
  </si>
  <si>
    <t xml:space="preserve">['PTOBT-Z', 'PTOBT-ZE']</t>
  </si>
  <si>
    <t xml:space="preserve">{"power conversion efficiency": {"entity_name": "power conversion efficiency", "entity_start": 137, "entity_end": 139, "property_value_start": 143, "property_value_end": 144, "property_numeric_value": 9.04, "property_unit": "%", "property_value_descriptor": ""}, "open circuit voltage": {}, "short circuit current": {}, "fill factor": {}, "highest occupied molecular orbital": {}, "lowest unoccupied molecular orbital": {}, "bandgap": {"entity_name": "band gaps", "entity_start": 74, "entity_end": 75, "property_value_start": 79, "property_value_end": 80, "property_numeric_value": 1.94, "property_unit": "eV", "property_value_descriptor": ""}, "hole mobility": {}, "electron mobility": {}, "external quantum efficiency": {}}</t>
  </si>
  <si>
    <t xml:space="preserve">10.1039/d0py00890g</t>
  </si>
  <si>
    <t xml:space="preserve">PM20Si</t>
  </si>
  <si>
    <t xml:space="preserve">['PM20Si']</t>
  </si>
  <si>
    <t xml:space="preserve">{"power conversion efficiency": {}, "open circuit voltage": {}, "short circuit current": {"entity_name": "J_{sc}", "entity_start": 159, "entity_end": 161, "property_value_start": 163, "property_value_end": 166, "property_numeric_value": 26.92, "property_unit": "mA cm^{-2}", "property_value_descriptor": ""}, "fill factor": {"entity_name": "FF", "entity_start": 173, "entity_end": 173, "property_value_start": 176, "property_value_end": 177, "property_numeric_value": 70.44,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</si>
  <si>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10.1038/s41467-020-18373-0</t>
  </si>
  <si>
    <t xml:space="preserve">['PEI-Zn']</t>
  </si>
  <si>
    <t xml:space="preserve">{"power conversion efficiency": {"entity_name": "power conversion efficiency", "entity_start": 103, "entity_end": 105, "property_value_start": 115, "property_value_end": 116, "property_numeric_value": 15.0,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</si>
  <si>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10.1039/d0ta07960j</t>
  </si>
  <si>
    <t xml:space="preserve">{"power conversion efficiency": {"entity_name": "PCEs", "entity_start": 236, "entity_end": 236, "property_value_start": 245, "property_value_end": 246, "property_numeric_value": 10.98, "property_unit": "%", "property_value_descriptor": ""}, "open circuit voltage": {}, "short circuit current": {}, "fill factor": {}, "highest occupied molecular orbital": {}, "lowest unoccupied molecular orbital": {}, "bandgap": {"entity_name": "optical bandgap", "entity_start": 110, "entity_end": 111, "property_value_start": 138, "property_value_end": 139, "property_numeric_value": 1.48, "property_unit": "eV", "property_value_descriptor": ""}, "hole mobility": {}, "electron mobility": {}, "external quantum efficiency": {}}</t>
  </si>
  <si>
    <t xml:space="preserve">10.1039/d0tc03048a</t>
  </si>
  <si>
    <t xml:space="preserve">polyaspartic acid</t>
  </si>
  <si>
    <t xml:space="preserve">O=C(O)CC(N[*])C(=O)[*]</t>
  </si>
  <si>
    <t xml:space="preserve">['polyaspartic acid', 'PASP']</t>
  </si>
  <si>
    <t xml:space="preserve">{"power conversion efficiency": {"entity_name": "PCE", "entity_start": 49, "entity_end": 49, "property_value_start": 67, "property_value_end": 68, "property_numeric_value": 16.6,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</si>
  <si>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10.1039/d0tc03096a</t>
  </si>
  <si>
    <t xml:space="preserve">['PM7', 'PM7 D2']</t>
  </si>
  <si>
    <t xml:space="preserve">{"power conversion efficiency": {"entity_name": "PCE", "entity_start": 266, "entity_end": 266, "property_value_start": 283, "property_value_end": 284, "property_numeric_value": 11.9,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</si>
  <si>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10.1002/anie.202009666</t>
  </si>
  <si>
    <t xml:space="preserve">{"power conversion efficiency": {"entity_name": "power conversion efficiencies", "entity_start": 101, "entity_end": 103, "property_value_start": 109, "property_value_end": 110, "property_numeric_value": 11.0,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</si>
  <si>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10.1002/anie.202010596</t>
  </si>
  <si>
    <t xml:space="preserve">PM6-Tz20</t>
  </si>
  <si>
    <t xml:space="preserve">['PM6', 'PM6-Tz20', 'PM6-Tz00', 'PM6-Tz20-based']</t>
  </si>
  <si>
    <t xml:space="preserve">{"power conversion efficiency": {"entity_name": "PCE", "entity_start": 237, "entity_end": 237, "property_value_start": 242, "property_value_end": 243, "property_numeric_value": 17.6, "property_unit": "%", "property_value_descriptor": ""}, "open circuit voltage": {}, "short circuit current": {}, "fill factor": {"entity_name": "FF", "entity_start": 212, "entity_end": 212, "property_value_start": 214, "property_value_end": 214, "property_numeric_value": 72.0,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</si>
  <si>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207, "entity_end": 207, "property_value_start": 209, "property_value_end": 210, "property_numeric_value": 15.7,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</si>
  <si>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10.1021/acsapm.0c01163</t>
  </si>
  <si>
    <t xml:space="preserve">4,8-dithienylbenzo[1,2-b:4,5-b']dithiophene</t>
  </si>
  <si>
    <t xml:space="preserve">{"power conversion efficiency": {"entity_name": "PCE", "entity_start": 174, "entity_end": 174, "property_value_start": 186, "property_value_end": 187, "property_numeric_value": 9.8,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</si>
  <si>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10.1021/acs.macromol.0c02496</t>
  </si>
  <si>
    <t xml:space="preserve">BDT)-base</t>
  </si>
  <si>
    <t xml:space="preserve">['benzodithiophene', 'BDT)-base']</t>
  </si>
  <si>
    <t xml:space="preserve">{"power conversion efficiency": {"entity_name": "PCE", "entity_start": 113, "entity_end": 113, "property_value_start": 117, "property_value_end": 118, "property_numeric_value": 9.0,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</si>
  <si>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10.1016/j.reactfunctpolym.2020.104803</t>
  </si>
  <si>
    <t xml:space="preserve">{"power conversion efficiency": {"entity_name": "PCE", "entity_start": 102, "entity_end": 102, "property_value_start": 104, "property_value_end": 105, "property_numeric_value": 4.83,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</si>
  <si>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10.1039/d0py01351j</t>
  </si>
  <si>
    <t xml:space="preserve">DPTFBr</t>
  </si>
  <si>
    <t xml:space="preserve">['DPTFBr']</t>
  </si>
  <si>
    <t xml:space="preserve">{"power conversion efficiency": {"entity_name": "power conversion efficiency", "entity_start": 169, "entity_end": 171, "property_value_start": 174, "property_value_end": 175, "property_numeric_value": 16.0,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</si>
  <si>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10.1007/s13233-020-8167-0</t>
  </si>
  <si>
    <t xml:space="preserve">PIQx-TIF</t>
  </si>
  <si>
    <t xml:space="preserve">['PIQx-TIF']</t>
  </si>
  <si>
    <t xml:space="preserve">{"power conversion efficiency": {"entity_name": "PCE", "entity_start": 140, "entity_end": 140, "property_value_start": 197, "property_value_end": 198, "property_numeric_value": 4.65,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</si>
  <si>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10.1002/marc.202000454</t>
  </si>
  <si>
    <t xml:space="preserve">PBTz4T2C-b</t>
  </si>
  <si>
    <t xml:space="preserve">['4T2C', 'PBTz4T2C-a', 'PBTz4T2C-b']</t>
  </si>
  <si>
    <t xml:space="preserve">{"power conversion efficiency": {"entity_name": "power conversion efficiency", "entity_start": 196, "entity_end": 198, "property_value_start": 200, "property_value_end": 201, "property_numeric_value": 11.02,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</si>
  <si>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10.1021/acsami.0c14774</t>
  </si>
  <si>
    <t xml:space="preserve">BTP-IS</t>
  </si>
  <si>
    <t xml:space="preserve">['BTP-IS']</t>
  </si>
  <si>
    <t xml:space="preserve">{"power conversion efficiency": {"entity_name": "PCE", "entity_start": 117, "entity_end": 117, "property_value_start": 119, "property_value_end": 120, "property_numeric_value": 7.54,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</si>
  <si>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10.1021/acsami.0c10658</t>
  </si>
  <si>
    <t xml:space="preserve">PBDB-PS2F</t>
  </si>
  <si>
    <t xml:space="preserve">['PBDB-PS2F']</t>
  </si>
  <si>
    <t xml:space="preserve">{"power conversion efficiency": {"entity_name": "PCE", "entity_start": 185, "entity_end": 185, "property_value_start": 188, "property_value_end": 189, "property_numeric_value": 13.56, "property_unit": "%", "property_value_descriptor": ""}, "open circuit voltage": {"entity_name": "V_{OC}", "entity_start": 191, "entity_end": 192, "property_value_start": 194, "property_value_end": 195, "property_numeric_value": 0.9, "property_unit": "V", "property_value_descriptor": ""}, "short circuit current": {"entity_name": "J_{SC}", "entity_start": 197, "entity_end": 198, "property_value_start": 200, "property_value_end": 204, "property_numeric_value": 21.53, "property_unit": "mA/cm^{2}", "property_value_descriptor": ""}, "fill factor": {"entity_name": "FF", "entity_start": 206, "entity_end": 206, "property_value_start": 208, "property_value_end": 209, "property_numeric_value": 69.68,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</si>
  <si>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10.1021/acsami.0c17571</t>
  </si>
  <si>
    <t xml:space="preserve">{"power conversion efficiency": {"entity_name": "PCEs", "entity_start": 154, "entity_end": 154, "property_value_start": 157, "property_value_end": 158, "property_numeric_value": 12.33, "property_unit": "%", "property_value_descriptor": ""}, "open circuit voltage": {}, "short circuit current": {"entity_name": "J_{sc}", "entity_start": 141, "entity_end": 142, "property_value_start": 146, "property_value_end": 150, "property_numeric_value": 20.0,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</si>
  <si>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10.1021/acsami.0c19700</t>
  </si>
  <si>
    <t xml:space="preserve">IPT-2F</t>
  </si>
  <si>
    <t xml:space="preserve">['IPT-2F']</t>
  </si>
  <si>
    <t xml:space="preserve">{"power conversion efficiency": {"entity_name": "power conversion efficiency", "entity_start": 145, "entity_end": 147, "property_value_start": 149, "property_value_end": 150, "property_numeric_value": 14.0,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</si>
  <si>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10.1021/acsami.0c17598</t>
  </si>
  <si>
    <t xml:space="preserve">BTIC-4EO-4Br</t>
  </si>
  <si>
    <t xml:space="preserve">['BTIC-4EO-4Br']</t>
  </si>
  <si>
    <t xml:space="preserve">{"power conversion efficiency": {"entity_name": "power conversion efficiency", "entity_start": 171, "entity_end": 173, "property_value_start": 207, "property_value_end": 208, "property_numeric_value": 10.64,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</si>
  <si>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10.1021/acs.accounts.0c00601</t>
  </si>
  <si>
    <t xml:space="preserve">indigo</t>
  </si>
  <si>
    <t xml:space="preserve">['indigo', 'Indigo']</t>
  </si>
  <si>
    <t xml:space="preserve">{"power conversion efficiency": {"entity_name": "power conversion efficiencies", "entity_start": 325, "entity_end": 327, "property_value_start": 330, "property_value_end": 331, "property_numeric_value": 4.1,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"n-type mobilities", "entity_start": 356, "entity_end": 359, "property_value_start": 375, "property_value_end": 378, "property_numeric_value": 1.0, "property_unit": "cm^{2}(V s)", "property_value_descriptor": ""}, "external quantum efficiency": {}}</t>
  </si>
  <si>
    <t xml:space="preserve">10.1021/acs.jpcc.0c08559</t>
  </si>
  <si>
    <t xml:space="preserve">PBDB-T(D)</t>
  </si>
  <si>
    <t xml:space="preserve">['PBDB-T(D)']</t>
  </si>
  <si>
    <t xml:space="preserve">{"power conversion efficiency": {"entity_name": "PCEs", "entity_start": 33, "entity_end": 33, "property_value_start": 36, "property_value_end": 37,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</si>
  <si>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10.1016/j.dyepig.2020.109049</t>
  </si>
  <si>
    <t xml:space="preserve">PBTP</t>
  </si>
  <si>
    <t xml:space="preserve">['PBTP']</t>
  </si>
  <si>
    <t xml:space="preserve">{"power conversion efficiency": {"entity_name": "PCE", "entity_start": 140, "entity_end": 140, "property_value_start": 143, "property_value_end": 144, "property_numeric_value": 7.35,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</si>
  <si>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10.1016/j.dyepig.2020.108987</t>
  </si>
  <si>
    <t xml:space="preserve">PTCO1</t>
  </si>
  <si>
    <t xml:space="preserve">['PTCO1', 'PTCO1-based']</t>
  </si>
  <si>
    <t xml:space="preserve">{"power conversion efficiency": {"entity_name": "power conversion efficiency", "entity_start": 104, "entity_end": 106, "property_value_start": 110, "property_value_end": 111, "property_numeric_value": 9.33, "property_unit": "%", "property_value_descriptor": ""}, "open circuit voltage": {"entity_name": "open-circuit voltage", "entity_start": 114, "entity_end": 117, "property_value_start": 119, "property_value_end": 120, "property_numeric_value": 0.95,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</si>
  <si>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PTC8</t>
  </si>
  <si>
    <t xml:space="preserve">['PTC8', 'PTC8-based']</t>
  </si>
  <si>
    <t xml:space="preserve">{"power conversion efficiency": {}, "open circuit voltage": {}, "short circuit current": {"entity_name": "short-circuit current density", "entity_start": 123, "entity_end": 127, "property_value_start": 129, "property_value_end": 132, "property_numeric_value": 16.91, "property_unit": "mA cm^{-2}", "property_value_descriptor": ""}, "fill factor": {"entity_name": "fill factor", "entity_start": 136, "entity_end": 137, "property_value_start": 155, "property_value_end": 156, "property_numeric_value": 5.91,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</si>
  <si>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10.1016/j.dyepig.2020.109023</t>
  </si>
  <si>
    <t xml:space="preserve">PffBT4T-4T2FC-9</t>
  </si>
  <si>
    <t xml:space="preserve">['PffBT4T-4T2FC-9', 'PffBT4T-4T2FC-4']</t>
  </si>
  <si>
    <t xml:space="preserve">{"power conversion efficiency": {"entity_name": "PCE", "entity_start": 158, "entity_end": 158, "property_value_start": 161, "property_value_end": 162, "property_numeric_value": 9.11,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</si>
  <si>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10.1016/j.dyepig.2020.109108</t>
  </si>
  <si>
    <t xml:space="preserve">SBuTADPDI_{2}</t>
  </si>
  <si>
    <t xml:space="preserve">['SBuTADPDI_{2}']</t>
  </si>
  <si>
    <t xml:space="preserve">{"power conversion efficiency": {"entity_name": "power conversion efficiency", "entity_start": 153, "entity_end": 155, "property_value_start": 157, "property_value_end": 158, "property_numeric_value": 2.74, "property_unit": "%", "property_value_descriptor": ""}, "open circuit voltage": {}, "short circuit current": {}, "fill factor": {}, "highest occupied molecular orbital": {}, "lowest unoccupied molecular orbital": {"entity_name": "lowest unoccupied molecular orbital energy", "entity_start": 111, "entity_end": 115, "property_value_start": 118, "property_value_end": 121, "property_numeric_value": -3.72, "property_unit": "eV", "property_value_descriptor": "~"}, "bandgap": {}, "hole mobility": {}, "electron mobility": {}, "external quantum efficiency": {}}</t>
  </si>
  <si>
    <t xml:space="preserve">10.1016/j.dyepig.2020.109109</t>
  </si>
  <si>
    <t xml:space="preserve">["benzo[1,2-c:4,5-c']dithiophene-4,8-dione", 'T1', 'PPhF0-T1', 'PPhF4-T1', 'PPhF2-T1']</t>
  </si>
  <si>
    <t xml:space="preserve">{"power conversion efficiency": {"entity_name": "power conversion efficiency", "entity_start": 172, "entity_end": 174, "property_value_start": 191, "property_value_end": 192, "property_numeric_value": 3.97,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</si>
  <si>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10.1016/j.orgel.2020.106051</t>
  </si>
  <si>
    <t xml:space="preserve">PNB2F</t>
  </si>
  <si>
    <t xml:space="preserve">['PNB2F']</t>
  </si>
  <si>
    <t xml:space="preserve">{"power conversion efficiency": {"entity_name": "PCE", "entity_start": 112, "entity_end": 112, "property_value_start": 114, "property_value_end": 115, "property_numeric_value": 4.49,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</si>
  <si>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10.1016/j.orgel.2021.106087</t>
  </si>
  <si>
    <t xml:space="preserve">['PBZ-2Si']</t>
  </si>
  <si>
    <t xml:space="preserve">{"power conversion efficiency": {"entity_name": "PCE", "entity_start": 153, "entity_end": 153, "property_value_start": 156, "property_value_end": 157, "property_numeric_value": 12.66, "property_unit": "%", "property_value_descriptor": ""}, "open circuit voltage": {}, "short circuit current": {}, "fill factor": {"entity_name": "fill factor", "entity_start": 161, "entity_end": 162, "property_value_start": 164, "property_value_end": 165, "property_numeric_value": 71.45, "property_unit": "%", "property_value_descriptor": ""}, "highest occupied molecular orbital": {}, "lowest unoccupied molecular orbital": {}, "bandgap": {"entity_name": "optical band gap", "entity_start": 55, "entity_end": 57, "property_value_start": 59, "property_value_end": 60, "property_numeric_value": 1.53, "property_unit": "eV", "property_value_descriptor": ""}, "hole mobility": {}, "electron mobility": {}, "external quantum efficiency": {}}</t>
  </si>
  <si>
    <t xml:space="preserve">10.1039/d0ee03490h</t>
  </si>
  <si>
    <t xml:space="preserve">sulfonate</t>
  </si>
  <si>
    <t xml:space="preserve">['sulfonate', 'PEDOT']</t>
  </si>
  <si>
    <t xml:space="preserve">{"power conversion efficiency": {"entity_name": "PCE", "entity_start": 196, "entity_end": 196, "property_value_start": 198, "property_value_end": 199, "property_numeric_value": 17.52,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</si>
  <si>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10.1039/d0ta09351c</t>
  </si>
  <si>
    <t xml:space="preserve">{"power conversion efficiency": {"entity_name": "PCE", "entity_start": 227, "entity_end": 227, "property_value_start": 229, "property_value_end": 230, "property_numeric_value": 8.06, "property_unit": "%", "property_value_descriptor": ""}, "open circuit voltage": {}, "short circuit current": {"entity_name": "short-circuit current density", "entity_start": 197, "entity_end": 201, "property_value_start": 203, "property_value_end": 206, "property_numeric_value": 23.44, "property_unit": "mA cm^{-2}", "property_value_descriptor": ""}, "fill factor": {"entity_name": "fill factor", "entity_start": 209, "entity_end": 210, "property_value_start": 212, "property_value_end": 213, "property_numeric_value": 71.52,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</si>
  <si>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10.1039/d0ta12288b</t>
  </si>
  <si>
    <t xml:space="preserve">BDDEH-4F</t>
  </si>
  <si>
    <t xml:space="preserve">['BDDEH-4F']</t>
  </si>
  <si>
    <t xml:space="preserve">{"power conversion efficiency": {"entity_name": "PCE", "entity_start": 199, "entity_end": 199, "property_value_start": 201, "property_value_end": 202, "property_numeric_value": 9.8, "property_unit": "%", "property_value_descriptor": ""}, "open circuit voltage": {}, "short circuit current": {"entity_name": "J_{sc}", "entity_start": 166, "entity_end": 168, "property_value_start": 170, "property_value_end": 173, "property_numeric_value": 22.57,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</si>
  <si>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10.1039/d0ta11203h</t>
  </si>
  <si>
    <t xml:space="preserve">PCE10-2Cl</t>
  </si>
  <si>
    <t xml:space="preserve">['PCE10-2Cl']</t>
  </si>
  <si>
    <t xml:space="preserve">{"power conversion efficiency": {"entity_name": "PCE", "entity_start": 303, "entity_end": 303, "property_value_start": 305, "property_value_end": 306, "property_numeric_value": 8.25,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</si>
  <si>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10.1039/d0ta12203c</t>
  </si>
  <si>
    <t xml:space="preserve">{"power conversion efficiency": {"entity_name": "power conversion efficiency", "entity_start": 214, "entity_end": 216, "property_value_start": 218, "property_value_end": 219, "property_numeric_value": 11.2, "property_unit": "%", "property_value_descriptor": ""}, "open circuit voltage": {"entity_name": "open-circuit voltage", "entity_start": 221, "entity_end": 224, "property_value_start": 226, "property_value_end": 227, "property_numeric_value": 0.81, "property_unit": "V", "property_value_descriptor": ""}, "short circuit current": {"entity_name": "short-circuit current", "entity_start": 229, "entity_end": 232, "property_value_start": 234, "property_value_end": 237, "property_numeric_value": 21.3, "property_unit": "mA cm^{-2}", "property_value_descriptor": ""}, "fill factor": {"entity_name": "fill factor", "entity_start": 240, "entity_end": 241, "property_value_start": 243, "property_value_end": 243, "property_numeric_value": 65.0,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</si>
  <si>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10.1039/d0tc04749j</t>
  </si>
  <si>
    <t xml:space="preserve">['PM6', 'PM6:2FIFIC']</t>
  </si>
  <si>
    <t xml:space="preserve">{"power conversion efficiency": {"entity_name": "PCE", "entity_start": 196, "entity_end": 196, "property_value_start": 207, "property_value_end": 208, "property_numeric_value": 9.6,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</si>
  <si>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10.1039/d0nj04573j</t>
  </si>
  <si>
    <t xml:space="preserve">T-EHPPD-T-EHBDT</t>
  </si>
  <si>
    <t xml:space="preserve">['T-EHPPD-T-EHBDT']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</si>
  <si>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 gap", "entity_start": 89, "entity_end": 91, "property_value_start": 93, "property_value_end": 94, "property_numeric_value": 1.79, "property_unit": "eV", "property_value_descriptor": ""}, "hole mobility": {"entity_name": "hole mobility", "entity_start": 97, "entity_end": 98, "property_value_start": 100, "property_value_end": 109, "property_numeric_value": 0.00018, "property_unit": "cm^{2} V^{-1} s^{-1}", "property_value_descriptor": ""}, "electron mobility": {}, "external quantum efficiency": {}}</t>
  </si>
  <si>
    <t xml:space="preserve">{"power conversion efficiency": {"entity_name": "power conversion efficiencies", "entity_start": 190, "entity_end": 192, "property_value_start": 195, "property_value_end": 196, "property_numeric_value": 7.4, "property_unit": "%", "property_value_descriptor": ""}, "open circuit voltage": {}, "short circuit current": {}, "fill factor": {}, "highest occupied molecular orbital": {"entity_name": "HOMO", "entity_start": 136, "entity_end": 136, "property_value_start": 138, "property_value_end": 139, "property_numeric_value": -5.47, "property_unit": "eV", "property_value_descriptor": ""}, "lowest unoccupied molecular orbital": {"entity_name": "LUMO", "entity_start": 141, "entity_end": 141, "property_value_start": 143, "property_value_end": 144, "property_numeric_value": -3.68, "property_unit": "eV", "property_value_descriptor": ""}, "bandgap": {}, "hole mobility": {}, "electron mobility": {}, "external quantum efficiency": {}}</t>
  </si>
  <si>
    <t xml:space="preserve">10.1039/d0se01601b</t>
  </si>
  <si>
    <t xml:space="preserve">['PTB7-Th', 'm_{1}PTB7-Th', 'm_{2}PTB7-Th', 'PTB7-Th-']</t>
  </si>
  <si>
    <t xml:space="preserve">{"power conversion efficiency": {"entity_name": "PCE", "entity_start": 178, "entity_end": 178, "property_value_start": 180, "property_value_end": 181, "property_numeric_value": 3.46, "property_unit": "%", "property_value_descriptor": ""}, "open circuit voltage": {"entity_name": "V_{oc}", "entity_start": 168, "entity_end": 169, "property_value_start": 173, "property_value_end": 174, "property_numeric_value": 0.88, "property_unit": "V", "property_value_descriptor": ""}, "short circuit current": {}, "fill factor": {}, "highest occupied molecular orbital": {}, "lowest unoccupied molecular orbital": {}, "bandgap": {}, "hole mobility": {}, "electron mobility": {"entity_name": "electron mobility", "entity_start": 226, "entity_end": 227, "property_value_start": 230, "property_value_end": 233, "property_numeric_value": 0.000268, "property_unit": "cm^{2} V^{-1} s^{-1}", "property_value_descriptor": ""}, "external quantum efficiency": {}}</t>
  </si>
  <si>
    <t xml:space="preserve">FBZ</t>
  </si>
  <si>
    <t xml:space="preserve">{"power conversion efficiency": {}, "open circuit voltage": {"entity_name": "V_{oc}", "entity_start": 154, "entity_end": 155, "property_value_start": 157, "property_value_end": 158, "property_numeric_value": 0.79, "property_unit": "V", "property_value_descriptor": ""}, "short circuit current": {}, "fill factor": {}, "highest occupied molecular orbital": {}, "lowest unoccupied molecular orbital": {}, "bandgap": {}, "hole mobility": {}, "electron mobility": {"entity_name": "electron mobility", "entity_start": 226, "entity_end": 227, "property_value_start": 235, "property_value_end": 244, "property_numeric_value": 0.00019, "property_unit": "cm^{2} V^{-1} s^{-1}", "property_value_descriptor": ""}, "external quantum efficiency": {}}</t>
  </si>
  <si>
    <t xml:space="preserve">10.1007/s10854-020-04757-x</t>
  </si>
  <si>
    <t xml:space="preserve">{"power conversion efficiency": {"entity_name": "power conversion efficiency", "entity_start": 117, "entity_end": 119, "property_value_start": 130, "property_value_end": 131, "property_numeric_value": 9.1,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</si>
  <si>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10.1002/adfm.202009996</t>
  </si>
  <si>
    <t xml:space="preserve">{"power conversion efficiency": {"entity_name": "PCE", "entity_start": 161, "entity_end": 161, "property_value_start": 163, "property_value_end": 164, "property_numeric_value": 9.07,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</si>
  <si>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10.1002/adfm.202005763</t>
  </si>
  <si>
    <t xml:space="preserve">{"power conversion efficiency": {"entity_name": "power conversion efficiencies", "entity_start": 94, "entity_end": 96, "property_value_start": 104, "property_value_end": 105, "property_numeric_value": 9.5,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</si>
  <si>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10.1016/j.polymer.2021.123898</t>
  </si>
  <si>
    <t xml:space="preserve">PBDTTT-3F</t>
  </si>
  <si>
    <t xml:space="preserve">['PBDTTT-3F']</t>
  </si>
  <si>
    <t xml:space="preserve">{"power conversion efficiency": {}, "open circuit voltage": {}, "short circuit current": {}, "fill factor": {"entity_name": "fill factors", "entity_start": 177, "entity_end": 178, "property_value_start": 183, "property_value_end": 184, "property_numeric_value": 68.0, "property_unit": "%", "property_value_descriptor": ""}, "highest occupied molecular orbital": {}, "lowest unoccupied molecular orbital": {}, "bandgap": {"entity_name": "bandgap energies", "entity_start": 71, "entity_end": 72, "property_value_start": 81, "property_value_end": 82, "property_numeric_value": 1.76, "property_unit": "eV", "property_value_descriptor": ""}, "hole mobility": {}, "electron mobility": {}, "external quantum efficiency": {}}</t>
  </si>
  <si>
    <t xml:space="preserve">10.1007/s13233-021-9053-0</t>
  </si>
  <si>
    <t xml:space="preserve">3CT</t>
  </si>
  <si>
    <t xml:space="preserve">{"power conversion efficiency": {"entity_name": "power conversion efficiency", "entity_start": 224, "entity_end": 226, "property_value_start": 228, "property_value_end": 229, "property_numeric_value": 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</si>
  <si>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PBTT</t>
  </si>
  <si>
    <t xml:space="preserve">['PBTT']</t>
  </si>
  <si>
    <t xml:space="preserve">{"power conversion efficiency": {}, "open circuit voltage": {}, "short circuit current": {"entity_name": "short circuit current density", "entity_start": 233, "entity_end": 236, "property_value_start": 238, "property_value_end": 241, "property_numeric_value": 14.05,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</si>
  <si>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10.1063/5.0045694</t>
  </si>
  <si>
    <t xml:space="preserve">{"power conversion efficiency": {"entity_name": "PCEs", "entity_start": 102, "entity_end": 102, "property_value_start": 108, "property_value_end": 109, "property_numeric_value": 5.4,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</si>
  <si>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10.1016/j.cej.2021.130618</t>
  </si>
  <si>
    <t xml:space="preserve">{"power conversion efficiency": {"entity_name": "PCE", "entity_start": 245, "entity_end": 245, "property_value_start": 247, "property_value_end": 248, "property_numeric_value": 12.3, "property_unit": "%", "property_value_descriptor": ""}, "open circuit voltage": {"entity_name": "V_{OC}s", "entity_start": 177, "entity_end": 177, "property_value_start": 190, "property_value_end": 191, "property_numeric_value": 0.97, "property_unit": "V", "property_value_descriptor": ""}, "short circuit current": {"entity_name": "J_{SC}", "entity_start": 138, "entity_end": 139, "property_value_start": 142, "property_value_end": 145, "property_numeric_value": 18.08, "property_unit": "mA cm^{-2}", "property_value_descriptor": ""}, "fill factor": {"entity_name": "FF", "entity_start": 150, "entity_end": 150, "property_value_start": 153, "property_value_end": 154, "property_numeric_value": 72.38,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</si>
  <si>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10.1016/j.cej.2021.131022</t>
  </si>
  <si>
    <t xml:space="preserve">{"power conversion efficiency": {"entity_name": "PCE", "entity_start": 210, "entity_end": 210, "property_value_start": 212, "property_value_end": 213, "property_numeric_value": 15.01, "property_unit": "%", "property_value_descriptor": ""}, "open circuit voltage": {}, "short circuit current": {"entity_name": "J_{sc}", "entity_start": 147, "entity_end": 148, "property_value_start": 150, "property_value_end": 152, "property_numeric_value": 20.39, "property_unit": "mA cm^{-2}", "property_value_descriptor": ""}, "fill factor": {"entity_name": "FF", "entity_start": 141, "entity_end": 141, "property_value_start": 143, "property_value_end": 144, "property_numeric_value": 62.55,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</si>
  <si>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10.1016/j.cclet.2021.06.042</t>
  </si>
  <si>
    <t xml:space="preserve">PBTT-BPTI</t>
  </si>
  <si>
    <t xml:space="preserve">['PBTT-BPTI']</t>
  </si>
  <si>
    <t xml:space="preserve">{"power conversion efficiency": {"entity_name": "PCE", "entity_start": 223, "entity_end": 223, "property_value_start": 232, "property_value_end": 233, "property_numeric_value": 2.15, "property_unit": "%", "property_value_descriptor": ""}, "open circuit voltage": {}, "short circuit current": {}, "fill factor": {}, "highest occupied molecular orbital": {}, "lowest unoccupied molecular orbital": {}, "bandgap": {"entity_name": "E_{g}", "entity_start": 215, "entity_end": 216, "property_value_start": 219, "property_value_end": 220, "property_numeric_value": 1.79, "property_unit": "eV", "property_value_descriptor": ""}, "hole mobility": {}, "electron mobility": {}, "external quantum efficiency": {}}</t>
  </si>
  <si>
    <t xml:space="preserve">10.1016/j.dyepig.2021.109604</t>
  </si>
  <si>
    <t xml:space="preserve">3TCO</t>
  </si>
  <si>
    <t xml:space="preserve">['3TCO', '3TCO-Th']</t>
  </si>
  <si>
    <t xml:space="preserve">{"power conversion efficiency": {"entity_name": "PCE", "entity_start": 194, "entity_end": 194, "property_value_start": 196, "property_value_end": 197, "property_numeric_value": 8.16, "property_unit": "%", "property_value_descriptor": ""}, "open circuit voltage": {"entity_name": "V_{OC}", "entity_start": 160, "entity_end": 161, "property_value_start": 163, "property_value_end": 164, "property_numeric_value": 1.0,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</si>
  <si>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10.1016/j.dyepig.2021.109817</t>
  </si>
  <si>
    <t xml:space="preserve">PBTZ-TTz</t>
  </si>
  <si>
    <t xml:space="preserve">['PBTZ-TTz']</t>
  </si>
  <si>
    <t xml:space="preserve">{"power conversion efficiency": {"entity_name": "PCE", "entity_start": 269, "entity_end": 269, "property_value_start": 271, "property_value_end": 272, "property_numeric_value": 7.4, "property_unit": "%", "property_value_descriptor": ""}, "open circuit voltage": {"entity_name": "V_{oc}", "entity_start": 274, "entity_end": 275, "property_value_start": 277, "property_value_end": 278, "property_numeric_value": 0.95, "property_unit": "V", "property_value_descriptor": ""}, "short circuit current": {}, "fill factor": {}, "highest occupied molecular orbital": {"entity_name": "HOMO", "entity_start": 161, "entity_end": 161, "property_value_start": 165, "property_value_end": 166, "property_numeric_value": -5.55, "property_unit": "eV", "property_value_descriptor": ""}, "lowest unoccupied molecular orbital": {}, "bandgap": {}, "hole mobility": {}, "electron mobility": {}, "external quantum efficiency": {}}</t>
  </si>
  <si>
    <t xml:space="preserve">10.1016/j.dyepig.2021.109346</t>
  </si>
  <si>
    <t xml:space="preserve">PIDTT-QxM</t>
  </si>
  <si>
    <t xml:space="preserve">['PIDTT-QxM']</t>
  </si>
  <si>
    <t xml:space="preserve">{"power conversion efficiency": {"entity_name": "PCE", "entity_start": 172, "entity_end": 172, "property_value_start": 182, "property_value_end": 183, "property_numeric_value": 10.4,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</si>
  <si>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10.1016/j.dyepig.2021.109609</t>
  </si>
  <si>
    <t xml:space="preserve">PE7a</t>
  </si>
  <si>
    <t xml:space="preserve">['PE7a', 'PE7c']</t>
  </si>
  <si>
    <t xml:space="preserve">{"power conversion efficiency": {"entity_name": "PCE", "entity_start": 210, "entity_end": 210, "property_value_start": 221, "property_value_end": 222, "property_numeric_value": 9.5,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</si>
  <si>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10.1016/j.jelechem.2021.115483</t>
  </si>
  <si>
    <t xml:space="preserve">9,9-dioctylfluorene</t>
  </si>
  <si>
    <t xml:space="preserve">{"power conversion efficiency": {"entity_name": "PCE", "entity_start": 105, "entity_end": 105, "property_value_start": 107, "property_value_end": 108, "property_numeric_value": 4.25,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</si>
  <si>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10.1016/j.jpowsour.2021.229961</t>
  </si>
  <si>
    <t xml:space="preserve">PvBDT-Cl</t>
  </si>
  <si>
    <t xml:space="preserve">['PvBDT-Cl']</t>
  </si>
  <si>
    <t xml:space="preserve">{"power conversion efficiency": {"entity_name": "PCE", "entity_start": 144, "entity_end": 144, "property_value_start": 146, "property_value_end": 147, "property_numeric_value": 8.23,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</si>
  <si>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10.1016/j.matlet.2021.130155</t>
  </si>
  <si>
    <t xml:space="preserve">{"power conversion efficiency": {"entity_name": "power conversion efficiency \u03b7", "entity_start": 128, "entity_end": 131, "property_value_start": 133, "property_value_end": 134, "property_numeric_value": 0.4, "property_unit": "%", "property_value_descriptor": ""}, "open circuit voltage": {}, "short circuit current": {}, "fill factor": {"entity_name": "filling factor FF", "entity_start": 121, "entity_end": 123, "property_value_start": 125, "property_value_end": 126, "property_numeric_value": 43.0,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</si>
  <si>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10.1016/j.mtener.2021.100807</t>
  </si>
  <si>
    <t xml:space="preserve">['PM2', 'PM2-based', 'PM6']</t>
  </si>
  <si>
    <t xml:space="preserve">{"power conversion efficiency": {"entity_name": "PCEs", "entity_start": 250, "entity_end": 250, "property_value_start": 252, "property_value_end": 253, "property_numeric_value": 6.0,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</si>
  <si>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10.1016/j.nanoen.2021.106098</t>
  </si>
  <si>
    <t xml:space="preserve">{"power conversion efficiency": {"entity_name": "PCE", "entity_start": 175, "entity_end": 175, "property_value_start": 177, "property_value_end": 178, "property_numeric_value": 11.0,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</si>
  <si>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10.1016/j.orgel.2021.106130</t>
  </si>
  <si>
    <t xml:space="preserve">bithienyl-benzodithiophene</t>
  </si>
  <si>
    <t xml:space="preserve">{"power conversion efficiency": {"entity_name": "power conversion efficiency", "entity_start": 108, "entity_end": 110, "property_value_start": 115, "property_value_end": 116, "property_numeric_value": 10.73,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</si>
  <si>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10.1016/j.orgel.2021.106162</t>
  </si>
  <si>
    <t xml:space="preserve">{"power conversion efficiency": {"entity_name": "power conversion efficiency", "entity_start": 162, "entity_end": 164, "property_value_start": 166, "property_value_end": 167, "property_numeric_value": 10.8,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</si>
  <si>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10.1016/j.orgel.2021.106351</t>
  </si>
  <si>
    <t xml:space="preserve">{"power conversion efficiency": {"entity_name": "PCE", "entity_start": 137, "entity_end": 137, "property_value_start": 140, "property_value_end": 141, "property_numeric_value": 15.02,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</si>
  <si>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10.1002/aenm.201602304</t>
  </si>
  <si>
    <t xml:space="preserve">PffBT4T-B</t>
  </si>
  <si>
    <t xml:space="preserve">['PffBT4T-B']</t>
  </si>
  <si>
    <t xml:space="preserve">{"power conversion efficiency": {"entity_name": "power conversion efficiency", "entity_start": 74, "entity_end": 76, "property_value_start": 78, "property_value_end": 79, "property_numeric_value": 9.4,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</si>
  <si>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10.1002/aenm.202102000</t>
  </si>
  <si>
    <t xml:space="preserve">{"power conversion efficiency": {"entity_name": "PCE", "entity_start": 204, "entity_end": 204, "property_value_start": 206, "property_value_end": 207, "property_numeric_value": 18.0,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</si>
  <si>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10.1002/adfm.202103784</t>
  </si>
  <si>
    <t xml:space="preserve">{"power conversion efficiency": {"entity_name": "power conversion efficiencies", "entity_start": 14, "entity_end": 16, "property_value_start": 19, "property_value_end": 20, "property_numeric_value": 18.0,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</si>
  <si>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10.1002/adfm.202100877</t>
  </si>
  <si>
    <t xml:space="preserve">PBTIC-Î³-2F2 T</t>
  </si>
  <si>
    <t xml:space="preserve">['PBTIC-Î³-2F2 T', 'PBTIC-Î´-2F2 T', 'PBTIC-m-2F2 T']</t>
  </si>
  <si>
    <t xml:space="preserve">{"power conversion efficiency": {"entity_name": "power conversion efficiency", "entity_start": 137, "entity_end": 139, "property_value_start": 141, "property_value_end": 142, "property_numeric_value": 14.34,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</si>
  <si>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{"entity_name": "open-circuit voltage", "entity_start": 146, "entity_end": 149, "property_value_start": 151, "property_value_end": 152, "property_numeric_value": 0.95,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</si>
  <si>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10.1002/adfm.202103534</t>
  </si>
  <si>
    <t xml:space="preserve">{"power conversion efficiency": {"entity_name": "PCE", "entity_start": 115, "entity_end": 115, "property_value_start": 118, "property_value_end": 119, "property_numeric_value": 10.1,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</si>
  <si>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10.1002/adfm.202101742</t>
  </si>
  <si>
    <t xml:space="preserve">D18:4T-3</t>
  </si>
  <si>
    <t xml:space="preserve">['D18:4T-3']</t>
  </si>
  <si>
    <t xml:space="preserve">{"power conversion efficiency": {"entity_name": "power conversion efficiency", "entity_start": 92, "entity_end": 94, "property_value_start": 96, "property_value_end": 97, "property_numeric_value": 10.15,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</si>
  <si>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124, "entity_end": 124, "property_value_start": 127, "property_value_end": 128, "property_numeric_value": 12.04,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</si>
  <si>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10.1002/adfm.202010436</t>
  </si>
  <si>
    <t xml:space="preserve">2-(3-oxo-2,3-dihydro-1H-inden-1-ylidene)malononitrile</t>
  </si>
  <si>
    <t xml:space="preserve">{"power conversion efficiency": {"entity_name": "power conversion efficiency", "entity_start": 197, "entity_end": 199, "property_value_start": 201, "property_value_end": 202, "property_numeric_value": 15.45,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</si>
  <si>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10.1002/adma.202101295</t>
  </si>
  <si>
    <t xml:space="preserve">{"power conversion efficiency": {"entity_name": "PCE", "entity_start": 134, "entity_end": 134, "property_value_start": 137, "property_value_end": 138, "property_numeric_value": 8.64, "property_unit": "%", "property_value_descriptor": ""}, "open circuit voltage": {}, "short circuit current": {"entity_name": "J_{sc}", "entity_start": 111, "entity_end": 112, "property_value_start": 119, "property_value_end": 122, "property_numeric_value": 15.0,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</si>
  <si>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10.1002/adma.201801801</t>
  </si>
  <si>
    <t xml:space="preserve">{"power conversion efficiency": {}, "open circuit voltage": {}, "short circuit current": {}, "fill factor": {"entity_name": "FF", "entity_start": 147, "entity_end": 147, "property_value_start": 149, "property_value_end": 150, "property_numeric_value": 80.79,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</si>
  <si>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10.1002/adma.201701308</t>
  </si>
  <si>
    <t xml:space="preserve">{"power conversion efficiency": {"entity_name": "power conversion efficiency", "entity_start": 111, "entity_end": 113, "property_value_start": 115, "property_value_end": 116, "property_numeric_value": 9.77, "property_unit": "%", "property_value_descriptor": ""}, "open circuit voltage": {}, "short circuit current": {}, "fill factor": {}, "highest occupied molecular orbital": {}, "lowest unoccupied molecular orbital": {}, "bandgap": {"entity_name": "optical bandgap", "entity_start": 65, "entity_end": 66, "property_value_start": 68, "property_value_end": 69, "property_numeric_value": 1.38, "property_unit": "eV", "property_value_descriptor": ""}, "hole mobility": {}, "electron mobility": {"entity_name": "electron mobility", "entity_start": 74, "entity_end": 75, "property_value_start": 77, "property_value_end": 85, "property_numeric_value": 0.0024, "property_unit": "cm^{2} V^{-1} s^{-1}", "property_value_descriptor": ""}, "external quantum efficiency": {}}</t>
  </si>
  <si>
    <t xml:space="preserve">10.1002/advs.202004262</t>
  </si>
  <si>
    <t xml:space="preserve">BTP-FCl-FCl</t>
  </si>
  <si>
    <t xml:space="preserve">['BTP-FCl-FCl']</t>
  </si>
  <si>
    <t xml:space="preserve">{"power conversion efficiency": {"entity_name": "PCE", "entity_start": 234, "entity_end": 234, "property_value_start": 236, "property_value_end": 237, "property_numeric_value": 15.3, "property_unit": "%", "property_value_descriptor": ""}, "open circuit voltage": {}, "short circuit current": {"entity_name": "J_{sc}", "entity_start": 219, "entity_end": 220, "property_value_start": 225, "property_value_end": 228, "property_numeric_value": 24.58, "property_unit": "mA cm^{-2}", "property_value_descriptor": ""}, "fill factor": {"entity_name": "FF", "entity_start": 210, "entity_end": 210, "property_value_start": 216, "property_value_end": 217, "property_numeric_value": 75.36,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</si>
  <si>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10.1002/anie.202016265</t>
  </si>
  <si>
    <t xml:space="preserve">PBNT-BDD</t>
  </si>
  <si>
    <t xml:space="preserve">['PBNT-BDD']</t>
  </si>
  <si>
    <t xml:space="preserve">{"power conversion efficiency": {"entity_name": "PCE", "entity_start": 79, "entity_end": 79, "property_value_start": 82, "property_value_end": 83, "property_numeric_value": 16.1,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</si>
  <si>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10.1002/anie.202101577</t>
  </si>
  <si>
    <t xml:space="preserve">PFY-3Se</t>
  </si>
  <si>
    <t xml:space="preserve">['PFY-3Se']</t>
  </si>
  <si>
    <t xml:space="preserve">{"power conversion efficiency": {"entity_name": "PCE", "entity_start": 139, "entity_end": 139, "property_value_start": 141, "property_value_end": 142, "property_numeric_value": 15.1, "property_unit": "%", "property_value_descriptor": ""}, "open circuit voltage": {}, "short circuit current": {"entity_name": "short-circuit current density", "entity_start": 146, "entity_end": 150, "property_value_start": 152, "property_value_end": 155, "property_numeric_value": 23.6, "property_unit": "mA cm^{-2}", "property_value_descriptor": ""}, "fill factor": {"entity_name": "fill factor", "entity_start": 158, "entity_end": 159, "property_value_start": 161, "property_value_end": 161, "property_numeric_value": 73.7,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</si>
  <si>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PFY-0Se</t>
  </si>
  <si>
    <t xml:space="preserve">['PFY-0Se']</t>
  </si>
  <si>
    <t xml:space="preserve">{"power conversion efficiency": {"entity_name": "PCE", "entity_start": 188, "entity_end": 188, "property_value_start": 190, "property_value_end": 191, "property_numeric_value": 13.0,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</si>
  <si>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10.1002/anie.202104766</t>
  </si>
  <si>
    <t xml:space="preserve">WSSe</t>
  </si>
  <si>
    <t xml:space="preserve">['WSSe', 'Cl', 'Cl']</t>
  </si>
  <si>
    <t xml:space="preserve">{"power conversion efficiency": {"entity_name": "PCE", "entity_start": 148, "entity_end": 148, "property_value_start": 150, "property_value_end": 151, "property_numeric_value": 17.51,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</si>
  <si>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10.1002/anie.202110550</t>
  </si>
  <si>
    <t xml:space="preserve">{"power conversion efficiency": {"entity_name": "PCE", "entity_start": 172, "entity_end": 172, "property_value_start": 197, "property_value_end": 198, "property_numeric_value": 18.02,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</si>
  <si>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10.1002/cssc.202100841</t>
  </si>
  <si>
    <t xml:space="preserve">PEOz</t>
  </si>
  <si>
    <t xml:space="preserve">[*]CCN([*])C(=O)CC</t>
  </si>
  <si>
    <t xml:space="preserve">['poly(2-ethyl-2-oxazoline)', 'PEOz', 'PEOz', 'PEO']</t>
  </si>
  <si>
    <t xml:space="preserve">{"power conversion efficiency": {"entity_name": "power conversion efficiency", "entity_start": 103, "entity_end": 105, "property_value_start": 111, "property_value_end": 111, "property_numeric_value": 9.38,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</si>
  <si>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PEOz(6)</t>
  </si>
  <si>
    <t xml:space="preserve">['PEOz(6)']</t>
  </si>
  <si>
    <t xml:space="preserve">{"power conversion efficiency": {"entity_name": "power conversion efficiency", "entity_start": 103, "entity_end": 105, "property_value_start": 113, "property_value_end": 114, "property_numeric_value": 10.11,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</si>
  <si>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10.1002/cssc.202100746</t>
  </si>
  <si>
    <t xml:space="preserve">['PBDB-T', "poly[(2,6-(4,8-bis(5-(2-ethylhexyl)thiophen-2-yl)benzo[1,2-b:4,5-b']dithiophene)-co-(1,3-di(5-thiophene-2-yl)-5,7-bis(2-ethylhexyl)benzo[1,2-c:4,5-c']dithiophene-4,8-dione))"]</t>
  </si>
  <si>
    <t xml:space="preserve">{"power conversion efficiency": {"entity_name": "power conversion efficiency", "entity_start": 195, "entity_end": 197, "property_value_start": 199, "property_value_end": 200, "property_numeric_value": 12.4, "property_unit": "%", "property_value_descriptor": ""}, "open circuit voltage": {}, "short circuit current": {"entity_name": "short-circuit current density", "entity_start": 205, "entity_end": 209, "property_value_start": 211, "property_value_end": 213, "property_numeric_value": 22.1,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</si>
  <si>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10.1002/cssc.202101824</t>
  </si>
  <si>
    <t xml:space="preserve">{"power conversion efficiency": {"entity_name": "PCE", "entity_start": 168, "entity_end": 168, "property_value_start": 170, "property_value_end": 171, "property_numeric_value": 17.38, "property_unit": "%", "property_value_descriptor": ""}, "open circuit voltage": {"entity_name": "V oc", "entity_start": 144, "entity_end": 145, "property_value_start": 147, "property_value_end": 148, "property_numeric_value": 0.93,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</si>
  <si>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10.1002/cssc.202101336</t>
  </si>
  <si>
    <t xml:space="preserve">[XTBT] n</t>
  </si>
  <si>
    <t xml:space="preserve">['[XTBT] n']</t>
  </si>
  <si>
    <t xml:space="preserve">{"power conversion efficiency": {"entity_name": "power conversion efficiencies", "entity_start": 7, "entity_end": 9, "property_value_start": 11, "property_value_end": 13, "property_numeric_value": 18.0, "property_unit": "%", "property_value_descriptor": "&gt;"},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</si>
  <si>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10.1002/ente.202100595</t>
  </si>
  <si>
    <t xml:space="preserve">{"power conversion efficiency": {"entity_name": "PCE", "entity_start": 146, "entity_end": 146, "property_value_start": 149, "property_value_end": 150, "property_numeric_value": 13.62,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</si>
  <si>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10.1002/ente.202100122</t>
  </si>
  <si>
    <t xml:space="preserve">{"power conversion efficiency": {}, "open circuit voltage": {"entity_name": "V_{oc}", "entity_start": 137, "entity_end": 138, "property_value_start": 141, "property_value_end": 142, "property_numeric_value": 0.9,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</si>
  <si>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{"entity_name": "V_{oc}", "entity_start": 162, "entity_end": 163, "property_value_start": 165, "property_value_end": 166, "property_numeric_value": 0.49,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</si>
  <si>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{"entity_name": "V_{oc}", "entity_start": 195, "entity_end": 196, "property_value_start": 218, "property_value_end": 219, "property_numeric_value": 0.37,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</si>
  <si>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232, "entity_end": 232, "property_value_start": 246, "property_value_end": 247, "property_numeric_value": 4.55,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</si>
  <si>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10.1016/j.giant.2022.100093</t>
  </si>
  <si>
    <t xml:space="preserve">benzo[1,2-b:3,4-b'-5,6-b'']tri(4-H-dithieno[3,2-b:2',3'-d]pyrrole)</t>
  </si>
  <si>
    <t xml:space="preserve">{"power conversion efficiency": {"entity_name": "PCE", "entity_start": 187, "entity_end": 187, "property_value_start": 189, "property_value_end": 190, "property_numeric_value": 6.74, "property_unit": "%", "property_value_descriptor": ""}, "open circuit voltage": {}, "short circuit current": {"entity_name": "short-circuit current density", "entity_start": 161, "entity_end": 165, "property_value_start": 167, "property_value_end": 170, "property_numeric_value": 14.9, "property_unit": "mA cm^{-2}", "property_value_descriptor": ""}, "fill factor": {"entity_name": "fill factor", "entity_start": 154, "entity_end": 155, "property_value_start": 157, "property_value_end": 158, "property_numeric_value": 74.98, "property_unit": "%", "property_value_descriptor": ""}, "highest occupied molecular orbital": {}, "lowest unoccupied molecular orbital": {}, "bandgap": {"entity_name": "bandgaps", "entity_start": 71, "entity_end": 71, "property_value_start": 73, "property_value_end": 74, "property_numeric_value": 1.58, "property_unit": "eV", "property_value_descriptor": ""}, "hole mobility": {}, "electron mobility": {}, "external quantum efficiency": {}}</t>
  </si>
  <si>
    <t xml:space="preserve">10.1016/j.polymer.2022.124639</t>
  </si>
  <si>
    <t xml:space="preserve">PNDT-3 T</t>
  </si>
  <si>
    <t xml:space="preserve">['PBDT-3 T', 'PNDT-3 T']</t>
  </si>
  <si>
    <t xml:space="preserve">{"power conversion efficiency": {"entity_name": "PCE", "entity_start": 194, "entity_end": 194, "property_value_start": 196, "property_value_end": 197, "property_numeric_value": 9.72, "property_unit": "%", "property_value_descriptor": ""}, "open circuit voltage": {}, "short circuit current": {}, "fill factor": {"entity_name": "fill factor", "entity_start": 180, "entity_end": 181, "property_value_start": 188, "property_value_end": 189, "property_numeric_value": 63.7,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</si>
  <si>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10.1016/j.polymer.2022.124547</t>
  </si>
  <si>
    <t xml:space="preserve">['PBN-12']</t>
  </si>
  <si>
    <t xml:space="preserve">{"power conversion efficiency": {"entity_name": "PCE", "entity_start": 170, "entity_end": 170, "property_value_start": 173, "property_value_end": 174, "property_numeric_value": 5.4,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</si>
  <si>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10.1007/s10118-022-2662-z</t>
  </si>
  <si>
    <t xml:space="preserve">PCBTZ-TT</t>
  </si>
  <si>
    <t xml:space="preserve">['PCBTZ-TT']</t>
  </si>
  <si>
    <t xml:space="preserve">{"power conversion efficiency": {"entity_name": "power conversion efficiency", "entity_start": 171, "entity_end": 173, "property_value_start": 175, "property_value_end": 176, "property_numeric_value": 13.6,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</si>
  <si>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10.1016/j.cej.2021.133575</t>
  </si>
  <si>
    <t xml:space="preserve">{"power conversion efficiency": {"entity_name": "PCEs", "entity_start": 188, "entity_end": 188, "property_value_start": 208, "property_value_end": 209, "property_numeric_value": 11.5,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</si>
  <si>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10.1016/j.dyepig.2021.110019</t>
  </si>
  <si>
    <t xml:space="preserve">PQTBDT</t>
  </si>
  <si>
    <t xml:space="preserve">['PQTBDT']</t>
  </si>
  <si>
    <t xml:space="preserve">{"power conversion efficiency": {"entity_name": "power conversion efficiency", "entity_start": 149, "entity_end": 151, "property_value_start": 154, "property_value_end": 155, "property_numeric_value": 6.5,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</si>
  <si>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10.1016/j.dyepig.2021.109842</t>
  </si>
  <si>
    <t xml:space="preserve">PBT20Si</t>
  </si>
  <si>
    <t xml:space="preserve">['PBT20Si']</t>
  </si>
  <si>
    <t xml:space="preserve">{"power conversion efficiency": {"entity_name": "PCE", "entity_start": 162, "entity_end": 162, "property_value_start": 165, "property_value_end": 166, "property_numeric_value": 13.06, "property_unit": "%", "property_value_descriptor": ""}, "open circuit voltage": {}, "short circuit current": {}, "fill factor": {}, "highest occupied molecular orbital": {}, "lowest unoccupied molecular orbital": {}, "bandgap": {}, "hole mobility": {"entity_name": "\u03bc h", "entity_start": 138, "entity_end": 140, "property_value_start": 143, "property_value_end": 152, "property_numeric_value": 0.0004990000000000001, "property_unit": "cm^{2} V^{-1} s^{-1}", "property_value_descriptor": ""}, "electron mobility": {}, "external quantum efficiency": {}}</t>
  </si>
  <si>
    <t xml:space="preserve">10.1016/j.dyepig.2021.109834</t>
  </si>
  <si>
    <t xml:space="preserve">J52FF</t>
  </si>
  <si>
    <t xml:space="preserve">['J52FF']</t>
  </si>
  <si>
    <t xml:space="preserve">{"power conversion efficiency": {"entity_name": "PCE", "entity_start": 139, "entity_end": 139, "property_value_start": 142, "property_value_end": 143, "property_numeric_value": 14.83, "property_unit": "%", "property_value_descriptor": ""}, "open circuit voltage": {"entity_name": "V oc", "entity_start": 151, "entity_end": 152, "property_value_start": 155, "property_value_end": 156, "property_numeric_value": 0.9, "property_unit": "V", "property_value_descriptor": ""}, "short circuit current": {"entity_name": "J sc", "entity_start": 163, "entity_end": 164, "property_value_start": 167, "property_value_end": 170, "property_numeric_value": 23.21, "property_unit": "mA cm^{-2}", "property_value_descriptor": ""}, "fill factor": {"entity_name": "FF", "entity_start": 177, "entity_end": 177, "property_value_start": 180, "property_value_end": 180, "property_numeric_value": 71.0, "property_unit": "%", "property_value_descriptor": ""}, "highest occupied molecular orbital": {"entity_name": "HOMO", "entity_start": 67, "entity_end": 67, "property_value_start": 71, "property_value_end": 72, "property_numeric_value": -5.62, "property_unit": "eV", "property_value_descriptor": ""}, "lowest unoccupied molecular orbital": {}, "bandgap": {}, "hole mobility": {}, "electron mobility": {}, "external quantum efficiency": {}}</t>
  </si>
  <si>
    <t xml:space="preserve">10.1016/j.jiec.2022.02.011</t>
  </si>
  <si>
    <t xml:space="preserve">An + PNAn</t>
  </si>
  <si>
    <t xml:space="preserve">['An + PNAn', 'An + PNAn]^{BD}']</t>
  </si>
  <si>
    <t xml:space="preserve">{"power conversion efficiency": {"entity_name": "power conversion efficiency", "entity_start": 210, "entity_end": 212, "property_value_start": 215, "property_value_end": 218, "property_numeric_value": 5.7, "property_unit": "%", "property_value_descriptor": "to"}, "open circuit voltage": {}, "short circuit current": {}, "fill factor": {"entity_name": "fill factor", "entity_start": 199, "entity_end": 200, "property_value_start": 203, "property_value_end": 206, "property_numeric_value": 35.205, "property_unit": "%", "property_value_descriptor": "to"}, "highest occupied molecular orbital": {}, "lowest unoccupied molecular orbital": {}, "bandgap": {"entity_name": "bandgaps", "entity_start": 82, "entity_end": 82, "property_value_start": 94, "property_value_end": 95, "property_numeric_value": 1.696, "property_unit": "eV", "property_value_descriptor": ""}, "hole mobility": {}, "electron mobility": {}, "external quantum efficiency": {}}</t>
  </si>
  <si>
    <t xml:space="preserve">10.1016/j.matt.2021.12.002</t>
  </si>
  <si>
    <t xml:space="preserve">{"power conversion efficiency": {"entity_name": "PCE", "entity_start": 88, "entity_end": 88, "property_value_start": 103, "property_value_end": 104, "property_numeric_value": 15.74,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</si>
  <si>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10.1016/j.tsf.2021.139043</t>
  </si>
  <si>
    <t xml:space="preserve">poly(styrene-co-acrylic acid)</t>
  </si>
  <si>
    <t xml:space="preserve">['poly(styrene-co-acrylic acid)', 'PS-co-PAA']</t>
  </si>
  <si>
    <t xml:space="preserve">{"power conversion efficiency": {"entity_name": "power conversion efficiency", "entity_start": 167, "entity_end": 169, "property_value_start": 192, "property_value_end": 193, "property_numeric_value": 12.0, "property_unit": "%", "property_value_descriptor": ""}, "open circuit voltage": {}, "short circuit current": {"entity_name": "short-circuit current densities", "entity_start": 154, "entity_end": 158, "property_value_start": 162, "property_value_end": 164, "property_numeric_value": 26.8, "property_unit": "mA cm^{-2}", "property_value_descriptor": "~"}, "fill factor": {}, "highest occupied molecular orbital": {}, "lowest unoccupied molecular orbital": {}, "bandgap": {}, "hole mobility": {}, "electron mobility": {}, "external quantum efficiency": {}}</t>
  </si>
  <si>
    <t xml:space="preserve">10.1038/s41598-021-00580-4</t>
  </si>
  <si>
    <t xml:space="preserve">{"power conversion efficiency": {"entity_name": "PCE", "entity_start": 188, "entity_end": 188, "property_value_start": 190, "property_value_end": 191, "property_numeric_value": 6.85,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</si>
  <si>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10.1002/ente.202100718</t>
  </si>
  <si>
    <t xml:space="preserve">{"power conversion efficiency": {"entity_name": "PCEs", "entity_start": 153, "entity_end": 153, "property_value_start": 185, "property_value_end": 186, "property_numeric_value": 15.93,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</si>
  <si>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10.1016/j.cap.2018.02.012</t>
  </si>
  <si>
    <t xml:space="preserve">{"power conversion efficiency": {"entity_name": "PCE", "entity_start": 151, "entity_end": 151, "property_value_start": 154, "property_value_end": 155,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</si>
  <si>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10.1016/j.dyepig.2016.08.011</t>
  </si>
  <si>
    <t xml:space="preserve">{"power conversion efficiency": {"entity_name": "PCE", "entity_start": 105, "entity_end": 105, "property_value_start": 107, "property_value_end": 108, "property_numeric_value": 2.66, "property_unit": "%", "property_value_descriptor": ""}, "open circuit voltage": {"entity_name": "V_{oc}", "entity_start": 110, "entity_end": 111, "property_value_start": 113, "property_value_end": 114, "property_numeric_value": 1.01, "property_unit": "V", "property_value_descriptor": ""}, "short circuit current": {"entity_name": "J sc", "entity_start": 116, "entity_end": 117, "property_value_start": 119, "property_value_end": 123, "property_numeric_value": 6.71, "property_unit": "mA/cm^{2}", "property_value_descriptor": ""}, "fill factor": {"entity_name": "FF", "entity_start": 125, "entity_end": 125, "property_value_start": 127, "property_value_end": 127, "property_numeric_value": 39.0,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</si>
  <si>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10.1080/15421406.2014.968082</t>
  </si>
  <si>
    <t xml:space="preserve">{"power conversion efficiency": {"entity_name": "power conversion efficiencies", "entity_start": 102, "entity_end": 104, "property_value_start": 106, "property_value_end": 107, "property_numeric_value": 0.11, "property_unit": "%", "property_value_descriptor": ""}, "open circuit voltage": {"entity_name": "open-circuit voltages", "entity_start": 94, "entity_end": 97, "property_value_start": 99, "property_value_end": 100, "property_numeric_value": 0.69,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</si>
  <si>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10.1007/s00339-013-8128-y</t>
  </si>
  <si>
    <t xml:space="preserve">{"power conversion efficiency": {"entity_name": "power conversion efficiency", "entity_start": 119, "entity_end": 121, "property_value_start": 123, "property_value_end": 124, "property_numeric_value": 0.57,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</si>
  <si>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10.1021/acsomega.7b00408</t>
  </si>
  <si>
    <t xml:space="preserve">{"power conversion efficiency": {"entity_name": "power conversion efficiency", "entity_start": 211, "entity_end": 213, "property_value_start": 215, "property_value_end": 216, "property_numeric_value": 8.6, "property_unit": "%", "property_value_descriptor": ""}, "open circuit voltage": {}, "short circuit current": {"entity_name": "short-circuit current density", "entity_start": 99, "entity_end": 103, "property_value_start": 110, "property_value_end": 113, "property_numeric_value": 16.89,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</si>
  <si>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{"entity_name": "open-circuit voltage", "entity_start": 183, "entity_end": 186, "property_value_start": 193, "property_value_end": 194, "property_numeric_value": 0.786,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</si>
  <si>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10.1021/acs.chemmater.5b01591</t>
  </si>
  <si>
    <t xml:space="preserve">{"power conversion efficiency": {"entity_name": "PCE", "entity_start": 162, "entity_end": 162, "property_value_start": 166, "property_value_end": 167, "property_numeric_value": 9.0,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</si>
  <si>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10.1039/c8ta06378h</t>
  </si>
  <si>
    <t xml:space="preserve">{"power conversion efficiency": {"entity_name": "power conversion efficiency", "entity_start": 212, "entity_end": 214, "property_value_start": 220, "property_value_end": 221, "property_numeric_value": 11.05,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</si>
  <si>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10.1039/c5ta06802a</t>
  </si>
  <si>
    <t xml:space="preserve">{"power conversion efficiency": {"entity_name": "power conversion efficiency", "entity_start": 307, "entity_end": 309, "property_value_start": 311, "property_value_end": 312, "property_numeric_value": 2.8, "property_unit": "%", "property_value_descriptor": ""}, "open circuit voltage": {"entity_name": "V_{oc}", "entity_start": 163, "entity_end": 164, "property_value_start": 166, "property_value_end": 167, "property_numeric_value": 0.82, "property_unit": "V", "property_value_descriptor": ""}, "short circuit current": {"entity_name": "J_{sc}", "entity_start": 155, "entity_end": 156, "property_value_start": 158, "property_value_end": 161, "property_numeric_value": 14.8, "property_unit": "mA cm^{-2}", "property_value_descriptor": ""}, "fill factor": {"entity_name": "fill factor", "entity_start": 169, "entity_end": 170, "property_value_start": 172, "property_value_end": 173, "property_numeric_value": 32.0,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</si>
  <si>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10.1016/j.orgel.2015.12.030</t>
  </si>
  <si>
    <t xml:space="preserve">{"power conversion efficiency": {}, "open circuit voltage": {"entity_name": "open-circuit voltages", "entity_start": 177, "entity_end": 180, "property_value_start": 182, "property_value_end": 185, "property_numeric_value": 0.9, "property_unit": "V", "property_value_descriptor": "and"}, "short circuit current": {}, "fill factor": {"entity_name": "fill factor", "entity_start": 217, "entity_end": 218, "property_value_start": 220, "property_value_end": 221, "property_numeric_value": 75.4,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</si>
  <si>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10.1002/pssa.201532951</t>
  </si>
  <si>
    <t xml:space="preserve">{"power conversion efficiency": {"entity_name": "PCE", "entity_start": 179, "entity_end": 179, "property_value_start": 182, "property_value_end": 183, "property_numeric_value": 12.5, "property_unit": "%", "property_value_descriptor": ""}, "open circuit voltage": {"entity_name": "V_{oc}", "entity_start": 193, "entity_end": 194, "property_value_start": 196, "property_value_end": 197, "property_numeric_value": 0.53, "property_unit": "V", "property_value_descriptor": ""}, "short circuit current": {"entity_name": "J_{sc}", "entity_start": 185, "entity_end": 186, "property_value_start": 188, "property_value_end": 191, "property_numeric_value": 35.6, "property_unit": "mA cm^{-2}", "property_value_descriptor": ""}, "fill factor": {"entity_name": "FF", "entity_start": 200, "entity_end": 200, "property_value_start": 202, "property_value_end": 202, "property_numeric_value": 67.0,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</si>
  <si>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10.1016/j.tsf.2005.12.013</t>
  </si>
  <si>
    <t xml:space="preserve">{"power conversion efficiency": {"entity_name": "power conversion efficiency", "entity_start": 107, "entity_end": 109, "property_value_start": 111, "property_value_end": 112, "property_numeric_value": 0.7, "property_unit": "%", "property_value_descriptor": ""}, "open circuit voltage": {"entity_name": "open circuit voltage", "entity_start": 100, "entity_end": 102, "property_value_start": 104, "property_value_end": 105, "property_numeric_value": 0.58,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</si>
  <si>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10.1016/j.optmat.2017.09.037</t>
  </si>
  <si>
    <t xml:space="preserve">{"power conversion efficiency": {"entity_name": "power conversion efficiency", "entity_start": 243, "entity_end": 245, "property_value_start": 252, "property_value_end": 253, "property_numeric_value": 0.52,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</si>
  <si>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10.1002/adfm.201401841</t>
  </si>
  <si>
    <t xml:space="preserve">{"power conversion efficiency": {"entity_name": "power conversion efficiency", "entity_start": 121, "entity_end": 123, "property_value_start": 126, "property_value_end": 127,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</si>
  <si>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10.1021/am402598j</t>
  </si>
  <si>
    <t xml:space="preserve">{"power conversion efficiency": {"entity_name": "PCE", "entity_start": 120, "entity_end": 120, "property_value_start": 123, "property_value_end": 124, "property_numeric_value": 9.65,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</si>
  <si>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220, "entity_end": 220, "property_value_start": 230, "property_value_end": 231, "property_numeric_value": 10.56,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</si>
  <si>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10.1002/adfm.201402637</t>
  </si>
  <si>
    <t xml:space="preserve">{"power conversion efficiency": {"entity_name": "PCEs", "entity_start": 116, "entity_end": 116, "property_value_start": 119, "property_value_end": 120, "property_numeric_value": 6.0, "property_unit": "%", "property_value_descriptor": "\u2248"},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</si>
  <si>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10.1016/j.dyepig.2015.07.032</t>
  </si>
  <si>
    <t xml:space="preserve">{"power conversion efficiency": {"entity_name": "power conversion efficiency", "entity_start": 170, "entity_end": 172, "property_value_start": 187, "property_value_end": 188, "property_numeric_value": 5.26, "property_unit": "%", "property_value_descriptor": ""}, "open circuit voltage": {"entity_name": "open-circuit voltage", "entity_start": 159, "entity_end": 162, "property_value_start": 164, "property_value_end": 165, "property_numeric_value": 0.91,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</si>
  <si>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10.1016/j.solmat.2011.02.031</t>
  </si>
  <si>
    <t xml:space="preserve">{"power conversion efficiency": {"entity_name": "power conversion efficiency", "entity_start": 152, "entity_end": 154, "property_value_start": 160, "property_value_end": 161, "property_numeric_value": 3.2, "property_unit": "%", "property_value_descriptor": ""}, "open circuit voltage": {}, "short circuit current": {"entity_name": "short-circuit current density", "entity_start": 122, "entity_end": 126, "property_value_start": 137, "property_value_end": 141, "property_numeric_value": 14.2,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</si>
  <si>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10.1002/advs.201670049</t>
  </si>
  <si>
    <t xml:space="preserve">{"power conversion efficiency": {"entity_name": "power conversion efficiency", "entity_start": 63, "entity_end": 65, "property_value_start": 67, "property_value_end": 68, "property_numeric_value": 8.63,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</si>
  <si>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10.1039/c2cp42935g</t>
  </si>
  <si>
    <t xml:space="preserve">{"power conversion efficiency": {"entity_name": "power conversion efficiency", "entity_start": 35, "entity_end": 37, "property_value_start": 43, "property_value_end": 44,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</si>
  <si>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10.1039/c7ta05246d</t>
  </si>
  <si>
    <t xml:space="preserve">{"power conversion efficiency": {"entity_name": "PCE", "entity_start": 177, "entity_end": 177, "property_value_start": 186, "property_value_end": 187, "property_numeric_value": 9.5,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</si>
  <si>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10.1002/aenm.201500204</t>
  </si>
  <si>
    <t xml:space="preserve">{"power conversion efficiency": {"entity_name": "power conversion efficiency", "entity_start": 46, "entity_end": 48, "property_value_start": 55, "property_value_end": 56,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</si>
  <si>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10.1039/c5ra05762k</t>
  </si>
  <si>
    <t xml:space="preserve">{"power conversion efficiency": {"entity_name": "power conversion efficiencies", "entity_start": 258, "entity_end": 260, "property_value_start": 264, "property_value_end": 265,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</si>
  <si>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10.1021/jp909376f</t>
  </si>
  <si>
    <t xml:space="preserve">{"power conversion efficiency": {"entity_name": "power conversion efficiency", "entity_start": 162, "entity_end": 164, "property_value_start": 166, "property_value_end": 167, "property_numeric_value": 0.35,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</si>
  <si>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10.1039/b803467b</t>
  </si>
  <si>
    <t xml:space="preserve">{"power conversion efficiency": {"entity_name": "PCEs", "entity_start": 88, "entity_end": 88, "property_value_start": 93, "property_value_end": 94, "property_numeric_value": 0.63, "property_unit": "%", "property_value_descriptor": ""}, "open circuit voltage": {}, "short circuit current": {}, "fill factor": {}, "highest occupied molecular orbital": {}, "lowest unoccupied molecular orbital": {}, "bandgap": {"entity_name": "bandgaps", "entity_start": 36, "entity_end": 36, "property_value_start": 38, "property_value_end": 41, "property_numeric_value": 1.4849999999999999, "property_unit": "eV", "property_value_descriptor": "-"}, "hole mobility": {}, "electron mobility": {}, "external quantum efficiency": {}}</t>
  </si>
  <si>
    <t xml:space="preserve">10.1016/j.tsf.2013.04.137</t>
  </si>
  <si>
    <t xml:space="preserve">{"power conversion efficiency": {"entity_name": "power conversion efficiencies", "entity_start": 129, "entity_end": 131, "property_value_start": 136, "property_value_end": 139, "property_numeric_value": 1.51, "property_unit": "%", "property_value_descriptor": "-"}, "open circuit voltage": {}, "short circuit current": {}, "fill factor": {}, "highest occupied molecular orbital": {}, "lowest unoccupied molecular orbital": {}, "bandgap": {"entity_name": "band gaps", "entity_start": 108, "entity_end": 109, "property_value_start": 114, "property_value_end": 117, "property_numeric_value": 1.8699999999999999, "property_unit": "eV", "property_value_descriptor": "-"}, "hole mobility": {}, "electron mobility": {}, "external quantum efficiency": {}}</t>
  </si>
  <si>
    <t xml:space="preserve">["benzo[1,2-b:4,5-b']dithiophene", "poly[4,8-bis(2-ethylhexyloxy)benzo[1,2-b:4,5-b']dithiophene-alt-5,5-(5',8'-di-2-thienyl-2,3-bis(4-octyloxyl)phenyl)quinoxaline]"]</t>
  </si>
  <si>
    <t xml:space="preserve">{"power conversion efficiency": {"entity_name": "power conversion efficiency", "entity_start": 170, "entity_end": 172, "property_value_start": 174, "property_value_end": 175, "property_numeric_value": 2.15, "property_unit": "%", "property_value_descriptor": ""}, "open circuit voltage": {"entity_name": "open-circuit voltage", "entity_start": 189, "entity_end": 192, "property_value_start": 194, "property_value_end": 195, "property_numeric_value": 0.67, "property_unit": "V", "property_value_descriptor": ""}, "short circuit current": {"entity_name": "short circuit current", "entity_start": 178, "entity_end": 180, "property_value_start": 182, "property_value_end": 186, "property_numeric_value": 7.06, "property_unit": "mA/cm^{2}", "property_value_descriptor": ""}, "fill factor": {"entity_name": "fill factor", "entity_start": 199, "entity_end": 200, "property_value_start": 202, "property_value_end": 202, "property_numeric_value": 46.0,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</si>
  <si>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10.1016/j.jpowsour.2015.01.103</t>
  </si>
  <si>
    <t xml:space="preserve">{"power conversion efficiency": {"entity_name": "power conversion efficiencies", "entity_start": 165, "entity_end": 167, "property_value_start": 172, "property_value_end": 173, "property_numeric_value": 0.31,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</si>
  <si>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10.1039/c4ra15343j</t>
  </si>
  <si>
    <t xml:space="preserve">{"power conversion efficiency": {"entity_name": "PCE", "entity_start": 113, "entity_end": 113, "property_value_start": 138, "property_value_end": 139, "property_numeric_value": 7.9,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</si>
  <si>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10.1002/pola.27538</t>
  </si>
  <si>
    <t xml:space="preserve">{"power conversion efficiency": {"entity_name": "PCE", "entity_start": 152, "entity_end": 152, "property_value_start": 154, "property_value_end": 155,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</si>
  <si>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10.1039/c6ra01830k</t>
  </si>
  <si>
    <t xml:space="preserve">{"power conversion efficiency": {"entity_name": "power conversion efficiency", "entity_start": 30, "entity_end": 32, "property_value_start": 34, "property_value_end": 35, "property_numeric_value": 2.9,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mobilities", "entity_start": 50, "entity_end": 51, "property_value_start": 71, "property_value_end": 79, "property_numeric_value": 1.15e-05, "property_unit": "cm^{2} V^{-1} s^{-1}", "property_value_descriptor": ""}, "external quantum efficiency": {}}</t>
  </si>
  <si>
    <t xml:space="preserve">10.1016/j.solmat.2013.02.021</t>
  </si>
  <si>
    <t xml:space="preserve">{"power conversion efficiency": {"entity_name": "power conversion efficiency", "entity_start": 169, "entity_end": 171, "property_value_start": 173, "property_value_end": 174, "property_numeric_value": 1.6,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</si>
  <si>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10.1039/c2ee22212d</t>
  </si>
  <si>
    <t xml:space="preserve">{"power conversion efficiency": {"entity_name": "power conversion efficiency", "entity_start": 76, "entity_end": 78, "property_value_start": 80, "property_value_end": 81, "property_numeric_value": 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</si>
  <si>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10.1016/j.polymer.2018.06.007</t>
  </si>
  <si>
    <t xml:space="preserve">{"power conversion efficiency": {"entity_name": "power conversion efficiency", "entity_start": 119, "entity_end": 121, "property_value_start": 123, "property_value_end": 124, "property_numeric_value": 1.28, "property_unit": "%", "property_value_descriptor": ""}, "open circuit voltage": {"entity_name": "V_{oc}", "entity_start": 135, "entity_end": 136, "property_value_start": 138, "property_value_end": 139, "property_numeric_value": 0.84, "property_unit": "V", "property_value_descriptor": ""}, "short circuit current": {}, "fill factor": {}, "highest occupied molecular orbital": {"entity_name": "HOMO levels", "entity_start": 67, "entity_end": 68, "property_value_start": 79, "property_value_end": 80, "property_numeric_value": -5.21, "property_unit": "eV", "property_value_descriptor": ""}, "lowest unoccupied molecular orbital": {"entity_name": "LUMO levels", "entity_start": 83, "entity_end": 84, "property_value_start": 87, "property_value_end": 90, "property_numeric_value": -3.17, "property_unit": "eV", "property_value_descriptor": "to"}, "bandgap": {"entity_name": "optical bandgaps", "entity_start": 49, "entity_end": 50, "property_value_start": 52, "property_value_end": 55, "property_numeric_value": 1.98, "property_unit": "eV", "property_value_descriptor": "-"}, "hole mobility": {}, "electron mobility": {}, "external quantum efficiency": {}}</t>
  </si>
  <si>
    <t xml:space="preserve">10.1002/app.45003</t>
  </si>
  <si>
    <t xml:space="preserve">{"power conversion efficiency": {"entity_name": "PCE", "entity_start": 123, "entity_end": 123, "property_value_start": 126, "property_value_end": 127, "property_numeric_value": 3.12,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</si>
  <si>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10.1021/ma100006x</t>
  </si>
  <si>
    <t xml:space="preserve">{"power conversion efficiency": {"entity_name": "power conversion efficiencies", "entity_start": 100, "entity_end": 102, "property_value_start": 106, "property_value_end": 107,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</si>
  <si>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10.1021/ma5000943</t>
  </si>
  <si>
    <t xml:space="preserve">{"power conversion efficiency": {"entity_name": "PCE", "entity_start": 129, "entity_end": 129, "property_value_start": 131, "property_value_end": 132, "property_numeric_value": 2.0, "property_unit": "%", "property_value_descriptor": ""}, "open circuit voltage": {"entity_name": "V_{OC}", "entity_start": 151, "entity_end": 153, "property_value_start": 156, "property_value_end": 157, "property_numeric_value": 1.0,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</si>
  <si>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10.1021/ma4011186</t>
  </si>
  <si>
    <t xml:space="preserve">{"power conversion efficiency": {"entity_name": "PCEs", "entity_start": 106, "entity_end": 106, "property_value_start": 108, "property_value_end": 109, "property_numeric_value": 5.0, "property_unit": "%", "property_value_descriptor": "~"}, "open circuit voltage": {"entity_name": "V_{OC}", "entity_start": 116, "entity_end": 117, "property_value_start": 121, "property_value_end": 122, "property_numeric_value": 0.8,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</si>
  <si>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10.1021/acs.macromol.8b02526</t>
  </si>
  <si>
    <t xml:space="preserve">{"power conversion efficiency": {"entity_name": "PCE", "entity_start": 227, "entity_end": 227, "property_value_start": 229, "property_value_end": 230, "property_numeric_value": 7.56,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</si>
  <si>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10.1021/acs.macromol.5b00589</t>
  </si>
  <si>
    <t xml:space="preserve">{"power conversion efficiency": {"entity_name": "power conversion efficiencies", "entity_start": 156, "entity_end": 158, "property_value_start": 162, "property_value_end": 163, "property_numeric_value": 3.6,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</si>
  <si>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10.1021/acs.macromol.7b01986</t>
  </si>
  <si>
    <t xml:space="preserve">{"power conversion efficiency": {"entity_name": "PCE", "entity_start": 237, "entity_end": 237, "property_value_start": 239, "property_value_end": 240, "property_numeric_value": 5.16,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</si>
  <si>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10.1039/c3py01157g</t>
  </si>
  <si>
    <t xml:space="preserve">{"power conversion efficiency": {"entity_name": "power conversion efficiency", "entity_start": 43, "entity_end": 45, "property_value_start": 47, "property_value_end": 48, "property_numeric_value": 6.38, "property_unit": "%", "property_value_descriptor": ""}, "open circuit voltage": {"entity_name": "V_{oc}", "entity_start": 52, "entity_end": 53, "property_value_start": 55, "property_value_end": 56, "property_numeric_value": 0.82,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</si>
  <si>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10.1039/c5py01406a</t>
  </si>
  <si>
    <t xml:space="preserve">{"power conversion efficiency": {"entity_name": "power conversion efficiency", "entity_start": 126, "entity_end": 128, "property_value_start": 130, "property_value_end": 131, "property_numeric_value": 4.7,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93, "entity_end": 94, "property_value_start": 96, "property_value_end": 101, "property_numeric_value": 0.81, "property_unit": "cm^{2} V^{-1} s^{-1}", "property_value_descriptor": ""}, "electron mobility": {}, "external quantum efficiency": {}}</t>
  </si>
  <si>
    <t xml:space="preserve">10.1039/c5py00693g</t>
  </si>
  <si>
    <t xml:space="preserve">{"power conversion efficiency": {"entity_name": "power conversion efficiency", "entity_start": 73, "entity_end": 75, "property_value_start": 77, "property_value_end": 77, "property_numeric_value": 2.8,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</si>
  <si>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10.1002/pola.23601</t>
  </si>
  <si>
    <t xml:space="preserve">{"power conversion efficiency": {"entity_name": "Power conversion efficiencies", "entity_start": 181, "entity_end": 183, "property_value_start": 187, "property_value_end": 190, "property_numeric_value": 0.3, "property_unit": "%", "property_value_descriptor": "-"}, "open circuit voltage": {}, "short circuit current": {}, "fill factor": {}, "highest occupied molecular orbital": {"entity_name": "HOMO", "entity_start": 121, "entity_end": 121, "property_value_start": 124, "property_value_end": 127, "property_numeric_value": -5.1, "property_unit": "eV", "property_value_descriptor": "to"}, "lowest unoccupied molecular orbital": {"entity_name": "LUMO levels", "entity_start": 100, "entity_end": 101, "property_value_start": 103, "property_value_end": 106, "property_numeric_value": -3.0999999999999996, "property_unit": "eV", "property_value_descriptor": "to"}, "bandgap": {}, "hole mobility": {"entity_name": "hole mobilities", "entity_start": 150, "entity_end": 151, "property_value_start": 158, "property_value_end": 167, "property_numeric_value": 0.03, "property_unit": "cm^{2} V^{-1} s^{-1}", "property_value_descriptor": ""}, "electron mobility": {}, "external quantum efficiency": {}}</t>
  </si>
  <si>
    <t xml:space="preserve">10.1007/s00396-012-2708-9</t>
  </si>
  <si>
    <t xml:space="preserve">{"power conversion efficiency": {"entity_name": "power conversion efficiency", "entity_start": 230, "entity_end": 232, "property_value_start": 234, "property_value_end": 235, "property_numeric_value": 0.5,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</si>
  <si>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10.1080/15583724.2010.515765</t>
  </si>
  <si>
    <t xml:space="preserve">{"power conversion efficiency": {"entity_name": "PCE", "entity_start": 120, "entity_end": 120, "property_value_start": 124, "property_value_end": 125,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</si>
  <si>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10.1007/s13233-015-3042-0</t>
  </si>
  <si>
    <t xml:space="preserve">{"power conversion efficiency": {"entity_name": "PCE", "entity_start": 133, "entity_end": 133, "property_value_start": 161, "property_value_end": 162, "property_numeric_value": 2.62,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</si>
  <si>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10.1021/am101097d</t>
  </si>
  <si>
    <t xml:space="preserve">{"power conversion efficiency": {"entity_name": "power conversion efficiency", "entity_start": 111, "entity_end": 113, "property_value_start": 129, "property_value_end": 130, "property_numeric_value": 2.1,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</si>
  <si>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10.1021/acs.jpcc.7b10638</t>
  </si>
  <si>
    <t xml:space="preserve">{"power conversion efficiency": {"entity_name": "PCE", "entity_start": 144, "entity_end": 144, "property_value_start": 150, "property_value_end": 151, "property_numeric_value": 7.147,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</si>
  <si>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10.1021/la7020403</t>
  </si>
  <si>
    <t xml:space="preserve">{"power conversion efficiency": {"entity_name": "power conversion efficiencies", "entity_start": 119, "entity_end": 121, "property_value_start": 123, "property_value_end": 124, "property_numeric_value": 2.1, "property_unit": "%", "property_value_descriptor": ""}, "open circuit voltage": {}, "short circuit current": {"entity_name": "short-circuit current density", "entity_start": 95, "entity_end": 99, "property_value_start": 101, "property_value_end": 104, "property_numeric_value": 5.5,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</si>
  <si>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10.1021/jacs.6b06418</t>
  </si>
  <si>
    <t xml:space="preserve">{"power conversion efficiency": {"entity_name": "PCE", "entity_start": 90, "entity_end": 90, "property_value_start": 92, "property_value_end": 93,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</si>
  <si>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10.1021/ja404064m</t>
  </si>
  <si>
    <t xml:space="preserve">{"power conversion efficiency": {"entity_name": "power conversion efficiencies", "entity_start": 70, "entity_end": 72, "property_value_start": 76, "property_value_end": 77, "property_numeric_value": 8.2,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</si>
  <si>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10.1021/jp412784q</t>
  </si>
  <si>
    <t xml:space="preserve">{"power conversion efficiency": {"entity_name": "power conversion efficiency", "entity_start": 89, "entity_end": 91, "property_value_start": 100, "property_value_end": 101, "property_numeric_value": 4.15,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</si>
  <si>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10.1021/jp103587y</t>
  </si>
  <si>
    <t xml:space="preserve">{"power conversion efficiency": {"entity_name": "power conversion efficiency", "entity_start": 108, "entity_end": 110, "property_value_start": 112, "property_value_end": 113, "property_numeric_value": 0.34,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</si>
  <si>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10.1002/admi.201500438</t>
  </si>
  <si>
    <t xml:space="preserve">{"power conversion efficiency": {"entity_name": "power conversion efficiency", "entity_start": 112, "entity_end": 114, "property_value_start": 116, "property_value_end": 117, "property_numeric_value": 3.6,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</si>
  <si>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10.1002/ajoc.201800156</t>
  </si>
  <si>
    <t xml:space="preserve">{"power conversion efficiency": {"entity_name": "PCE", "entity_start": 138, "entity_end": 138, "property_value_start": 140, "property_value_end": 141, "property_numeric_value": 4.7, "property_unit": "%", "property_value_descriptor": ""}, "open circuit voltage": {}, "short circuit current": {}, "fill factor": {"entity_name": "FF", "entity_start": 146, "entity_end": 146, "property_value_start": 148, "property_value_end": 149, "property_numeric_value": 61.64,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</si>
  <si>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10.1002/cjoc.201800006</t>
  </si>
  <si>
    <t xml:space="preserve">{"power conversion efficiency": {"entity_name": "PCEs", "entity_start": 132, "entity_end": 132, "property_value_start": 137, "property_value_end": 138, "property_numeric_value": 1.5, "property_unit": "%", "property_value_descriptor": ""}, "open circuit voltage": {"entity_name": "V_{OC}", "entity_start": 146, "entity_end": 147, "property_value_start": 150, "property_value_end": 151, "property_numeric_value": 0.97, "property_unit": "V", "property_value_descriptor": ""}, "short circuit current": {"entity_name": "J_{SC}", "entity_start": 160, "entity_end": 161, "property_value_start": 164, "property_value_end": 166, "property_numeric_value": 2.91, "property_unit": "mA*cm^{-2}", "property_value_descriptor": ""}, "fill factor": {"entity_name": "FF", "entity_start": 173, "entity_end": 173, "property_value_start": 176, "property_value_end": 177, "property_numeric_value": 53.2, "property_unit": "%", "property_value_descriptor": ""}, "highest occupied molecular orbital": {}, "lowest unoccupied molecular orbital": {}, "bandgap": {"entity_name": "optical bandgap", "entity_start": 105, "entity_end": 106, "property_value_start": 108, "property_value_end": 109, "property_numeric_value": 1.61, "property_unit": "eV", "property_value_descriptor": ""}, "hole mobility": {}, "electron mobility": {}, "external quantum efficiency": {}}</t>
  </si>
  <si>
    <t xml:space="preserve">10.1002/adma.201603112</t>
  </si>
  <si>
    <t xml:space="preserve">{"power conversion efficiency": {"entity_name": "power conversion efficiency", "entity_start": 65, "entity_end": 67, "property_value_start": 69, "property_value_end": 70,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</si>
  <si>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10.1016/j.dyepig.2014.11.022</t>
  </si>
  <si>
    <t xml:space="preserve">{"power conversion efficiency": {"entity_name": "power conversion efficiencies", "entity_start": 95, "entity_end": 97, "property_value_start": 104, "property_value_end": 105, "property_numeric_value": 1.0, "property_unit": "%", "property_value_descriptor": ""}, "open circuit voltage": {}, "short circuit current": {}, "fill factor": {}, "highest occupied molecular orbital": {"entity_name": "highest occupied molecular orbital levels", "entity_start": 52, "entity_end": 56, "property_value_start": 58, "property_value_end": 61, "property_numeric_value": -5.635, "property_unit": "eV", "property_value_descriptor": "and"}, "lowest unoccupied molecular orbital": {}, "bandgap": {}, "hole mobility": {}, "electron mobility": {}, "external quantum efficiency": {}}</t>
  </si>
  <si>
    <t xml:space="preserve">10.1016/j.jiec.2018.04.026</t>
  </si>
  <si>
    <t xml:space="preserve">{"power conversion efficiency": {"entity_name": "PCE", "entity_start": 179, "entity_end": 179, "property_value_start": 181, "property_value_end": 182, "property_numeric_value": 7.4,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</si>
  <si>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10.1016/j.solmat.2011.07.015</t>
  </si>
  <si>
    <t xml:space="preserve">{"power conversion efficiency": {"entity_name": "PCE", "entity_start": 41, "entity_end": 41, "property_value_start": 44, "property_value_end": 45, "property_numeric_value": 2.8,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</si>
  <si>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145, "entity_end": 145, "property_value_start": 148, "property_value_end": 149,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</si>
  <si>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10.1016/j.solmat.2010.12.041</t>
  </si>
  <si>
    <t xml:space="preserve">{"power conversion efficiency": {"entity_name": "power conversion efficiency", "entity_start": 76, "entity_end": 78, "property_value_start": 80, "property_value_end": 81, "property_numeric_value": 2.7,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</si>
  <si>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10.1039/c6ta06261j</t>
  </si>
  <si>
    <t xml:space="preserve">{"power conversion efficiency": {"entity_name": "PCEs", "entity_start": 145, "entity_end": 145, "property_value_start": 150, "property_value_end": 151, "property_numeric_value": 13.34,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</si>
  <si>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10.1039/c0jm00903b</t>
  </si>
  <si>
    <t xml:space="preserve">{"power conversion efficiency": {"entity_name": "power conversion efficiencies", "entity_start": 110, "entity_end": 112, "property_value_start": 116, "property_value_end": 117, "property_numeric_value": 1.4, "property_unit": "%", "property_value_descriptor": ""}, "open circuit voltage": {"entity_name": "Voc", "entity_start": 129, "entity_end": 129, "property_value_start": 131, "property_value_end": 132, "property_numeric_value": 0.605, "property_unit": "V", "property_value_descriptor": ""}, "short circuit current": {}, "fill factor": {"entity_name": "FF", "entity_start": 134, "entity_end": 134, "property_value_start": 136, "property_value_end": 136, "property_numeric_value": 42.0, "property_unit": "%", "property_value_descriptor": ""}, "highest occupied molecular orbital": {}, "lowest unoccupied molecular orbital": {}, "bandgap": {"entity_name": "E_{g}", "entity_start": 164, "entity_end": 165, "property_value_start": 166, "property_value_end": 168, "property_numeric_value": 1.0, "property_unit": "eV", "property_value_descriptor": "~"}, "hole mobility": {"entity_name": "hole mobilities", "entity_start": 96, "entity_end": 97, "property_value_start": 101, "property_value_end": 102, "property_numeric_value": 0.2, "property_unit": "cm^{2}/Vs", "property_value_descriptor": ""}, "electron mobility": {}, "external quantum efficiency": {}}</t>
  </si>
  <si>
    <t xml:space="preserve">10.1039/c5tc01313e</t>
  </si>
  <si>
    <t xml:space="preserve">{"power conversion efficiency": {"entity_name": "PCEs", "entity_start": 119, "entity_end": 119, "property_value_start": 122, "property_value_end": 123, "property_numeric_value": 0.4, "property_unit": "%", "property_value_descriptor": ""}, "open circuit voltage": {}, "short circuit current": {}, "fill factor": {}, "highest occupied molecular orbital": {}, "lowest unoccupied molecular orbital": {"entity_name": "LUMO levels", "entity_start": 63, "entity_end": 64, "property_value_start": 66, "property_value_end": 69, "property_numeric_value": -4.2, "property_unit": "eV", "property_value_descriptor": "to"}, "bandgap": {}, "hole mobility": {}, "electron mobility": {"entity_name": "electron mobility", "entity_start": 88, "entity_end": 89, "property_value_start": 92, "property_value_end": 98, "property_numeric_value": 0.01, "property_unit": "cm^{2} V^{-1} s^{-1}", "property_value_descriptor": ""}, "external quantum efficiency": {}}</t>
  </si>
  <si>
    <t xml:space="preserve">10.1186/1556-276x-7-106</t>
  </si>
  <si>
    <t xml:space="preserve">{"power conversion efficiency": {"entity_name": "power conversion efficiency", "entity_start": 49, "entity_end": 51, "property_value_start": 53, "property_value_end": 54, "property_numeric_value": 0.42,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</si>
  <si>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10.1002/aenm.201903278</t>
  </si>
  <si>
    <t xml:space="preserve">{"power conversion efficiency": {"entity_name": "power conversion efficiency", "entity_start": 182, "entity_end": 184, "property_value_start": 186, "property_value_end": 187, "property_numeric_value": 10.8,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</si>
  <si>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10.1002/adfm.201904018</t>
  </si>
  <si>
    <t xml:space="preserve">{"power conversion efficiency": {"entity_name": "power conversion efficiency", "entity_start": 144, "entity_end": 146, "property_value_start": 148, "property_value_end": 149, "property_numeric_value": 9.2, "property_unit": "%", "property_value_descriptor": ""}, "open circuit voltage": {}, "short circuit current": {"entity_name": "J_{sc}", "entity_start": 153, "entity_end": 154, "property_value_start": 156, "property_value_end": 159, "property_numeric_value": 25.31,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</si>
  <si>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10.1002/adfm.200800439</t>
  </si>
  <si>
    <t xml:space="preserve">{"power conversion efficiency": {"entity_name": "PCEs", "entity_start": 86, "entity_end": 86, "property_value_start": 91, "property_value_end": 92, "property_numeric_value": 2.9,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{"entity_name": "external quantum efficiency", "entity_start": 96, "entity_end": 98, "property_value_start": 100, "property_value_end": 101, "property_numeric_value": 83.0, "property_unit": "%", "property_value_descriptor": ""}}</t>
  </si>
  <si>
    <t xml:space="preserve">10.1002/chem.201904178</t>
  </si>
  <si>
    <t xml:space="preserve">{"power conversion efficiency": {"entity_name": "power conversion efficiencies", "entity_start": 220, "entity_end": 222, "property_value_start": 226, "property_value_end": 227, "property_numeric_value": 4.07,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</si>
  <si>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10.1016/j.orgel.2012.01.009</t>
  </si>
  <si>
    <t xml:space="preserve">{"power conversion efficiency": {"entity_name": "power conversion efficiency", "entity_start": 93, "entity_end": 95, "property_value_start": 102, "property_value_end": 103, "property_numeric_value": 1.34,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</si>
  <si>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10.1016/j.orgel.2016.07.034</t>
  </si>
  <si>
    <t xml:space="preserve">{"power conversion efficiency": {"entity_name": "PCE", "entity_start": 155, "entity_end": 155, "property_value_start": 170, "property_value_end": 171, "property_numeric_value": 2.48,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</si>
  <si>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10.1016/j.orgel.2018.06.007</t>
  </si>
  <si>
    <t xml:space="preserve">{"power conversion efficiency": {"entity_name": "power conversion efficiency", "entity_start": 173, "entity_end": 175, "property_value_start": 177, "property_value_end": 178, "property_numeric_value": 6.4,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</si>
  <si>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10.1016/j.orgel.2010.01.005</t>
  </si>
  <si>
    <t xml:space="preserve">{"power conversion efficiency": {"entity_name": "power conversion efficiency", "entity_start": 47, "entity_end": 49, "property_value_start": 55, "property_value_end": 56, "property_numeric_value": 1.05,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</si>
  <si>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10.1016/j.orgel.2011.04.001</t>
  </si>
  <si>
    <t xml:space="preserve">{"power conversion efficiency": {"entity_name": "PCE", "entity_start": 104, "entity_end": 104, "property_value_start": 122, "property_value_end": 123, "property_numeric_value": 4.8,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</si>
  <si>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10.1016/j.orgel.2015.10.033</t>
  </si>
  <si>
    <t xml:space="preserve">{"power conversion efficiency": {"entity_name": "PCE", "entity_start": 149, "entity_end": 149, "property_value_start": 152, "property_value_end": 153, "property_numeric_value": 12.14,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</si>
  <si>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10.1016/j.matchemphys.2014.08.008</t>
  </si>
  <si>
    <t xml:space="preserve">{"power conversion efficiency": {"entity_name": "power conversion efficiency", "entity_start": 190, "entity_end": 192, "property_value_start": 194, "property_value_end": 195, "property_numeric_value": 3.17, "property_unit": "%", "property_value_descriptor": ""}, "open circuit voltage": {"entity_name": "open-circuit voltage", "entity_start": 207, "entity_end": 210, "property_value_start": 212, "property_value_end": 213, "property_numeric_value": 0.5,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</si>
  <si>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10.1016/j.dyepig.2020.108452</t>
  </si>
  <si>
    <t xml:space="preserve">{"power conversion efficiency": {"entity_name": "PCE", "entity_start": 105, "entity_end": 105, "property_value_start": 108, "property_value_end": 109, "property_numeric_value": 7.59,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</si>
  <si>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10.1016/j.electacta.2019.134985</t>
  </si>
  <si>
    <t xml:space="preserve">{"power conversion efficiency": {"entity_name": "PCE", "entity_start": 157, "entity_end": 157, "property_value_start": 166, "property_value_end": 167, "property_numeric_value": 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</si>
  <si>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10.1016/j.cclet.2018.09.014</t>
  </si>
  <si>
    <t xml:space="preserve">{"power conversion efficiency": {"entity_name": "power conversion efficiency", "entity_start": 61, "entity_end": 63, "property_value_start": 65, "property_value_end": 66, "property_numeric_value": 2.4,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</si>
  <si>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10.1016/j.tsf.2012.10.125</t>
  </si>
  <si>
    <t xml:space="preserve">{"power conversion efficiency": {"entity_name": "power conversion efficiency", "entity_start": 148, "entity_end": 150, "property_value_start": 154, "property_value_end": 155, "property_numeric_value": 0.68, "property_unit": "%", "property_value_descriptor": ""}, "open circuit voltage": {"entity_name": "open-circuit voltage", "entity_start": 172, "entity_end": 175, "property_value_start": 177, "property_value_end": 178, "property_numeric_value": 0.599, "property_unit": "V", "property_value_descriptor": ""}, "short circuit current": {"entity_name": "short-circuit current density", "entity_start": 159, "entity_end": 163, "property_value_start": 165, "property_value_end": 169, "property_numeric_value": 1.89, "property_unit": "mA/cm^{2}", "property_value_descriptor": ""}, "fill factor": {"entity_name": "fill factor", "entity_start": 181, "entity_end": 182, "property_value_start": 184, "property_value_end": 185, "property_numeric_value": 60.5,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</si>
  <si>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10.1016/j.tsf.2013.11.054</t>
  </si>
  <si>
    <t xml:space="preserve">{"power conversion efficiency": {"entity_name": "PCE", "entity_start": 153, "entity_end": 153, "property_value_start": 156, "property_value_end": 157, "property_numeric_value": 3.137,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</si>
  <si>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10.1016/j.tsf.2014.03.087</t>
  </si>
  <si>
    <t xml:space="preserve">{"power conversion efficiency": {"entity_name": "power conversion efficiency", "entity_start": 70, "entity_end": 72, "property_value_start": 74, "property_value_end": 75, "property_numeric_value": 0.52, "property_unit": "%", "property_value_descriptor": ""}, "open circuit voltage": {}, "short circuit current": {}, "fill factor": {}, "highest occupied molecular orbital": {}, "lowest unoccupied molecular orbital": {}, "bandgap": {"entity_name": "bandgap", "entity_start": 51, "entity_end": 51, "property_value_start": 53, "property_value_end": 55, "property_numeric_value": 1.2, "property_unit": "eV", "property_value_descriptor": "~"}, "hole mobility": {}, "electron mobility": {}, "external quantum efficiency": {}}</t>
  </si>
  <si>
    <t xml:space="preserve">10.1016/j.surfcoat.2013.12.060</t>
  </si>
  <si>
    <t xml:space="preserve">{"power conversion efficiency": {"entity_name": "power conversion efficiency", "entity_start": 150, "entity_end": 152, "property_value_start": 154, "property_value_end": 155, "property_numeric_value": 1.932,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</si>
  <si>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10.1016/j.cej.2019.05.156</t>
  </si>
  <si>
    <t xml:space="preserve">{"power conversion efficiency": {"entity_name": "PCE", "entity_start": 270, "entity_end": 270, "property_value_start": 295, "property_value_end": 296,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</si>
  <si>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10.1021/acsami.6b10741</t>
  </si>
  <si>
    <t xml:space="preserve">{"power conversion efficiency": {"entity_name": "power conversion efficiency", "entity_start": 138, "entity_end": 140, "property_value_start": 142, "property_value_end": 143, "property_numeric_value": 14.7, "property_unit": "%", "property_value_descriptor": ""}, "open circuit voltage": {"entity_name": "V_{oc}", "entity_start": 115, "entity_end": 116, "property_value_start": 118, "property_value_end": 119, "property_numeric_value": 0.63, "property_unit": "V", "property_value_descriptor": ""}, "short circuit current": {"entity_name": "J_{sc}", "entity_start": 122, "entity_end": 123, "property_value_start": 125, "property_value_end": 130, "property_numeric_value": 35.7,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</si>
  <si>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10.1021/acsami.7b15584</t>
  </si>
  <si>
    <t xml:space="preserve">{"power conversion efficiency": {"entity_name": "power conversion efficiency", "entity_start": 139, "entity_end": 141, "property_value_start": 143, "property_value_end": 144, "property_numeric_value": 6.04, "property_unit": "%", "property_value_descriptor": ""}, "open circuit voltage": {}, "short circuit current": {"entity_name": "J_{SC}", "entity_start": 155, "entity_end": 157, "property_value_start": 159, "property_value_end": 162, "property_numeric_value": 14.68, "property_unit": "mA cm^{-2}", "property_value_descriptor": ""}, "fill factor": {}, "highest occupied molecular orbital": {}, "lowest unoccupied molecular orbital": {}, "bandgap": {}, "hole mobility": {"entity_name": "hole mobility", "entity_start": 167, "entity_end": 168, "property_value_start": 170, "property_value_end": 176, "property_numeric_value": 0.1, "property_unit": "cm^{2} V^{-1} s^{-1}", "property_value_descriptor": ""}, "electron mobility": {}, "external quantum efficiency": {}}</t>
  </si>
  <si>
    <t xml:space="preserve">10.1021/acsami.5b06691</t>
  </si>
  <si>
    <t xml:space="preserve">{"power conversion efficiency": {"entity_name": "power conversion efficiency", "entity_start": 128, "entity_end": 130, "property_value_start": 133, "property_value_end": 134, "property_numeric_value": 7.78, "property_unit": "%", "property_value_descriptor": ""}, "open circuit voltage": {}, "short circuit current": {"entity_name": "short circuit current", "entity_start": 138, "entity_end": 140, "property_value_start": 142, "property_value_end": 146, "property_numeric_value": 19.25,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</si>
  <si>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10.1021/acsami.7b08606</t>
  </si>
  <si>
    <t xml:space="preserve">{"power conversion efficiency": {"entity_name": "power conversion efficiency", "entity_start": 177, "entity_end": 179, "property_value_start": 181, "property_value_end": 182, "property_numeric_value": 4.6,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</si>
  <si>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10.1021/am5027709</t>
  </si>
  <si>
    <t xml:space="preserve">{"power conversion efficiency": {"entity_name": "power conversion efficiency", "entity_start": 205, "entity_end": 207, "property_value_start": 228, "property_value_end": 229, "property_numeric_value": 1.98,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</si>
  <si>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10.1021/acsami.7b04525</t>
  </si>
  <si>
    <t xml:space="preserve">{"power conversion efficiency": {"entity_name": "power conversion efficiency", "entity_start": 180, "entity_end": 182, "property_value_start": 204, "property_value_end": 205, "property_numeric_value": 17.9,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</si>
  <si>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10.1021/acsami.7b13346</t>
  </si>
  <si>
    <t xml:space="preserve">{"power conversion efficiency": {"entity_name": "PCE", "entity_start": 213, "entity_end": 213, "property_value_start": 215, "property_value_end": 216, "property_numeric_value": 5.77,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</si>
  <si>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10.1021/acsami.7b02075</t>
  </si>
  <si>
    <t xml:space="preserve">{"power conversion efficiency": {"entity_name": "PCE", "entity_start": 206, "entity_end": 206, "property_value_start": 208, "property_value_end": 209, "property_numeric_value": 5.68,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</si>
  <si>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10.1021/am500063w</t>
  </si>
  <si>
    <t xml:space="preserve">{"power conversion efficiency": {"entity_name": "PCE", "entity_start": 311, "entity_end": 311, "property_value_start": 315, "property_value_end": 316, "property_numeric_value": 6.62,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</si>
  <si>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10.1021/am200616j</t>
  </si>
  <si>
    <t xml:space="preserve">{"power conversion efficiency": {"entity_name": "power conversion efficiency", "entity_start": 84, "entity_end": 86, "property_value_start": 88, "property_value_end": 89, "property_numeric_value": 0.86, "property_unit": "%", "property_value_descriptor": ""}, "open circuit voltage": {"entity_name": "open-circuit voltage", "entity_start": 68, "entity_end": 71, "property_value_start": 73, "property_value_end": 74, "property_numeric_value": 0.44, "property_unit": "V", "property_value_descriptor": ""}, "short circuit current": {"entity_name": "short-circuit current density", "entity_start": 55, "entity_end": 59, "property_value_start": 61, "property_value_end": 65, "property_numeric_value": -6.14, "property_unit": "mA/cm^{2}", "property_value_descriptor": ""}, "fill factor": {"entity_name": "fill factor", "entity_start": 77, "entity_end": 78, "property_value_start": 80, "property_value_end": 80, "property_numeric_value": 32.0,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</si>
  <si>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10.1021/acsami.0c02063</t>
  </si>
  <si>
    <t xml:space="preserve">{"power conversion efficiency": {"entity_name": "PCE", "entity_start": 242, "entity_end": 242, "property_value_start": 247, "property_value_end": 248, "property_numeric_value": 12.78,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</si>
  <si>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10.1021/jp2040604</t>
  </si>
  <si>
    <t xml:space="preserve">{"power conversion efficiency": {"entity_name": "PCE", "entity_start": 259, "entity_end": 259, "property_value_start": 262, "property_value_end": 263,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</si>
  <si>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10.1021/jp5059462</t>
  </si>
  <si>
    <t xml:space="preserve">{"power conversion efficiency": {"entity_name": "PCE", "entity_start": 137, "entity_end": 137, "property_value_start": 140, "property_value_end": 141, "property_numeric_value": 0.17, "property_unit": "%", "property_value_descriptor": ""}, "open circuit voltage": {}, "short circuit current": {"entity_name": "J_{sc}", "entity_start": 71, "entity_end": 73, "property_value_start": 83, "property_value_end": 87, "property_numeric_value": 1.08,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</si>
  <si>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10.1039/c7ta02444d</t>
  </si>
  <si>
    <t xml:space="preserve">{"power conversion efficiency": {"entity_name": "PCE", "entity_start": 132, "entity_end": 132, "property_value_start": 135, "property_value_end": 136, "property_numeric_value": 10.2,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</si>
  <si>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10.1039/c5ta06501a</t>
  </si>
  <si>
    <t xml:space="preserve">{"power conversion efficiency": {"entity_name": "power conversion efficiency", "entity_start": 159, "entity_end": 161, "property_value_start": 163, "property_value_end": 164, "property_numeric_value": 5.5,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</si>
  <si>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10.1039/c4tc02931c</t>
  </si>
  <si>
    <t xml:space="preserve">{"power conversion efficiency": {"entity_name": "PCE", "entity_start": 90, "entity_end": 90, "property_value_start": 93, "property_value_end": 94, "property_numeric_value": 2.7,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</si>
  <si>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10.1039/c7tc04673a</t>
  </si>
  <si>
    <t xml:space="preserve">{"power conversion efficiency": {"entity_name": "power conversion efficiency", "entity_start": 245, "entity_end": 247, "property_value_start": 249, "property_value_end": 250, "property_numeric_value": 10.2,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</si>
  <si>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10.1039/c9tc04969j</t>
  </si>
  <si>
    <t xml:space="preserve">{"power conversion efficiency": {"entity_name": "PCE", "entity_start": 138, "entity_end": 138, "property_value_start": 140, "property_value_end": 141, "property_numeric_value": 10.01,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</si>
  <si>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F6-TCNNQ</t>
  </si>
  <si>
    <t xml:space="preserve">['F6-TCNNQ']</t>
  </si>
  <si>
    <t xml:space="preserve">{"power conversion efficiency": {"entity_name": "PCE", "entity_start": 166, "entity_end": 166, "property_value_start": 168, "property_value_end": 169, "property_numeric_value": 10.0,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</si>
  <si>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10.1039/d0tc00103a</t>
  </si>
  <si>
    <t xml:space="preserve">{"power conversion efficiency": {"entity_name": "PCE", "entity_start": 121, "entity_end": 121, "property_value_start": 125, "property_value_end": 126, "property_numeric_value": 5.29,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</si>
  <si>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10.1039/c2ra20543b</t>
  </si>
  <si>
    <t xml:space="preserve">{"power conversion efficiency": {"entity_name": "power conversion efficiencies", "entity_start": 103, "entity_end": 105, "property_value_start": 109, "property_value_end": 110, "property_numeric_value": 3.68,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</si>
  <si>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10.1039/c6ra24970a</t>
  </si>
  <si>
    <t xml:space="preserve">{"power conversion efficiency": {"entity_name": "PCE", "entity_start": 54, "entity_end": 54, "property_value_start": 63, "property_value_end": 64, "property_numeric_value": 12.36,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</si>
  <si>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10.1039/c3ra44980g</t>
  </si>
  <si>
    <t xml:space="preserve">{"power conversion efficiency": {"entity_name": "PCE", "entity_start": 180, "entity_end": 180, "property_value_start": 194, "property_value_end": 195, "property_numeric_value": 0.95,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</si>
  <si>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10.1039/c4ra08671f</t>
  </si>
  <si>
    <t xml:space="preserve">{"power conversion efficiency": {"entity_name": "power conversion efficiency", "entity_start": 125, "entity_end": 127, "property_value_start": 153, "property_value_end": 154,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</si>
  <si>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10.1039/c4ra16603e</t>
  </si>
  <si>
    <t xml:space="preserve">{"power conversion efficiency": {"entity_name": "power conversion efficiency", "entity_start": 124, "entity_end": 126, "property_value_start": 128, "property_value_end": 129, "property_numeric_value": 6.87, "property_unit": "%", "property_value_descriptor": ""}, "open circuit voltage": {}, "short circuit current": {"entity_name": "short-circuit current density", "entity_start": 131, "entity_end": 135, "property_value_start": 137, "property_value_end": 139, "property_numeric_value": 26.7,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</si>
  <si>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10.1039/c5cp06961k</t>
  </si>
  <si>
    <t xml:space="preserve">{"power conversion efficiency": {"entity_name": "PCE", "entity_start": 49, "entity_end": 49, "property_value_start": 52, "property_value_end": 53, "property_numeric_value": 12.13,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</si>
  <si>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66, "entity_end": 66, "property_value_start": 86, "property_value_end": 87, "property_numeric_value": 13.44,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</si>
  <si>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10.1039/c3cp52723a</t>
  </si>
  <si>
    <t xml:space="preserve">{"power conversion efficiency": {"entity_name": "PCE", "entity_start": 102, "entity_end": 102, "property_value_start": 109, "property_value_end": 112, "property_numeric_value": 3.16,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</si>
  <si>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10.1039/c6cp02072k</t>
  </si>
  <si>
    <t xml:space="preserve">{"power conversion efficiency": {"entity_name": "power conversion efficiency", "entity_start": 109, "entity_end": 111, "property_value_start": 113, "property_value_end": 114, "property_numeric_value": 1.9,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</si>
  <si>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10.1039/c9cp05015a</t>
  </si>
  <si>
    <t xml:space="preserve">{"power conversion efficiency": {"entity_name": "PCE", "entity_start": 107, "entity_end": 107, "property_value_start": 110, "property_value_end": 111, "property_numeric_value": 13.46, "property_unit": "%", "property_value_descriptor": ""}, "open circuit voltage": {"entity_name": "V_{oc}", "entity_start": 118, "entity_end": 119, "property_value_start": 122, "property_value_end": 123, "property_numeric_value": 0.89, "property_unit": "V", "property_value_descriptor": ""}, "short circuit current": {"entity_name": "J_{sc}", "entity_start": 130, "entity_end": 131, "property_value_start": 134, "property_value_end": 137, "property_numeric_value": 21.21, "property_unit": "mA cm^{-2}", "property_value_descriptor": ""}, "fill factor": {"entity_name": "FF", "entity_start": 144, "entity_end": 144, "property_value_start": 147, "property_value_end": 148, "property_numeric_value": 71.55, "property_unit": "%", "property_value_descriptor": ""}, "highest occupied molecular orbital": {}, "lowest unoccupied molecular orbital": {}, "bandgap": {"entity_name": "E^{opt}_{g}", "entity_start": 78, "entity_end": 79, "property_value_start": 81, "property_value_end": 82, "property_numeric_value": 1.96, "property_unit": "eV", "property_value_descriptor": ""}, "hole mobility": {}, "electron mobility": {}, "external quantum efficiency": {}}</t>
  </si>
  <si>
    <t xml:space="preserve">10.1007/s10854-012-1058-1</t>
  </si>
  <si>
    <t xml:space="preserve">{"power conversion efficiency": {"entity_name": "power conversion efficiency", "entity_start": 87, "entity_end": 89, "property_value_start": 91, "property_value_end": 92, "property_numeric_value": 0.1,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</si>
  <si>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10.1007/s10854-015-2869-7</t>
  </si>
  <si>
    <t xml:space="preserve">{"power conversion efficiency": {"entity_name": "power conversion efficiencies", "entity_start": 225, "entity_end": 227, "property_value_start": 229, "property_value_end": 230, "property_numeric_value": 1.5, "property_unit": "%", "property_value_descriptor": ""}, "open circuit voltage": {"entity_name": "V_{OC}", "entity_start": 145, "entity_end": 146, "property_value_start": 151, "property_value_end": 152, "property_numeric_value": 0.57,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</si>
  <si>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10.1007/s10854-020-03626-x</t>
  </si>
  <si>
    <t xml:space="preserve">{"power conversion efficiency": {"entity_name": "PCE", "entity_start": 170, "entity_end": 170, "property_value_start": 180, "property_value_end": 181, "property_numeric_value": 3.25,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</si>
  <si>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10.1021/ja800411b</t>
  </si>
  <si>
    <t xml:space="preserve">{"power conversion efficiency": {"entity_name": "power conversion efficiency", "entity_start": 72, "entity_end": 74, "property_value_start": 82, "property_value_end": 83,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</si>
  <si>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10.1039/c6ra01200k</t>
  </si>
  <si>
    <t xml:space="preserve">{"power conversion efficiency": {"entity_name": "power conversion efficiencies", "entity_start": 223, "entity_end": 225, "property_value_start": 229, "property_value_end": 232, "property_numeric_value": 0.7450000000000001,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</si>
  <si>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10.1039/c7ra05730j</t>
  </si>
  <si>
    <t xml:space="preserve">{"power conversion efficiency": {"entity_name": "PCE", "entity_start": 205, "entity_end": 205, "property_value_start": 207, "property_value_end": 208, "property_numeric_value": 0.4,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</si>
  <si>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10.1039/c4nr02988g</t>
  </si>
  <si>
    <t xml:space="preserve">{"power conversion efficiency": {"entity_name": "PCE", "entity_start": 113, "entity_end": 113, "property_value_start": 116, "property_value_end": 117, "property_numeric_value": 13.5,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</si>
  <si>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10.1039/c7nr06982k</t>
  </si>
  <si>
    <t xml:space="preserve">{"power conversion efficiency": {"entity_name": "power conversion efficiency", "entity_start": 149, "entity_end": 151, "property_value_start": 153, "property_value_end": 154, "property_numeric_value": 8.5,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</si>
  <si>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PEIE(poly(ethyleneimine)-ethoxylated)</t>
  </si>
  <si>
    <t xml:space="preserve">['PEIE(poly(ethyleneimine)-ethoxylated)']</t>
  </si>
  <si>
    <t xml:space="preserve">{"power conversion efficiency": {"entity_name": "PCE", "entity_start": 222, "entity_end": 222, "property_value_start": 224, "property_value_end": 225, "property_numeric_value": 7.2,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</si>
  <si>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10.1039/c4nr04148h</t>
  </si>
  <si>
    <t xml:space="preserve">{"power conversion efficiency": {"entity_name": "power conversion efficiency", "entity_start": 108, "entity_end": 110, "property_value_start": 133, "property_value_end": 134, "property_numeric_value": 2.17,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</si>
  <si>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10.1007/s12274-014-0615-8</t>
  </si>
  <si>
    <t xml:space="preserve">{"power conversion efficiency": {"entity_name": "power conversion efficiency", "entity_start": 103, "entity_end": 105, "property_value_start": 108, "property_value_end": 109, "property_numeric_value": 9.05,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</si>
  <si>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10.1021/nn304705t</t>
  </si>
  <si>
    <t xml:space="preserve">{"power conversion efficiency": {"entity_name": "power conversion efficiency", "entity_start": 140, "entity_end": 142, "property_value_start": 144, "property_value_end": 145, "property_numeric_value": 7.6,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</si>
  <si>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10.1021/acsnano.7b07222</t>
  </si>
  <si>
    <t xml:space="preserve">{"power conversion efficiency": {"entity_name": "PCE", "entity_start": 179, "entity_end": 179, "property_value_start": 181, "property_value_end": 182, "property_numeric_value": 15.51,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</si>
  <si>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10.1063/1.4826323</t>
  </si>
  <si>
    <t xml:space="preserve">{"power conversion efficiency": {"entity_name": "power conversion efficiency \u03b7", "entity_start": 121, "entity_end": 124, "property_value_start": 129, "property_value_end": 130, "property_numeric_value": 11.4, "property_unit": "%", "property_value_descriptor": ""}, "open circuit voltage": {"entity_name": "V_{oc}", "entity_start": 196, "entity_end": 197, "property_value_start": 199, "property_value_end": 200, "property_numeric_value": 0.58, "property_unit": "V", "property_value_descriptor": ""}, "short circuit current": {"entity_name": "J_{sc}", "entity_start": 186, "entity_end": 187, "property_value_start": 189, "property_value_end": 193, "property_numeric_value": 29.7, "property_unit": "mA/cm^{2}", "property_value_descriptor": ""}, "fill factor": {"entity_name": "FF", "entity_start": 204, "entity_end": 204, "property_value_start": 206, "property_value_end": 206, "property_numeric_value": 71.0,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</si>
  <si>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10.1063/1.4892831</t>
  </si>
  <si>
    <t xml:space="preserve">{"power conversion efficiency": {"entity_name": "power conversion efficiency", "entity_start": 70, "entity_end": 72, "property_value_start": 87, "property_value_end": 88, "property_numeric_value": 3.6,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</si>
  <si>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10.1063/1.2771524</t>
  </si>
  <si>
    <t xml:space="preserve">{"power conversion efficiency": {"entity_name": "power conversion efficiency", "entity_start": 77, "entity_end": 79, "property_value_start": 81, "property_value_end": 82,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</si>
  <si>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10.1063/1.3093831</t>
  </si>
  <si>
    <t xml:space="preserve">{"power conversion efficiency": {"entity_name": "power conversion efficiency", "entity_start": 60, "entity_end": 62, "property_value_start": 72, "property_value_end": 73, "property_numeric_value": 4.26, "property_unit": "%", "property_value_descriptor": ""}, "open circuit voltage": {"entity_name": "VOC", "entity_start": 46, "entity_end": 46, "property_value_start": 50, "property_value_end": 51, "property_numeric_value": 0.664,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</si>
  <si>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10.1063/1.3610461</t>
  </si>
  <si>
    <t xml:space="preserve">{"power conversion efficiency": {"entity_name": "power conversion efficiency", "entity_start": 84, "entity_end": 86, "property_value_start": 88, "property_value_end": 89, "property_numeric_value": 10.3,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</si>
  <si>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10.1063/1.3684872</t>
  </si>
  <si>
    <t xml:space="preserve">{"power conversion efficiency": {"entity_name": "PCE", "entity_start": 69, "entity_end": 69, "property_value_start": 75, "property_value_end": 76, "property_numeric_value": 10.6,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</si>
  <si>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10.1063/1.4926408</t>
  </si>
  <si>
    <t xml:space="preserve">{"power conversion efficiency": {"entity_name": "PCE", "entity_start": 121, "entity_end": 121, "property_value_start": 123, "property_value_end": 124,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</si>
  <si>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10.1063/1.2937472</t>
  </si>
  <si>
    <t xml:space="preserve">{"power conversion efficiency": {"entity_name": "power conversion efficiency", "entity_start": 69, "entity_end": 71, "property_value_start": 84, "property_value_end": 85, "property_numeric_value": 0.12,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</si>
  <si>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10.1063/1.5096579</t>
  </si>
  <si>
    <t xml:space="preserve">{"power conversion efficiency": {"entity_name": "power conversion efficiency", "entity_start": 95, "entity_end": 97, "property_value_start": 100, "property_value_end": 101, "property_numeric_value": 12.5,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</si>
  <si>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10.1063/1.2945281</t>
  </si>
  <si>
    <t xml:space="preserve">{"power conversion efficiency": {"entity_name": "power conversion efficiency", "entity_start": 54, "entity_end": 56, "property_value_start": 58, "property_value_end": 59, "property_numeric_value": 3.3,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</si>
  <si>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10.1063/1.2757125</t>
  </si>
  <si>
    <t xml:space="preserve">{"power conversion efficiency": {"entity_name": "power conversion efficiency", "entity_start": 74, "entity_end": 76, "property_value_start": 108, "property_value_end": 109, "property_numeric_value": 1.66,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</si>
  <si>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10.1063/1.4904955</t>
  </si>
  <si>
    <t xml:space="preserve">{"power conversion efficiency": {"entity_name": "PCE", "entity_start": 66, "entity_end": 66, "property_value_start": 69, "property_value_end": 70, "property_numeric_value": 12.9,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</si>
  <si>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10.1063/1.4728985</t>
  </si>
  <si>
    <t xml:space="preserve">{"power conversion efficiency": {"entity_name": "power conversion efficiency", "entity_start": 38, "entity_end": 40, "property_value_start": 42, "property_value_end": 43, "property_numeric_value": 2.9,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</si>
  <si>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10.1063/1.4873998</t>
  </si>
  <si>
    <t xml:space="preserve">{"power conversion efficiency": {"entity_name": "PCE", "entity_start": 110, "entity_end": 110, "property_value_start": 112, "property_value_end": 113, "property_numeric_value": 3.03, "property_unit": "%", "property_value_descriptor": "~"}, "open circuit voltage": {"entity_name": "Voc", "entity_start": 115, "entity_end": 115, "property_value_start": 117, "property_value_end": 118, "property_numeric_value": 0.6, "property_unit": "V", "property_value_descriptor": ""}, "short circuit current": {"entity_name": "Jsc", "entity_start": 120, "entity_end": 120, "property_value_start": 122, "property_value_end": 126, "property_numeric_value": 9.07, "property_unit": "mA/cm^{2}", "property_value_descriptor": ""}, "fill factor": {"entity_name": "fill factor", "entity_start": 128, "entity_end": 129, "property_value_start": 131, "property_value_end": 132, "property_numeric_value": 55.7,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</si>
  <si>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10.1155/2019/6095863</t>
  </si>
  <si>
    <t xml:space="preserve">{"power conversion efficiency": {"entity_name": "PCE", "entity_start": 109, "entity_end": 109, "property_value_start": 115, "property_value_end": 116, "property_numeric_value": 3.2,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</si>
  <si>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10.1039/c8nj04823a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</si>
  <si>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 gap", "entity_start": 126, "entity_end": 128, "property_value_start": 130, "property_value_end": 131, "property_numeric_value": 1.57, "property_unit": "eV", "property_value_descriptor": ""}, "hole mobility": {}, "electron mobility": {}, "external quantum efficiency": {}}</t>
  </si>
  <si>
    <t xml:space="preserve">{"power conversion efficiency": {"entity_name": "power conversion efficiencies", "entity_start": 165, "entity_end": 167, "property_value_start": 169, "property_value_end": 170, "property_numeric_value": 0.23, "property_unit": "%", "property_value_descriptor": ""}, "open circuit voltage": {"entity_name": "open circuit voltages", "entity_start": 156, "entity_end": 158, "property_value_start": 161, "property_value_end": 162, "property_numeric_value": 0.73,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</si>
  <si>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10.1039/c4nj00639a</t>
  </si>
  <si>
    <t xml:space="preserve">{"power conversion efficiency": {"entity_name": "power conversion efficiency", "entity_start": 49, "entity_end": 51, "property_value_start": 53, "property_value_end": 54, "property_numeric_value": 0.84, "property_unit": "%", "property_value_descriptor": ""}, "open circuit voltage": {}, "short circuit current": {}, "fill factor": {}, "highest occupied molecular orbital": {}, "lowest unoccupied molecular orbital": {}, "bandgap": {"entity_name": "bandgap", "entity_start": 14, "entity_end": 14, "property_value_start": 18, "property_value_end": 19, "property_numeric_value": 1.2, "property_unit": "eV", "property_value_descriptor": ""}, "hole mobility": {}, "electron mobility": {}, "external quantum efficiency": {}}</t>
  </si>
  <si>
    <t xml:space="preserve">10.1039/c2nj40779e</t>
  </si>
  <si>
    <t xml:space="preserve">{"power conversion efficiency": {"entity_name": "power conversion efficiency", "entity_start": 43, "entity_end": 45, "property_value_start": 54, "property_value_end": 55, "property_numeric_value": 0.98,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</si>
  <si>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10.1002/adfm.202001924</t>
  </si>
  <si>
    <t xml:space="preserve">{"power conversion efficiency": {"entity_name": "power conversion efficiency", "entity_start": 211, "entity_end": 213, "property_value_start": 215, "property_value_end": 216, "property_numeric_value": 5.86,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</si>
  <si>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10.1039/d0ee02251a</t>
  </si>
  <si>
    <t xml:space="preserve">{"power conversion efficiency": {"entity_name": "PCE", "entity_start": 258, "entity_end": 258, "property_value_start": 267, "property_value_end": 268, "property_numeric_value": 16.42,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</si>
  <si>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10.1007/s10118-021-2537-8</t>
  </si>
  <si>
    <t xml:space="preserve">{"power conversion efficiency": {"entity_name": "PCEs", "entity_start": 166, "entity_end": 166, "property_value_start": 172, "property_value_end": 173, "property_numeric_value": 14.0,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</si>
  <si>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10.1021/acs.jpcc.0c09226</t>
  </si>
  <si>
    <t xml:space="preserve">{"power conversion efficiency": {"entity_name": "PCE", "entity_start": 161, "entity_end": 161, "property_value_start": 164, "property_value_end": 165, "property_numeric_value": 0.95,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</si>
  <si>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10.1016/j.jelechem.2020.114927</t>
  </si>
  <si>
    <t xml:space="preserve">{"power conversion efficiency": {"entity_name": "PCE", "entity_start": 321, "entity_end": 321, "property_value_start": 324, "property_value_end": 325, "property_numeric_value": 800.0,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</si>
  <si>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10.1016/j.nanoen.2021.105862</t>
  </si>
  <si>
    <t xml:space="preserve">{"power conversion efficiency": {"entity_name": "PCE", "entity_start": 135, "entity_end": 135, "property_value_start": 150, "property_value_end": 151, "property_numeric_value": 15.03,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</si>
  <si>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10.1016/j.tsf.2020.138486</t>
  </si>
  <si>
    <t xml:space="preserve">{"power conversion efficiency": {"entity_name": "PCE", "entity_start": 218, "entity_end": 218, "property_value_start": 221, "property_value_end": 222, "property_numeric_value": 8.31,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</si>
  <si>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terephthalate</t>
  </si>
  <si>
    <t xml:space="preserve">['terephthalate', 'PET']</t>
  </si>
  <si>
    <t xml:space="preserve">{"power conversion efficiency": {"entity_name": "PCE", "entity_start": 255, "entity_end": 255, "property_value_start": 260, "property_value_end": 261, "property_numeric_value": 8.94,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</si>
  <si>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10.1007/s10854-020-04822-5</t>
  </si>
  <si>
    <t xml:space="preserve">{"power conversion efficiency": {"entity_name": "PCE", "entity_start": 181, "entity_end": 181, "property_value_start": 184, "property_value_end": 186, "property_numeric_value": 6.0,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</si>
  <si>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10.1016/j.giant.2021.100053</t>
  </si>
  <si>
    <t xml:space="preserve">{"power conversion efficiency": {"entity_name": "power conversion efficiencies", "entity_start": 175, "entity_end": 177, "property_value_start": 181, "property_value_end": 182, "property_numeric_value": 16.0,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</si>
  <si>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10.1016/j.orgel.2021.106172</t>
  </si>
  <si>
    <t xml:space="preserve">{"power conversion efficiency": {"entity_name": "PCE", "entity_start": 194, "entity_end": 194, "property_value_start": 196, "property_value_end": 197, "property_numeric_value": 7.2,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</si>
  <si>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10.1002/anie.201712598</t>
  </si>
  <si>
    <t xml:space="preserve">{"power conversion efficiency": {"entity_name": "power conversion efficiencies", "entity_start": 124, "entity_end": 126, "property_value_start": 130, "property_value_end": 131, "property_numeric_value": 2.83,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</si>
</sst>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0%"/>
    <numFmt numFmtId="167" formatCode="General"/>
    <numFmt numFmtId="168" formatCode="0.0%"/>
    <numFmt numFmtId="169" formatCode="0.00"/>
  </numFmts>
  <fonts count="3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2E2E2E"/>
      <name val="NexusSerif"/>
      <family val="0"/>
      <charset val="1"/>
    </font>
    <font>
      <sz val="11"/>
      <color rgb="FF444444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4472C4"/>
      <name val="Calibri"/>
      <family val="2"/>
      <charset val="1"/>
    </font>
    <font>
      <sz val="12"/>
      <color rgb="FF231E20"/>
      <name val="Open Sans"/>
      <family val="2"/>
      <charset val="1"/>
    </font>
    <font>
      <sz val="11"/>
      <color rgb="FF2E2E2E"/>
      <name val="Calibri"/>
      <family val="2"/>
      <charset val="1"/>
    </font>
    <font>
      <sz val="13"/>
      <color rgb="FF000000"/>
      <name val="Calibri"/>
      <family val="0"/>
      <charset val="1"/>
    </font>
    <font>
      <sz val="11"/>
      <color rgb="FF0070C0"/>
      <name val="Calibri"/>
      <family val="2"/>
      <charset val="1"/>
    </font>
    <font>
      <sz val="12"/>
      <color rgb="FF000000"/>
      <name val="Mulish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ourier New"/>
      <family val="3"/>
      <charset val="1"/>
    </font>
    <font>
      <sz val="12"/>
      <color rgb="FF212121"/>
      <name val="-Apple-System"/>
      <family val="0"/>
      <charset val="1"/>
    </font>
    <font>
      <sz val="12"/>
      <color rgb="FFFF0000"/>
      <name val="Source Sans Pro"/>
      <family val="2"/>
      <charset val="1"/>
    </font>
    <font>
      <sz val="13"/>
      <color rgb="FF000000"/>
      <name val="Calibri"/>
      <family val="2"/>
      <charset val="1"/>
    </font>
    <font>
      <sz val="11"/>
      <color rgb="FF2E2E2E"/>
      <name val="NexusSerif"/>
      <family val="0"/>
      <charset val="1"/>
    </font>
    <font>
      <sz val="10"/>
      <color rgb="FF2E2E2E"/>
      <name val="NexusSerif"/>
      <family val="0"/>
      <charset val="1"/>
    </font>
    <font>
      <sz val="11"/>
      <name val="Calibri"/>
      <family val="2"/>
      <charset val="1"/>
    </font>
    <font>
      <sz val="11"/>
      <color rgb="FF231E20"/>
      <name val="Calibri"/>
      <family val="2"/>
      <charset val="1"/>
    </font>
    <font>
      <sz val="12"/>
      <color rgb="FFFF0000"/>
      <name val="Source Sans Pro"/>
      <family val="0"/>
      <charset val="1"/>
    </font>
    <font>
      <sz val="12"/>
      <color rgb="FF000000"/>
      <name val="Source Sans Pro"/>
      <family val="2"/>
      <charset val="1"/>
    </font>
    <font>
      <sz val="13"/>
      <color rgb="FF000000"/>
      <name val="Georgia"/>
      <family val="1"/>
      <charset val="1"/>
    </font>
    <font>
      <sz val="13"/>
      <color rgb="FF4472C4"/>
      <name val="Georgia"/>
      <family val="1"/>
      <charset val="1"/>
    </font>
    <font>
      <sz val="12"/>
      <color rgb="FF1C1D1E"/>
      <name val="Calibri"/>
      <family val="2"/>
      <charset val="1"/>
    </font>
    <font>
      <sz val="11"/>
      <color rgb="FF1C1D1E"/>
      <name val="Calibri"/>
      <family val="2"/>
      <charset val="1"/>
    </font>
    <font>
      <sz val="12"/>
      <color rgb="FF1C1D1E"/>
      <name val="Open Sans"/>
      <family val="2"/>
      <charset val="1"/>
    </font>
    <font>
      <sz val="14"/>
      <color rgb="FFFF0000"/>
      <name val="NexusSerif"/>
      <family val="0"/>
      <charset val="1"/>
    </font>
    <font>
      <i val="true"/>
      <sz val="14"/>
      <color rgb="FFFF0000"/>
      <name val="NexusSerif"/>
      <family val="0"/>
      <charset val="1"/>
    </font>
    <font>
      <sz val="14"/>
      <color rgb="FF4472C4"/>
      <name val="NexusSerif"/>
      <family val="0"/>
      <charset val="1"/>
    </font>
    <font>
      <i val="true"/>
      <sz val="14"/>
      <color rgb="FF4472C4"/>
      <name val="NexusSerif"/>
      <family val="0"/>
      <charset val="1"/>
    </font>
    <font>
      <u val="single"/>
      <sz val="11"/>
      <color rgb="FF0563C1"/>
      <name val="Calibri"/>
      <family val="2"/>
      <charset val="1"/>
    </font>
    <font>
      <b val="true"/>
      <sz val="14"/>
      <color rgb="FF2E2E2E"/>
      <name val="NexusSerif"/>
      <family val="0"/>
      <charset val="1"/>
    </font>
    <font>
      <b val="true"/>
      <sz val="10"/>
      <color rgb="FF2E2E2E"/>
      <name val="NexusSerif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231E20"/>
      <rgbColor rgb="FF339966"/>
      <rgbColor rgb="FF1C1D1E"/>
      <rgbColor rgb="FF212121"/>
      <rgbColor rgb="FF993300"/>
      <rgbColor rgb="FF993366"/>
      <rgbColor rgb="FF444444"/>
      <rgbColor rgb="FF2E2E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ciencedirect.com/topics/physics-and-astronomy/quinoxalin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052"/>
  <sheetViews>
    <sheetView showFormulas="false" showGridLines="true" showRowColHeaders="true" showZeros="true" rightToLeft="false" tabSelected="true" showOutlineSymbols="true" defaultGridColor="true" view="normal" topLeftCell="A1" colorId="64" zoomScale="74" zoomScaleNormal="74" zoomScalePageLayoutView="100" workbookViewId="0">
      <pane xSplit="0" ySplit="1" topLeftCell="A2111" activePane="bottomLeft" state="frozen"/>
      <selection pane="topLeft" activeCell="A1" activeCellId="0" sqref="A1"/>
      <selection pane="bottomLeft" activeCell="A2112" activeCellId="0" sqref="A2112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39.7"/>
    <col collapsed="false" customWidth="true" hidden="false" outlineLevel="0" max="4" min="4" style="0" width="26.71"/>
    <col collapsed="false" customWidth="true" hidden="false" outlineLevel="0" max="5" min="5" style="0" width="24.86"/>
    <col collapsed="false" customWidth="true" hidden="false" outlineLevel="0" max="6" min="6" style="0" width="20.57"/>
    <col collapsed="false" customWidth="true" hidden="false" outlineLevel="0" max="7" min="7" style="0" width="11.42"/>
    <col collapsed="false" customWidth="true" hidden="false" outlineLevel="0" max="8" min="8" style="0" width="17.86"/>
    <col collapsed="false" customWidth="true" hidden="false" outlineLevel="0" max="9" min="9" style="0" width="18.14"/>
    <col collapsed="false" customWidth="true" hidden="false" outlineLevel="0" max="10" min="10" style="0" width="21.57"/>
    <col collapsed="false" customWidth="true" hidden="false" outlineLevel="0" max="1024" min="1014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3.8" hidden="false" customHeight="false" outlineLevel="0" collapsed="false">
      <c r="A2" s="0" t="s">
        <v>15</v>
      </c>
      <c r="B2" s="0" t="n">
        <v>1</v>
      </c>
      <c r="D2" s="0" t="s">
        <v>16</v>
      </c>
      <c r="E2" s="0" t="s">
        <v>17</v>
      </c>
      <c r="F2" s="0" t="s">
        <v>18</v>
      </c>
      <c r="G2" s="0" t="n">
        <v>0</v>
      </c>
      <c r="H2" s="0" t="s">
        <v>19</v>
      </c>
      <c r="I2" s="0" t="s">
        <v>20</v>
      </c>
      <c r="J2" s="0" t="s">
        <v>21</v>
      </c>
      <c r="K2" s="0" t="str">
        <f aca="false">"1.80 %"</f>
        <v>1.80 %</v>
      </c>
      <c r="L2" s="0" t="str">
        <f aca="false">"1.36 V"</f>
        <v>1.36 V</v>
      </c>
      <c r="O2" s="0" t="s">
        <v>22</v>
      </c>
    </row>
    <row r="3" customFormat="false" ht="13.8" hidden="false" customHeight="false" outlineLevel="0" collapsed="false">
      <c r="A3" s="0" t="s">
        <v>23</v>
      </c>
      <c r="B3" s="0" t="n">
        <v>1</v>
      </c>
      <c r="D3" s="0" t="s">
        <v>24</v>
      </c>
      <c r="E3" s="0" t="s">
        <v>25</v>
      </c>
      <c r="F3" s="0" t="s">
        <v>26</v>
      </c>
      <c r="G3" s="0" t="n">
        <v>1</v>
      </c>
      <c r="H3" s="0" t="s">
        <v>27</v>
      </c>
      <c r="J3" s="0" t="s">
        <v>28</v>
      </c>
      <c r="K3" s="0" t="str">
        <f aca="false">"4.46 %"</f>
        <v>4.46 %</v>
      </c>
      <c r="O3" s="0" t="s">
        <v>29</v>
      </c>
    </row>
    <row r="4" customFormat="false" ht="13.8" hidden="false" customHeight="false" outlineLevel="0" collapsed="false">
      <c r="A4" s="0" t="s">
        <v>30</v>
      </c>
      <c r="B4" s="0" t="n">
        <v>1</v>
      </c>
      <c r="D4" s="0" t="s">
        <v>31</v>
      </c>
      <c r="E4" s="0" t="s">
        <v>17</v>
      </c>
      <c r="F4" s="0" t="s">
        <v>32</v>
      </c>
      <c r="G4" s="0" t="n">
        <v>1</v>
      </c>
      <c r="H4" s="0" t="s">
        <v>33</v>
      </c>
      <c r="J4" s="0" t="s">
        <v>34</v>
      </c>
      <c r="K4" s="0" t="str">
        <f aca="false">"2.86 %"</f>
        <v>2.86 %</v>
      </c>
      <c r="O4" s="0" t="s">
        <v>35</v>
      </c>
    </row>
    <row r="5" customFormat="false" ht="13.8" hidden="false" customHeight="false" outlineLevel="0" collapsed="false">
      <c r="A5" s="0" t="s">
        <v>36</v>
      </c>
      <c r="B5" s="0" t="n">
        <v>1</v>
      </c>
      <c r="D5" s="0" t="s">
        <v>37</v>
      </c>
      <c r="E5" s="0" t="s">
        <v>38</v>
      </c>
      <c r="F5" s="0" t="s">
        <v>39</v>
      </c>
      <c r="G5" s="0" t="n">
        <v>1</v>
      </c>
      <c r="H5" s="0" t="s">
        <v>33</v>
      </c>
      <c r="J5" s="0" t="s">
        <v>40</v>
      </c>
      <c r="K5" s="0" t="str">
        <f aca="false">"0.42 %"</f>
        <v>0.42 %</v>
      </c>
      <c r="O5" s="0" t="s">
        <v>41</v>
      </c>
    </row>
    <row r="6" customFormat="false" ht="17.25" hidden="false" customHeight="false" outlineLevel="0" collapsed="false">
      <c r="A6" s="0" t="s">
        <v>42</v>
      </c>
      <c r="B6" s="0" t="n">
        <v>1</v>
      </c>
      <c r="D6" s="0" t="s">
        <v>43</v>
      </c>
      <c r="E6" s="0" t="s">
        <v>44</v>
      </c>
      <c r="F6" s="0" t="s">
        <v>45</v>
      </c>
      <c r="G6" s="0" t="n">
        <v>1</v>
      </c>
      <c r="H6" s="0" t="s">
        <v>27</v>
      </c>
      <c r="J6" s="0" t="s">
        <v>28</v>
      </c>
      <c r="K6" s="0" t="str">
        <f aca="false">"4.44 %"</f>
        <v>4.44 %</v>
      </c>
      <c r="M6" s="1" t="s">
        <v>46</v>
      </c>
      <c r="O6" s="0" t="s">
        <v>47</v>
      </c>
    </row>
    <row r="7" customFormat="false" ht="17.25" hidden="false" customHeight="false" outlineLevel="0" collapsed="false">
      <c r="A7" s="0" t="s">
        <v>42</v>
      </c>
      <c r="B7" s="0" t="n">
        <v>1</v>
      </c>
      <c r="D7" s="1" t="s">
        <v>48</v>
      </c>
      <c r="E7" s="0" t="s">
        <v>49</v>
      </c>
      <c r="F7" s="0" t="s">
        <v>50</v>
      </c>
      <c r="G7" s="0" t="n">
        <v>1</v>
      </c>
      <c r="H7" s="0" t="s">
        <v>27</v>
      </c>
      <c r="J7" s="0" t="s">
        <v>28</v>
      </c>
      <c r="K7" s="2" t="n">
        <v>0.0222</v>
      </c>
      <c r="M7" s="1" t="s">
        <v>51</v>
      </c>
    </row>
    <row r="8" customFormat="false" ht="13.8" hidden="false" customHeight="false" outlineLevel="0" collapsed="false">
      <c r="A8" s="0" t="s">
        <v>52</v>
      </c>
      <c r="B8" s="0" t="n">
        <v>1</v>
      </c>
      <c r="D8" s="0" t="s">
        <v>53</v>
      </c>
      <c r="E8" s="0" t="s">
        <v>54</v>
      </c>
      <c r="F8" s="0" t="s">
        <v>55</v>
      </c>
      <c r="G8" s="0" t="n">
        <v>1</v>
      </c>
      <c r="H8" s="0" t="s">
        <v>33</v>
      </c>
      <c r="J8" s="0" t="s">
        <v>34</v>
      </c>
      <c r="K8" s="0" t="str">
        <f aca="false">"0.51 %"</f>
        <v>0.51 %</v>
      </c>
      <c r="O8" s="0" t="s">
        <v>56</v>
      </c>
    </row>
    <row r="9" customFormat="false" ht="13.8" hidden="false" customHeight="false" outlineLevel="0" collapsed="false">
      <c r="A9" s="0" t="s">
        <v>57</v>
      </c>
      <c r="B9" s="0" t="n">
        <v>1</v>
      </c>
      <c r="D9" s="0" t="s">
        <v>58</v>
      </c>
      <c r="E9" s="0" t="s">
        <v>17</v>
      </c>
      <c r="F9" s="0" t="s">
        <v>59</v>
      </c>
      <c r="G9" s="0" t="n">
        <v>1</v>
      </c>
      <c r="H9" s="0" t="s">
        <v>33</v>
      </c>
      <c r="J9" s="0" t="s">
        <v>60</v>
      </c>
      <c r="K9" s="3" t="str">
        <f aca="false">"3.2 %"</f>
        <v>3.2 %</v>
      </c>
      <c r="O9" s="0" t="s">
        <v>61</v>
      </c>
    </row>
    <row r="10" customFormat="false" ht="13.8" hidden="false" customHeight="false" outlineLevel="0" collapsed="false">
      <c r="A10" s="0" t="s">
        <v>62</v>
      </c>
      <c r="B10" s="0" t="n">
        <v>1</v>
      </c>
      <c r="D10" s="0" t="s">
        <v>63</v>
      </c>
      <c r="E10" s="0" t="s">
        <v>64</v>
      </c>
      <c r="F10" s="0" t="s">
        <v>65</v>
      </c>
      <c r="G10" s="0" t="n">
        <v>1</v>
      </c>
      <c r="H10" s="0" t="s">
        <v>66</v>
      </c>
      <c r="J10" s="0" t="s">
        <v>67</v>
      </c>
      <c r="K10" s="0" t="str">
        <f aca="false">"8.81 %"</f>
        <v>8.81 %</v>
      </c>
      <c r="L10" s="4" t="s">
        <v>68</v>
      </c>
      <c r="M10" s="4" t="s">
        <v>69</v>
      </c>
      <c r="N10" s="3" t="s">
        <v>70</v>
      </c>
      <c r="O10" s="0" t="s">
        <v>71</v>
      </c>
    </row>
    <row r="11" customFormat="false" ht="13.8" hidden="false" customHeight="false" outlineLevel="0" collapsed="false">
      <c r="A11" s="0" t="s">
        <v>72</v>
      </c>
      <c r="B11" s="0" t="n">
        <v>1</v>
      </c>
      <c r="D11" s="0" t="s">
        <v>73</v>
      </c>
      <c r="E11" s="0" t="s">
        <v>74</v>
      </c>
      <c r="F11" s="0" t="s">
        <v>75</v>
      </c>
      <c r="G11" s="0" t="n">
        <v>1</v>
      </c>
      <c r="H11" s="0" t="s">
        <v>76</v>
      </c>
      <c r="J11" s="0" t="s">
        <v>77</v>
      </c>
      <c r="K11" s="0" t="str">
        <f aca="false">"3.06 %"</f>
        <v>3.06 %</v>
      </c>
      <c r="L11" s="0" t="str">
        <f aca="false">"0.83 V"</f>
        <v>0.83 V</v>
      </c>
      <c r="M11" s="4" t="s">
        <v>78</v>
      </c>
      <c r="N11" s="0" t="s">
        <v>79</v>
      </c>
      <c r="O11" s="0" t="s">
        <v>80</v>
      </c>
    </row>
    <row r="12" customFormat="false" ht="18" hidden="false" customHeight="false" outlineLevel="0" collapsed="false">
      <c r="A12" s="0" t="s">
        <v>72</v>
      </c>
      <c r="B12" s="0" t="n">
        <v>1</v>
      </c>
      <c r="D12" s="5" t="s">
        <v>81</v>
      </c>
      <c r="E12" s="6" t="s">
        <v>82</v>
      </c>
      <c r="F12" s="0" t="s">
        <v>83</v>
      </c>
      <c r="G12" s="0" t="n">
        <v>1</v>
      </c>
      <c r="H12" s="0" t="s">
        <v>76</v>
      </c>
      <c r="J12" s="0" t="s">
        <v>77</v>
      </c>
      <c r="M12" s="4"/>
    </row>
    <row r="13" customFormat="false" ht="13.8" hidden="false" customHeight="false" outlineLevel="0" collapsed="false">
      <c r="A13" s="0" t="s">
        <v>84</v>
      </c>
      <c r="B13" s="0" t="n">
        <v>1</v>
      </c>
      <c r="D13" s="0" t="s">
        <v>85</v>
      </c>
      <c r="E13" s="0" t="s">
        <v>86</v>
      </c>
      <c r="F13" s="0" t="s">
        <v>87</v>
      </c>
      <c r="G13" s="0" t="n">
        <v>1</v>
      </c>
      <c r="H13" s="0" t="s">
        <v>66</v>
      </c>
      <c r="J13" s="0" t="s">
        <v>67</v>
      </c>
      <c r="K13" s="0" t="str">
        <f aca="false">"4.7 ± 0.4 %"</f>
        <v>4.7 ± 0.4 %</v>
      </c>
      <c r="O13" s="0" t="s">
        <v>88</v>
      </c>
    </row>
    <row r="14" customFormat="false" ht="13.8" hidden="false" customHeight="false" outlineLevel="0" collapsed="false">
      <c r="A14" s="0" t="s">
        <v>89</v>
      </c>
      <c r="B14" s="0" t="n">
        <v>1</v>
      </c>
      <c r="D14" s="0" t="s">
        <v>90</v>
      </c>
      <c r="E14" s="0" t="s">
        <v>91</v>
      </c>
      <c r="F14" s="4" t="s">
        <v>92</v>
      </c>
      <c r="G14" s="0" t="n">
        <v>1</v>
      </c>
      <c r="H14" s="0" t="s">
        <v>27</v>
      </c>
      <c r="J14" s="0" t="s">
        <v>40</v>
      </c>
      <c r="K14" s="3" t="str">
        <f aca="false">"7.06 %"</f>
        <v>7.06 %</v>
      </c>
      <c r="L14" s="4" t="s">
        <v>93</v>
      </c>
      <c r="M14" s="4" t="s">
        <v>94</v>
      </c>
      <c r="N14" s="3" t="s">
        <v>95</v>
      </c>
      <c r="O14" s="0" t="s">
        <v>96</v>
      </c>
    </row>
    <row r="15" customFormat="false" ht="18" hidden="false" customHeight="false" outlineLevel="0" collapsed="false">
      <c r="A15" s="0" t="s">
        <v>89</v>
      </c>
      <c r="B15" s="0" t="n">
        <v>1</v>
      </c>
      <c r="D15" s="5" t="s">
        <v>97</v>
      </c>
      <c r="E15" s="6" t="s">
        <v>98</v>
      </c>
      <c r="F15" s="4" t="s">
        <v>99</v>
      </c>
      <c r="G15" s="0" t="n">
        <v>1</v>
      </c>
      <c r="H15" s="0" t="s">
        <v>27</v>
      </c>
      <c r="J15" s="0" t="s">
        <v>40</v>
      </c>
      <c r="K15" s="7" t="n">
        <v>0.0483</v>
      </c>
      <c r="L15" s="4"/>
      <c r="M15" s="4"/>
      <c r="N15" s="3"/>
    </row>
    <row r="16" customFormat="false" ht="13.8" hidden="false" customHeight="false" outlineLevel="0" collapsed="false">
      <c r="A16" s="0" t="s">
        <v>100</v>
      </c>
      <c r="B16" s="0" t="n">
        <v>1</v>
      </c>
      <c r="D16" s="0" t="s">
        <v>16</v>
      </c>
      <c r="E16" s="0" t="s">
        <v>17</v>
      </c>
      <c r="F16" s="0" t="s">
        <v>101</v>
      </c>
      <c r="G16" s="0" t="n">
        <v>1</v>
      </c>
      <c r="H16" s="0" t="s">
        <v>27</v>
      </c>
      <c r="J16" s="0" t="s">
        <v>40</v>
      </c>
      <c r="K16" s="0" t="str">
        <f aca="false">"0.87-4.01 %"</f>
        <v>0.87-4.01 %</v>
      </c>
      <c r="O16" s="0" t="s">
        <v>102</v>
      </c>
    </row>
    <row r="17" customFormat="false" ht="13.8" hidden="false" customHeight="false" outlineLevel="0" collapsed="false">
      <c r="A17" s="0" t="s">
        <v>103</v>
      </c>
      <c r="B17" s="0" t="n">
        <v>1</v>
      </c>
      <c r="D17" s="0" t="s">
        <v>16</v>
      </c>
      <c r="E17" s="0" t="s">
        <v>17</v>
      </c>
      <c r="F17" s="0" t="s">
        <v>18</v>
      </c>
      <c r="G17" s="0" t="n">
        <v>1</v>
      </c>
      <c r="H17" s="0" t="s">
        <v>76</v>
      </c>
      <c r="J17" s="0" t="s">
        <v>77</v>
      </c>
      <c r="K17" s="0" t="str">
        <f aca="false">"3.33 %"</f>
        <v>3.33 %</v>
      </c>
      <c r="L17" s="4" t="s">
        <v>104</v>
      </c>
      <c r="M17" s="4" t="s">
        <v>105</v>
      </c>
      <c r="N17" s="3" t="s">
        <v>106</v>
      </c>
      <c r="O17" s="0" t="s">
        <v>107</v>
      </c>
    </row>
    <row r="18" customFormat="false" ht="13.8" hidden="false" customHeight="false" outlineLevel="0" collapsed="false">
      <c r="A18" s="0" t="s">
        <v>108</v>
      </c>
      <c r="B18" s="0" t="n">
        <v>1</v>
      </c>
      <c r="D18" s="0" t="s">
        <v>109</v>
      </c>
      <c r="E18" s="0" t="s">
        <v>110</v>
      </c>
      <c r="F18" s="0" t="s">
        <v>111</v>
      </c>
      <c r="G18" s="0" t="n">
        <v>1</v>
      </c>
      <c r="H18" s="0" t="s">
        <v>27</v>
      </c>
      <c r="J18" s="0" t="s">
        <v>40</v>
      </c>
      <c r="K18" s="0" t="str">
        <f aca="false">"7.05 %"</f>
        <v>7.05 %</v>
      </c>
      <c r="O18" s="0" t="s">
        <v>112</v>
      </c>
    </row>
    <row r="19" customFormat="false" ht="13.8" hidden="false" customHeight="false" outlineLevel="0" collapsed="false">
      <c r="A19" s="0" t="s">
        <v>113</v>
      </c>
      <c r="B19" s="0" t="n">
        <v>1</v>
      </c>
      <c r="D19" s="0" t="s">
        <v>85</v>
      </c>
      <c r="E19" s="0" t="s">
        <v>86</v>
      </c>
      <c r="F19" s="0" t="s">
        <v>87</v>
      </c>
      <c r="G19" s="0" t="n">
        <v>1</v>
      </c>
      <c r="H19" s="0" t="s">
        <v>27</v>
      </c>
      <c r="J19" s="0" t="s">
        <v>28</v>
      </c>
      <c r="K19" s="0" t="str">
        <f aca="false">"5.66 %"</f>
        <v>5.66 %</v>
      </c>
      <c r="O19" s="0" t="s">
        <v>114</v>
      </c>
    </row>
    <row r="20" customFormat="false" ht="13.8" hidden="false" customHeight="false" outlineLevel="0" collapsed="false">
      <c r="A20" s="0" t="s">
        <v>115</v>
      </c>
      <c r="B20" s="0" t="n">
        <v>1</v>
      </c>
      <c r="D20" s="0" t="s">
        <v>16</v>
      </c>
      <c r="E20" s="0" t="s">
        <v>17</v>
      </c>
      <c r="F20" s="0" t="s">
        <v>116</v>
      </c>
      <c r="G20" s="0" t="n">
        <v>1</v>
      </c>
      <c r="H20" s="0" t="s">
        <v>117</v>
      </c>
      <c r="J20" s="0" t="s">
        <v>118</v>
      </c>
      <c r="K20" s="0" t="str">
        <f aca="false">"6.49 %"</f>
        <v>6.49 %</v>
      </c>
      <c r="L20" s="4" t="s">
        <v>119</v>
      </c>
      <c r="M20" s="4" t="s">
        <v>120</v>
      </c>
      <c r="N20" s="3" t="s">
        <v>121</v>
      </c>
      <c r="O20" s="0" t="s">
        <v>122</v>
      </c>
    </row>
    <row r="21" customFormat="false" ht="15" hidden="false" customHeight="false" outlineLevel="0" collapsed="false">
      <c r="A21" s="0" t="s">
        <v>123</v>
      </c>
      <c r="B21" s="0" t="n">
        <v>1</v>
      </c>
      <c r="D21" s="0" t="s">
        <v>124</v>
      </c>
      <c r="E21" s="6" t="s">
        <v>125</v>
      </c>
      <c r="F21" s="0" t="s">
        <v>126</v>
      </c>
      <c r="G21" s="0" t="n">
        <v>1</v>
      </c>
      <c r="H21" s="0" t="s">
        <v>27</v>
      </c>
      <c r="J21" s="0" t="s">
        <v>28</v>
      </c>
      <c r="K21" s="3" t="n">
        <v>0.0716</v>
      </c>
      <c r="O21" s="0" t="s">
        <v>127</v>
      </c>
    </row>
    <row r="22" customFormat="false" ht="15" hidden="false" customHeight="false" outlineLevel="0" collapsed="false">
      <c r="A22" s="0" t="s">
        <v>123</v>
      </c>
      <c r="B22" s="0" t="n">
        <v>1</v>
      </c>
      <c r="D22" s="0" t="s">
        <v>128</v>
      </c>
      <c r="E22" s="6" t="s">
        <v>129</v>
      </c>
      <c r="F22" s="0" t="s">
        <v>130</v>
      </c>
      <c r="G22" s="0" t="n">
        <v>1</v>
      </c>
      <c r="H22" s="0" t="s">
        <v>27</v>
      </c>
      <c r="J22" s="0" t="s">
        <v>28</v>
      </c>
      <c r="K22" s="3" t="n">
        <v>0.0657</v>
      </c>
      <c r="O22" s="0" t="s">
        <v>131</v>
      </c>
    </row>
    <row r="23" customFormat="false" ht="13.8" hidden="false" customHeight="false" outlineLevel="0" collapsed="false">
      <c r="A23" s="0" t="s">
        <v>132</v>
      </c>
      <c r="C23" s="0" t="n">
        <v>1</v>
      </c>
      <c r="D23" s="0" t="s">
        <v>16</v>
      </c>
      <c r="E23" s="0" t="s">
        <v>17</v>
      </c>
      <c r="F23" s="0" t="s">
        <v>18</v>
      </c>
      <c r="G23" s="0" t="n">
        <v>1</v>
      </c>
      <c r="H23" s="0" t="s">
        <v>76</v>
      </c>
      <c r="J23" s="0" t="s">
        <v>133</v>
      </c>
      <c r="K23" s="0" t="str">
        <f aca="false">"3.75 %"</f>
        <v>3.75 %</v>
      </c>
      <c r="L23" s="4" t="s">
        <v>134</v>
      </c>
      <c r="M23" s="0" t="str">
        <f aca="false">"10.11 mA*cm^{-2}"</f>
        <v>10.11 mA*cm^{-2}</v>
      </c>
      <c r="N23" s="3" t="s">
        <v>135</v>
      </c>
      <c r="O23" s="0" t="s">
        <v>136</v>
      </c>
    </row>
    <row r="24" customFormat="false" ht="13.8" hidden="false" customHeight="false" outlineLevel="0" collapsed="false">
      <c r="A24" s="0" t="s">
        <v>137</v>
      </c>
      <c r="B24" s="0" t="n">
        <v>1</v>
      </c>
      <c r="D24" s="0" t="s">
        <v>85</v>
      </c>
      <c r="E24" s="0" t="s">
        <v>86</v>
      </c>
      <c r="F24" s="0" t="s">
        <v>87</v>
      </c>
      <c r="G24" s="0" t="n">
        <v>1</v>
      </c>
      <c r="H24" s="0" t="s">
        <v>27</v>
      </c>
      <c r="J24" s="0" t="s">
        <v>28</v>
      </c>
      <c r="K24" s="0" t="str">
        <f aca="false">"9.19 %"</f>
        <v>9.19 %</v>
      </c>
      <c r="L24" s="4" t="s">
        <v>138</v>
      </c>
      <c r="N24" s="3" t="s">
        <v>139</v>
      </c>
      <c r="O24" s="0" t="s">
        <v>140</v>
      </c>
    </row>
    <row r="25" customFormat="false" ht="13.8" hidden="false" customHeight="false" outlineLevel="0" collapsed="false">
      <c r="A25" s="0" t="s">
        <v>141</v>
      </c>
      <c r="C25" s="0" t="n">
        <v>1</v>
      </c>
      <c r="D25" s="0" t="s">
        <v>142</v>
      </c>
      <c r="E25" s="0" t="s">
        <v>143</v>
      </c>
      <c r="F25" s="0" t="s">
        <v>144</v>
      </c>
      <c r="G25" s="0" t="n">
        <v>1</v>
      </c>
      <c r="H25" s="0" t="s">
        <v>33</v>
      </c>
      <c r="J25" s="0" t="s">
        <v>34</v>
      </c>
      <c r="K25" s="3" t="n">
        <v>0.036</v>
      </c>
      <c r="L25" s="4" t="s">
        <v>145</v>
      </c>
      <c r="M25" s="4" t="s">
        <v>146</v>
      </c>
      <c r="N25" s="3" t="n">
        <v>0.5611</v>
      </c>
      <c r="O25" s="0" t="s">
        <v>147</v>
      </c>
    </row>
    <row r="26" customFormat="false" ht="18" hidden="false" customHeight="false" outlineLevel="0" collapsed="false">
      <c r="A26" s="0" t="s">
        <v>148</v>
      </c>
      <c r="C26" s="0" t="n">
        <v>1</v>
      </c>
      <c r="D26" s="0" t="s">
        <v>149</v>
      </c>
      <c r="E26" s="6" t="s">
        <v>150</v>
      </c>
      <c r="F26" s="0" t="s">
        <v>151</v>
      </c>
      <c r="G26" s="0" t="n">
        <v>1</v>
      </c>
      <c r="H26" s="0" t="s">
        <v>152</v>
      </c>
      <c r="J26" s="0" t="s">
        <v>153</v>
      </c>
      <c r="K26" s="0" t="str">
        <f aca="false">"2.2 %"</f>
        <v>2.2 %</v>
      </c>
      <c r="M26" s="4" t="s">
        <v>154</v>
      </c>
      <c r="N26" s="8" t="s">
        <v>155</v>
      </c>
      <c r="O26" s="0" t="s">
        <v>156</v>
      </c>
    </row>
    <row r="27" customFormat="false" ht="13.8" hidden="false" customHeight="false" outlineLevel="0" collapsed="false">
      <c r="A27" s="0" t="s">
        <v>157</v>
      </c>
      <c r="B27" s="0" t="n">
        <v>1</v>
      </c>
      <c r="D27" s="0" t="s">
        <v>85</v>
      </c>
      <c r="E27" s="0" t="s">
        <v>86</v>
      </c>
      <c r="F27" s="0" t="s">
        <v>87</v>
      </c>
      <c r="G27" s="0" t="n">
        <v>1</v>
      </c>
      <c r="H27" s="0" t="s">
        <v>27</v>
      </c>
      <c r="J27" s="0" t="s">
        <v>28</v>
      </c>
      <c r="K27" s="0" t="str">
        <f aca="false">"8.97 %"</f>
        <v>8.97 %</v>
      </c>
      <c r="L27" s="4"/>
      <c r="M27" s="3"/>
      <c r="N27" s="3"/>
      <c r="O27" s="0" t="s">
        <v>158</v>
      </c>
    </row>
    <row r="28" customFormat="false" ht="13.8" hidden="false" customHeight="false" outlineLevel="0" collapsed="false">
      <c r="A28" s="0" t="s">
        <v>159</v>
      </c>
      <c r="B28" s="0" t="n">
        <v>1</v>
      </c>
      <c r="D28" s="0" t="s">
        <v>160</v>
      </c>
      <c r="E28" s="0" t="s">
        <v>161</v>
      </c>
      <c r="F28" s="0" t="s">
        <v>162</v>
      </c>
      <c r="G28" s="0" t="n">
        <v>0</v>
      </c>
      <c r="H28" s="0" t="s">
        <v>163</v>
      </c>
      <c r="I28" s="0" t="s">
        <v>164</v>
      </c>
      <c r="J28" s="0" t="s">
        <v>165</v>
      </c>
      <c r="K28" s="0" t="str">
        <f aca="false">"7.81 %"</f>
        <v>7.81 %</v>
      </c>
      <c r="L28" s="0" t="str">
        <f aca="false">"1.08 V"</f>
        <v>1.08 V</v>
      </c>
      <c r="M28" s="0" t="str">
        <f aca="false">"15.9 mA cm^{-2}"</f>
        <v>15.9 mA cm^{-2}</v>
      </c>
      <c r="O28" s="0" t="s">
        <v>166</v>
      </c>
    </row>
    <row r="29" customFormat="false" ht="13.8" hidden="false" customHeight="false" outlineLevel="0" collapsed="false">
      <c r="A29" s="0" t="s">
        <v>159</v>
      </c>
      <c r="B29" s="0" t="n">
        <v>1</v>
      </c>
      <c r="D29" s="0" t="s">
        <v>160</v>
      </c>
      <c r="E29" s="0" t="s">
        <v>161</v>
      </c>
      <c r="F29" s="0" t="s">
        <v>162</v>
      </c>
      <c r="G29" s="0" t="n">
        <v>1</v>
      </c>
      <c r="H29" s="0" t="s">
        <v>27</v>
      </c>
      <c r="J29" s="0" t="s">
        <v>28</v>
      </c>
      <c r="K29" s="9" t="n">
        <v>0.0875</v>
      </c>
      <c r="L29" s="0" t="s">
        <v>167</v>
      </c>
      <c r="M29" s="0" t="s">
        <v>168</v>
      </c>
    </row>
    <row r="30" customFormat="false" ht="13.8" hidden="false" customHeight="false" outlineLevel="0" collapsed="false">
      <c r="A30" s="0" t="s">
        <v>169</v>
      </c>
      <c r="B30" s="0" t="n">
        <v>1</v>
      </c>
      <c r="D30" s="0" t="s">
        <v>16</v>
      </c>
      <c r="E30" s="0" t="s">
        <v>17</v>
      </c>
      <c r="F30" s="0" t="s">
        <v>116</v>
      </c>
      <c r="G30" s="0" t="n">
        <v>1</v>
      </c>
      <c r="H30" s="0" t="s">
        <v>76</v>
      </c>
      <c r="J30" s="0" t="s">
        <v>77</v>
      </c>
      <c r="K30" s="0" t="str">
        <f aca="false">"2.80 %"</f>
        <v>2.80 %</v>
      </c>
      <c r="L30" s="4" t="s">
        <v>170</v>
      </c>
      <c r="M30" s="4" t="s">
        <v>171</v>
      </c>
      <c r="N30" s="8" t="s">
        <v>172</v>
      </c>
      <c r="O30" s="0" t="s">
        <v>173</v>
      </c>
    </row>
    <row r="31" customFormat="false" ht="13.8" hidden="false" customHeight="false" outlineLevel="0" collapsed="false">
      <c r="A31" s="0" t="s">
        <v>174</v>
      </c>
      <c r="B31" s="0" t="n">
        <v>1</v>
      </c>
      <c r="D31" s="0" t="s">
        <v>175</v>
      </c>
      <c r="E31" s="0" t="s">
        <v>176</v>
      </c>
      <c r="F31" s="0" t="s">
        <v>177</v>
      </c>
      <c r="G31" s="0" t="n">
        <v>1</v>
      </c>
      <c r="H31" s="0" t="s">
        <v>33</v>
      </c>
      <c r="J31" s="0" t="s">
        <v>178</v>
      </c>
      <c r="K31" s="7" t="n">
        <v>0.0031</v>
      </c>
      <c r="L31" s="5" t="s">
        <v>179</v>
      </c>
      <c r="M31" s="5" t="s">
        <v>180</v>
      </c>
      <c r="N31" s="10" t="n">
        <v>0.29</v>
      </c>
      <c r="O31" s="0" t="s">
        <v>181</v>
      </c>
    </row>
    <row r="32" customFormat="false" ht="15" hidden="false" customHeight="false" outlineLevel="0" collapsed="false">
      <c r="A32" s="0" t="s">
        <v>174</v>
      </c>
      <c r="C32" s="0" t="n">
        <v>1</v>
      </c>
      <c r="D32" s="0" t="s">
        <v>182</v>
      </c>
      <c r="E32" s="6" t="s">
        <v>183</v>
      </c>
      <c r="F32" s="0" t="s">
        <v>184</v>
      </c>
      <c r="G32" s="0" t="n">
        <v>1</v>
      </c>
      <c r="H32" s="0" t="s">
        <v>33</v>
      </c>
      <c r="J32" s="0" t="s">
        <v>40</v>
      </c>
      <c r="K32" s="0" t="str">
        <f aca="false">"0.15 %"</f>
        <v>0.15 %</v>
      </c>
      <c r="O32" s="0" t="s">
        <v>185</v>
      </c>
    </row>
    <row r="33" customFormat="false" ht="15" hidden="false" customHeight="false" outlineLevel="0" collapsed="false">
      <c r="A33" s="0" t="s">
        <v>186</v>
      </c>
      <c r="B33" s="0" t="n">
        <v>1</v>
      </c>
      <c r="D33" s="11" t="s">
        <v>187</v>
      </c>
      <c r="E33" s="6" t="s">
        <v>188</v>
      </c>
      <c r="F33" s="0" t="s">
        <v>189</v>
      </c>
      <c r="G33" s="0" t="n">
        <v>1</v>
      </c>
      <c r="H33" s="0" t="s">
        <v>33</v>
      </c>
      <c r="J33" s="0" t="s">
        <v>34</v>
      </c>
      <c r="K33" s="0" t="str">
        <f aca="false">"0.55 %"</f>
        <v>0.55 %</v>
      </c>
      <c r="L33" s="0" t="str">
        <f aca="false">"0.60 V"</f>
        <v>0.60 V</v>
      </c>
      <c r="M33" s="0" t="str">
        <f aca="false">"-1.8 mA/cm^{2}"</f>
        <v>-1.8 mA/cm^{2}</v>
      </c>
      <c r="N33" s="0" t="str">
        <f aca="false">"0.52"</f>
        <v>0.52</v>
      </c>
      <c r="O33" s="0" t="s">
        <v>190</v>
      </c>
    </row>
    <row r="34" customFormat="false" ht="14.25" hidden="false" customHeight="false" outlineLevel="0" collapsed="false">
      <c r="A34" s="0" t="s">
        <v>191</v>
      </c>
      <c r="B34" s="0" t="n">
        <v>1</v>
      </c>
      <c r="D34" s="0" t="s">
        <v>192</v>
      </c>
      <c r="E34" s="0" t="s">
        <v>193</v>
      </c>
      <c r="F34" s="0" t="s">
        <v>194</v>
      </c>
      <c r="G34" s="0" t="n">
        <v>1</v>
      </c>
      <c r="H34" s="0" t="s">
        <v>195</v>
      </c>
      <c r="J34" s="0" t="s">
        <v>40</v>
      </c>
      <c r="K34" s="0" t="str">
        <f aca="false">"5.4 %"</f>
        <v>5.4 %</v>
      </c>
      <c r="O34" s="0" t="s">
        <v>196</v>
      </c>
    </row>
    <row r="35" customFormat="false" ht="18" hidden="false" customHeight="false" outlineLevel="0" collapsed="false">
      <c r="A35" s="0" t="s">
        <v>191</v>
      </c>
      <c r="B35" s="0" t="n">
        <v>1</v>
      </c>
      <c r="D35" s="5" t="s">
        <v>197</v>
      </c>
      <c r="E35" s="6" t="s">
        <v>198</v>
      </c>
      <c r="F35" s="0" t="s">
        <v>199</v>
      </c>
      <c r="G35" s="0" t="n">
        <v>1</v>
      </c>
      <c r="H35" s="0" t="s">
        <v>195</v>
      </c>
      <c r="J35" s="0" t="s">
        <v>40</v>
      </c>
      <c r="K35" s="12" t="n">
        <v>0.0043</v>
      </c>
    </row>
    <row r="36" customFormat="false" ht="13.8" hidden="false" customHeight="false" outlineLevel="0" collapsed="false">
      <c r="A36" s="0" t="s">
        <v>200</v>
      </c>
      <c r="B36" s="0" t="n">
        <v>1</v>
      </c>
      <c r="D36" s="0" t="s">
        <v>201</v>
      </c>
      <c r="E36" s="0" t="s">
        <v>202</v>
      </c>
      <c r="F36" s="0" t="s">
        <v>203</v>
      </c>
      <c r="G36" s="0" t="n">
        <v>1</v>
      </c>
      <c r="H36" s="0" t="s">
        <v>27</v>
      </c>
      <c r="J36" s="0" t="s">
        <v>28</v>
      </c>
      <c r="K36" s="3" t="n">
        <v>0.074</v>
      </c>
      <c r="N36" s="3" t="str">
        <f aca="false">"0.69"</f>
        <v>0.69</v>
      </c>
      <c r="O36" s="0" t="s">
        <v>204</v>
      </c>
    </row>
    <row r="37" customFormat="false" ht="13.8" hidden="false" customHeight="false" outlineLevel="0" collapsed="false">
      <c r="A37" s="0" t="s">
        <v>205</v>
      </c>
      <c r="B37" s="0" t="n">
        <v>1</v>
      </c>
      <c r="D37" s="0" t="s">
        <v>16</v>
      </c>
      <c r="E37" s="0" t="s">
        <v>17</v>
      </c>
      <c r="F37" s="0" t="s">
        <v>18</v>
      </c>
      <c r="G37" s="0" t="n">
        <v>1</v>
      </c>
      <c r="H37" s="0" t="s">
        <v>33</v>
      </c>
      <c r="J37" s="0" t="s">
        <v>60</v>
      </c>
      <c r="K37" s="0" t="str">
        <f aca="false">"4.12 %"</f>
        <v>4.12 %</v>
      </c>
      <c r="O37" s="0" t="s">
        <v>206</v>
      </c>
    </row>
    <row r="38" customFormat="false" ht="13.8" hidden="false" customHeight="false" outlineLevel="0" collapsed="false">
      <c r="A38" s="0" t="s">
        <v>207</v>
      </c>
      <c r="B38" s="0" t="n">
        <v>1</v>
      </c>
      <c r="D38" s="0" t="s">
        <v>208</v>
      </c>
      <c r="E38" s="0" t="s">
        <v>17</v>
      </c>
      <c r="F38" s="0" t="s">
        <v>209</v>
      </c>
      <c r="G38" s="0" t="n">
        <v>1</v>
      </c>
      <c r="H38" s="0" t="s">
        <v>33</v>
      </c>
      <c r="J38" s="0" t="s">
        <v>34</v>
      </c>
      <c r="K38" s="0" t="str">
        <f aca="false">"5.03 %"</f>
        <v>5.03 %</v>
      </c>
      <c r="O38" s="0" t="s">
        <v>210</v>
      </c>
    </row>
    <row r="39" customFormat="false" ht="13.8" hidden="false" customHeight="false" outlineLevel="0" collapsed="false">
      <c r="A39" s="0" t="s">
        <v>211</v>
      </c>
      <c r="B39" s="0" t="n">
        <v>1</v>
      </c>
      <c r="D39" s="0" t="s">
        <v>16</v>
      </c>
      <c r="E39" s="0" t="s">
        <v>17</v>
      </c>
      <c r="F39" s="0" t="s">
        <v>116</v>
      </c>
      <c r="G39" s="0" t="n">
        <v>1</v>
      </c>
      <c r="H39" s="0" t="s">
        <v>76</v>
      </c>
      <c r="J39" s="0" t="s">
        <v>77</v>
      </c>
      <c r="K39" s="3" t="n">
        <v>0.0372</v>
      </c>
      <c r="O39" s="0" t="s">
        <v>212</v>
      </c>
    </row>
    <row r="40" customFormat="false" ht="18" hidden="false" customHeight="false" outlineLevel="0" collapsed="false">
      <c r="A40" s="0" t="s">
        <v>213</v>
      </c>
      <c r="B40" s="0" t="n">
        <v>1</v>
      </c>
      <c r="D40" s="0" t="s">
        <v>214</v>
      </c>
      <c r="E40" s="0" t="s">
        <v>64</v>
      </c>
      <c r="F40" s="0" t="s">
        <v>215</v>
      </c>
      <c r="G40" s="0" t="n">
        <v>0</v>
      </c>
      <c r="H40" s="0" t="s">
        <v>216</v>
      </c>
      <c r="I40" s="6" t="s">
        <v>217</v>
      </c>
      <c r="J40" s="0" t="s">
        <v>218</v>
      </c>
      <c r="K40" s="0" t="str">
        <f aca="false">"6.3 %"</f>
        <v>6.3 %</v>
      </c>
      <c r="M40" s="0" t="str">
        <f aca="false">"18.6 mA/cm^{2}"</f>
        <v>18.6 mA/cm^{2}</v>
      </c>
      <c r="O40" s="0" t="s">
        <v>219</v>
      </c>
    </row>
    <row r="41" customFormat="false" ht="18" hidden="false" customHeight="false" outlineLevel="0" collapsed="false">
      <c r="A41" s="0" t="s">
        <v>220</v>
      </c>
      <c r="B41" s="0" t="n">
        <v>1</v>
      </c>
      <c r="D41" s="13" t="s">
        <v>221</v>
      </c>
      <c r="E41" s="6" t="s">
        <v>222</v>
      </c>
      <c r="F41" s="0" t="s">
        <v>223</v>
      </c>
      <c r="G41" s="0" t="n">
        <v>0</v>
      </c>
      <c r="H41" s="0" t="s">
        <v>224</v>
      </c>
      <c r="I41" s="0" t="s">
        <v>225</v>
      </c>
      <c r="J41" s="0" t="s">
        <v>226</v>
      </c>
      <c r="K41" s="0" t="str">
        <f aca="false">"5 %"</f>
        <v>5 %</v>
      </c>
      <c r="O41" s="0" t="s">
        <v>227</v>
      </c>
    </row>
    <row r="42" customFormat="false" ht="15" hidden="false" customHeight="false" outlineLevel="0" collapsed="false">
      <c r="A42" s="0" t="s">
        <v>228</v>
      </c>
      <c r="B42" s="0" t="n">
        <v>1</v>
      </c>
      <c r="D42" s="0" t="s">
        <v>229</v>
      </c>
      <c r="E42" s="0" t="s">
        <v>202</v>
      </c>
      <c r="F42" s="0" t="s">
        <v>230</v>
      </c>
      <c r="G42" s="0" t="n">
        <v>0</v>
      </c>
      <c r="H42" s="0" t="s">
        <v>231</v>
      </c>
      <c r="I42" s="6" t="s">
        <v>232</v>
      </c>
      <c r="J42" s="0" t="s">
        <v>40</v>
      </c>
      <c r="K42" s="14" t="str">
        <f aca="false">"7 %"</f>
        <v>7 %</v>
      </c>
      <c r="O42" s="0" t="s">
        <v>233</v>
      </c>
    </row>
    <row r="43" customFormat="false" ht="15" hidden="false" customHeight="false" outlineLevel="0" collapsed="false">
      <c r="A43" s="0" t="s">
        <v>228</v>
      </c>
      <c r="B43" s="0" t="n">
        <v>1</v>
      </c>
      <c r="D43" s="0" t="s">
        <v>229</v>
      </c>
      <c r="E43" s="0" t="s">
        <v>202</v>
      </c>
      <c r="F43" s="0" t="s">
        <v>230</v>
      </c>
      <c r="G43" s="0" t="n">
        <v>0</v>
      </c>
      <c r="H43" s="0" t="s">
        <v>234</v>
      </c>
      <c r="I43" s="6" t="s">
        <v>235</v>
      </c>
      <c r="J43" s="0" t="s">
        <v>40</v>
      </c>
      <c r="K43" s="14" t="str">
        <f aca="false">"7 %"</f>
        <v>7 %</v>
      </c>
    </row>
    <row r="44" customFormat="false" ht="13.8" hidden="false" customHeight="false" outlineLevel="0" collapsed="false">
      <c r="A44" s="0" t="s">
        <v>236</v>
      </c>
      <c r="B44" s="0" t="n">
        <v>1</v>
      </c>
      <c r="D44" s="0" t="s">
        <v>237</v>
      </c>
      <c r="E44" s="0" t="s">
        <v>238</v>
      </c>
      <c r="F44" s="0" t="s">
        <v>239</v>
      </c>
      <c r="G44" s="0" t="n">
        <v>1</v>
      </c>
      <c r="H44" s="0" t="s">
        <v>27</v>
      </c>
      <c r="J44" s="0" t="s">
        <v>28</v>
      </c>
      <c r="K44" s="0" t="str">
        <f aca="false">"9.47 %"</f>
        <v>9.47 %</v>
      </c>
      <c r="L44" s="0" t="str">
        <f aca="false">"0.68 V"</f>
        <v>0.68 V</v>
      </c>
      <c r="M44" s="0" t="str">
        <f aca="false">"20.69 mA cm^{-2}"</f>
        <v>20.69 mA cm^{-2}</v>
      </c>
      <c r="N44" s="0" t="str">
        <f aca="false">"67 %"</f>
        <v>67 %</v>
      </c>
      <c r="O44" s="0" t="s">
        <v>240</v>
      </c>
    </row>
    <row r="45" customFormat="false" ht="13.8" hidden="false" customHeight="false" outlineLevel="0" collapsed="false">
      <c r="A45" s="0" t="s">
        <v>241</v>
      </c>
      <c r="B45" s="0" t="n">
        <v>1</v>
      </c>
      <c r="D45" s="0" t="s">
        <v>16</v>
      </c>
      <c r="E45" s="0" t="s">
        <v>17</v>
      </c>
      <c r="F45" s="0" t="s">
        <v>116</v>
      </c>
      <c r="G45" s="0" t="n">
        <v>1</v>
      </c>
      <c r="H45" s="0" t="s">
        <v>76</v>
      </c>
      <c r="J45" s="0" t="s">
        <v>77</v>
      </c>
      <c r="K45" s="3" t="str">
        <f aca="false">"4.76 %"</f>
        <v>4.76 %</v>
      </c>
      <c r="O45" s="0" t="s">
        <v>242</v>
      </c>
    </row>
    <row r="46" customFormat="false" ht="13.8" hidden="false" customHeight="false" outlineLevel="0" collapsed="false">
      <c r="A46" s="0" t="s">
        <v>241</v>
      </c>
      <c r="B46" s="0" t="n">
        <v>1</v>
      </c>
      <c r="D46" s="0" t="s">
        <v>243</v>
      </c>
      <c r="E46" s="0" t="s">
        <v>244</v>
      </c>
      <c r="F46" s="0" t="s">
        <v>245</v>
      </c>
      <c r="G46" s="0" t="n">
        <v>1</v>
      </c>
      <c r="H46" s="0" t="s">
        <v>27</v>
      </c>
      <c r="J46" s="0" t="s">
        <v>28</v>
      </c>
      <c r="K46" s="0" t="str">
        <f aca="false">"7.50 %"</f>
        <v>7.50 %</v>
      </c>
      <c r="O46" s="0" t="s">
        <v>246</v>
      </c>
    </row>
    <row r="47" customFormat="false" ht="13.8" hidden="false" customHeight="false" outlineLevel="0" collapsed="false">
      <c r="A47" s="0" t="s">
        <v>247</v>
      </c>
      <c r="B47" s="0" t="n">
        <v>1</v>
      </c>
      <c r="D47" s="0" t="s">
        <v>248</v>
      </c>
      <c r="E47" s="0" t="s">
        <v>249</v>
      </c>
      <c r="F47" s="0" t="s">
        <v>250</v>
      </c>
      <c r="G47" s="0" t="n">
        <v>1</v>
      </c>
      <c r="H47" s="0" t="s">
        <v>33</v>
      </c>
      <c r="J47" s="0" t="s">
        <v>34</v>
      </c>
      <c r="K47" s="0" t="str">
        <f aca="false">"2.80 %"</f>
        <v>2.80 %</v>
      </c>
      <c r="O47" s="0" t="s">
        <v>251</v>
      </c>
    </row>
    <row r="48" customFormat="false" ht="18" hidden="false" customHeight="false" outlineLevel="0" collapsed="false">
      <c r="A48" s="0" t="s">
        <v>252</v>
      </c>
      <c r="B48" s="0" t="n">
        <v>1</v>
      </c>
      <c r="D48" s="4" t="s">
        <v>253</v>
      </c>
      <c r="E48" s="6" t="s">
        <v>254</v>
      </c>
      <c r="F48" s="0" t="s">
        <v>40</v>
      </c>
      <c r="G48" s="0" t="n">
        <v>1</v>
      </c>
      <c r="H48" s="0" t="s">
        <v>27</v>
      </c>
      <c r="J48" s="0" t="s">
        <v>28</v>
      </c>
      <c r="K48" s="0" t="str">
        <f aca="false">"5.71 %"</f>
        <v>5.71 %</v>
      </c>
      <c r="O48" s="0" t="s">
        <v>255</v>
      </c>
    </row>
    <row r="49" customFormat="false" ht="14.25" hidden="false" customHeight="false" outlineLevel="0" collapsed="false">
      <c r="A49" s="0" t="s">
        <v>256</v>
      </c>
      <c r="B49" s="0" t="n">
        <v>1</v>
      </c>
      <c r="D49" s="0" t="s">
        <v>253</v>
      </c>
      <c r="E49" s="15" t="s">
        <v>257</v>
      </c>
      <c r="F49" s="0" t="s">
        <v>258</v>
      </c>
      <c r="G49" s="0" t="n">
        <v>1</v>
      </c>
      <c r="H49" s="0" t="s">
        <v>27</v>
      </c>
      <c r="J49" s="0" t="s">
        <v>28</v>
      </c>
      <c r="K49" s="3" t="n">
        <v>0.077</v>
      </c>
      <c r="O49" s="0" t="s">
        <v>259</v>
      </c>
    </row>
    <row r="50" customFormat="false" ht="18" hidden="false" customHeight="false" outlineLevel="0" collapsed="false">
      <c r="A50" s="0" t="s">
        <v>260</v>
      </c>
      <c r="B50" s="0" t="n">
        <v>1</v>
      </c>
      <c r="D50" s="0" t="s">
        <v>261</v>
      </c>
      <c r="E50" s="6" t="s">
        <v>262</v>
      </c>
      <c r="F50" s="0" t="s">
        <v>263</v>
      </c>
      <c r="G50" s="0" t="n">
        <v>1</v>
      </c>
      <c r="H50" s="0" t="s">
        <v>33</v>
      </c>
      <c r="J50" s="0" t="s">
        <v>34</v>
      </c>
      <c r="K50" s="0" t="str">
        <f aca="false">"2.4 %"</f>
        <v>2.4 %</v>
      </c>
      <c r="O50" s="0" t="s">
        <v>264</v>
      </c>
    </row>
    <row r="51" customFormat="false" ht="13.8" hidden="false" customHeight="false" outlineLevel="0" collapsed="false">
      <c r="A51" s="0" t="s">
        <v>265</v>
      </c>
      <c r="B51" s="0" t="n">
        <v>1</v>
      </c>
      <c r="D51" s="0" t="s">
        <v>208</v>
      </c>
      <c r="E51" s="0" t="s">
        <v>17</v>
      </c>
      <c r="F51" s="0" t="s">
        <v>209</v>
      </c>
      <c r="G51" s="0" t="n">
        <v>1</v>
      </c>
      <c r="H51" s="0" t="s">
        <v>33</v>
      </c>
      <c r="J51" s="0" t="s">
        <v>34</v>
      </c>
      <c r="K51" s="0" t="str">
        <f aca="false">"4.26 %"</f>
        <v>4.26 %</v>
      </c>
      <c r="O51" s="0" t="s">
        <v>266</v>
      </c>
    </row>
    <row r="52" customFormat="false" ht="13.8" hidden="false" customHeight="false" outlineLevel="0" collapsed="false">
      <c r="A52" s="0" t="s">
        <v>267</v>
      </c>
      <c r="B52" s="0" t="n">
        <v>1</v>
      </c>
      <c r="D52" s="0" t="s">
        <v>16</v>
      </c>
      <c r="E52" s="0" t="s">
        <v>17</v>
      </c>
      <c r="F52" s="0" t="s">
        <v>116</v>
      </c>
      <c r="G52" s="0" t="n">
        <v>1</v>
      </c>
      <c r="H52" s="0" t="s">
        <v>33</v>
      </c>
      <c r="J52" s="0" t="s">
        <v>34</v>
      </c>
      <c r="K52" s="0" t="str">
        <f aca="false">"3.1 %"</f>
        <v>3.1 %</v>
      </c>
      <c r="N52" s="0" t="str">
        <f aca="false">"65 %"</f>
        <v>65 %</v>
      </c>
      <c r="O52" s="0" t="s">
        <v>268</v>
      </c>
    </row>
    <row r="53" customFormat="false" ht="13.8" hidden="false" customHeight="false" outlineLevel="0" collapsed="false">
      <c r="A53" s="0" t="s">
        <v>269</v>
      </c>
      <c r="B53" s="0" t="n">
        <v>1</v>
      </c>
      <c r="D53" s="0" t="s">
        <v>16</v>
      </c>
      <c r="E53" s="0" t="s">
        <v>17</v>
      </c>
      <c r="F53" s="0" t="s">
        <v>40</v>
      </c>
      <c r="G53" s="0" t="n">
        <v>1</v>
      </c>
      <c r="H53" s="0" t="s">
        <v>33</v>
      </c>
      <c r="J53" s="0" t="s">
        <v>40</v>
      </c>
      <c r="K53" s="0" t="str">
        <f aca="false">"2.15 %"</f>
        <v>2.15 %</v>
      </c>
      <c r="O53" s="0" t="s">
        <v>270</v>
      </c>
    </row>
    <row r="54" customFormat="false" ht="18" hidden="false" customHeight="false" outlineLevel="0" collapsed="false">
      <c r="A54" s="0" t="s">
        <v>271</v>
      </c>
      <c r="B54" s="0" t="n">
        <v>1</v>
      </c>
      <c r="D54" s="0" t="s">
        <v>272</v>
      </c>
      <c r="E54" s="6" t="s">
        <v>273</v>
      </c>
      <c r="F54" s="0" t="s">
        <v>274</v>
      </c>
      <c r="G54" s="0" t="n">
        <v>1</v>
      </c>
      <c r="H54" s="0" t="s">
        <v>33</v>
      </c>
      <c r="J54" s="0" t="s">
        <v>34</v>
      </c>
      <c r="K54" s="0" t="str">
        <f aca="false">"1.9 %"</f>
        <v>1.9 %</v>
      </c>
      <c r="L54" s="0" t="str">
        <f aca="false">"0.91 V"</f>
        <v>0.91 V</v>
      </c>
      <c r="O54" s="0" t="s">
        <v>275</v>
      </c>
    </row>
    <row r="55" customFormat="false" ht="13.8" hidden="false" customHeight="false" outlineLevel="0" collapsed="false">
      <c r="A55" s="0" t="s">
        <v>276</v>
      </c>
      <c r="B55" s="0" t="n">
        <v>1</v>
      </c>
      <c r="D55" s="0" t="s">
        <v>16</v>
      </c>
      <c r="E55" s="0" t="s">
        <v>17</v>
      </c>
      <c r="F55" s="0" t="s">
        <v>116</v>
      </c>
      <c r="G55" s="0" t="n">
        <v>1</v>
      </c>
      <c r="H55" s="0" t="s">
        <v>76</v>
      </c>
      <c r="J55" s="0" t="s">
        <v>40</v>
      </c>
      <c r="K55" s="0" t="str">
        <f aca="false">"2.90 %"</f>
        <v>2.90 %</v>
      </c>
      <c r="L55" s="0" t="str">
        <f aca="false">"0.58 V"</f>
        <v>0.58 V</v>
      </c>
      <c r="M55" s="0" t="str">
        <f aca="false">"-9.00 mA/cm^{2}"</f>
        <v>-9.00 mA/cm^{2}</v>
      </c>
      <c r="N55" s="0" t="str">
        <f aca="false">"55.6 %"</f>
        <v>55.6 %</v>
      </c>
      <c r="O55" s="0" t="s">
        <v>277</v>
      </c>
    </row>
    <row r="56" customFormat="false" ht="13.8" hidden="false" customHeight="false" outlineLevel="0" collapsed="false">
      <c r="A56" s="0" t="s">
        <v>278</v>
      </c>
      <c r="B56" s="0" t="n">
        <v>1</v>
      </c>
      <c r="D56" s="0" t="s">
        <v>279</v>
      </c>
      <c r="E56" s="0" t="s">
        <v>280</v>
      </c>
      <c r="F56" s="0" t="s">
        <v>281</v>
      </c>
      <c r="G56" s="0" t="n">
        <v>1</v>
      </c>
      <c r="H56" s="0" t="s">
        <v>27</v>
      </c>
      <c r="J56" s="0" t="s">
        <v>28</v>
      </c>
      <c r="K56" s="0" t="str">
        <f aca="false">"5.54 %"</f>
        <v>5.54 %</v>
      </c>
      <c r="O56" s="0" t="s">
        <v>282</v>
      </c>
    </row>
    <row r="57" customFormat="false" ht="13.8" hidden="false" customHeight="false" outlineLevel="0" collapsed="false">
      <c r="A57" s="0" t="s">
        <v>278</v>
      </c>
      <c r="B57" s="0" t="n">
        <v>1</v>
      </c>
      <c r="D57" s="0" t="s">
        <v>283</v>
      </c>
      <c r="E57" s="0" t="s">
        <v>280</v>
      </c>
      <c r="F57" s="0" t="s">
        <v>284</v>
      </c>
      <c r="G57" s="0" t="n">
        <v>1</v>
      </c>
      <c r="H57" s="0" t="s">
        <v>27</v>
      </c>
      <c r="J57" s="0" t="s">
        <v>28</v>
      </c>
      <c r="K57" s="0" t="str">
        <f aca="false">"5.67 %"</f>
        <v>5.67 %</v>
      </c>
      <c r="O57" s="0" t="s">
        <v>285</v>
      </c>
    </row>
    <row r="58" customFormat="false" ht="13.8" hidden="false" customHeight="false" outlineLevel="0" collapsed="false">
      <c r="A58" s="0" t="s">
        <v>286</v>
      </c>
      <c r="B58" s="0" t="n">
        <v>1</v>
      </c>
      <c r="D58" s="0" t="s">
        <v>287</v>
      </c>
      <c r="E58" s="0" t="s">
        <v>288</v>
      </c>
      <c r="F58" s="0" t="s">
        <v>289</v>
      </c>
      <c r="G58" s="0" t="n">
        <v>1</v>
      </c>
      <c r="H58" s="0" t="s">
        <v>27</v>
      </c>
      <c r="J58" s="0" t="s">
        <v>28</v>
      </c>
      <c r="K58" s="3" t="n">
        <v>0.0725</v>
      </c>
      <c r="O58" s="0" t="s">
        <v>290</v>
      </c>
    </row>
    <row r="59" customFormat="false" ht="15" hidden="false" customHeight="false" outlineLevel="0" collapsed="false">
      <c r="A59" s="0" t="s">
        <v>291</v>
      </c>
      <c r="B59" s="0" t="n">
        <v>1</v>
      </c>
      <c r="D59" s="0" t="s">
        <v>16</v>
      </c>
      <c r="E59" s="0" t="s">
        <v>17</v>
      </c>
      <c r="F59" s="0" t="s">
        <v>18</v>
      </c>
      <c r="G59" s="0" t="n">
        <v>1</v>
      </c>
      <c r="H59" s="0" t="s">
        <v>292</v>
      </c>
      <c r="I59" s="16" t="s">
        <v>293</v>
      </c>
      <c r="J59" s="0" t="s">
        <v>40</v>
      </c>
      <c r="K59" s="0" t="str">
        <f aca="false">"4.77 %"</f>
        <v>4.77 %</v>
      </c>
      <c r="L59" s="0" t="str">
        <f aca="false">"0.88 V"</f>
        <v>0.88 V</v>
      </c>
      <c r="M59" s="0" t="str">
        <f aca="false">"10.52 mA cm^{-2}"</f>
        <v>10.52 mA cm^{-2}</v>
      </c>
      <c r="N59" s="0" t="str">
        <f aca="false">"0.51"</f>
        <v>0.51</v>
      </c>
      <c r="O59" s="0" t="s">
        <v>294</v>
      </c>
    </row>
    <row r="60" customFormat="false" ht="15" hidden="false" customHeight="false" outlineLevel="0" collapsed="false">
      <c r="A60" s="0" t="s">
        <v>295</v>
      </c>
      <c r="B60" s="0" t="n">
        <v>1</v>
      </c>
      <c r="D60" s="0" t="s">
        <v>208</v>
      </c>
      <c r="E60" s="0" t="s">
        <v>17</v>
      </c>
      <c r="F60" s="0" t="s">
        <v>209</v>
      </c>
      <c r="G60" s="0" t="n">
        <v>1</v>
      </c>
      <c r="H60" s="0" t="s">
        <v>296</v>
      </c>
      <c r="I60" s="16" t="s">
        <v>297</v>
      </c>
      <c r="J60" s="0" t="s">
        <v>298</v>
      </c>
      <c r="K60" s="3" t="str">
        <f aca="false">"3.67 %"</f>
        <v>3.67 %</v>
      </c>
      <c r="L60" s="4" t="str">
        <f aca="false">"0.58 V"</f>
        <v>0.58 V</v>
      </c>
      <c r="M60" s="5" t="s">
        <v>299</v>
      </c>
      <c r="O60" s="0" t="s">
        <v>300</v>
      </c>
    </row>
    <row r="61" customFormat="false" ht="13.8" hidden="false" customHeight="false" outlineLevel="0" collapsed="false">
      <c r="A61" s="0" t="s">
        <v>301</v>
      </c>
      <c r="B61" s="0" t="n">
        <v>1</v>
      </c>
      <c r="D61" s="0" t="s">
        <v>302</v>
      </c>
      <c r="E61" s="0" t="s">
        <v>202</v>
      </c>
      <c r="F61" s="0" t="s">
        <v>303</v>
      </c>
      <c r="G61" s="0" t="n">
        <v>1</v>
      </c>
      <c r="H61" s="0" t="s">
        <v>27</v>
      </c>
      <c r="J61" s="0" t="s">
        <v>304</v>
      </c>
      <c r="K61" s="3" t="n">
        <v>0.0726</v>
      </c>
      <c r="O61" s="0" t="s">
        <v>305</v>
      </c>
    </row>
    <row r="62" customFormat="false" ht="13.8" hidden="false" customHeight="false" outlineLevel="0" collapsed="false">
      <c r="A62" s="0" t="s">
        <v>301</v>
      </c>
      <c r="B62" s="0" t="n">
        <v>1</v>
      </c>
      <c r="D62" s="5" t="s">
        <v>302</v>
      </c>
      <c r="E62" s="0" t="s">
        <v>202</v>
      </c>
      <c r="F62" s="0" t="s">
        <v>303</v>
      </c>
      <c r="G62" s="0" t="n">
        <v>1</v>
      </c>
      <c r="H62" s="0" t="s">
        <v>76</v>
      </c>
      <c r="J62" s="0" t="s">
        <v>77</v>
      </c>
      <c r="K62" s="7" t="n">
        <v>0.0618</v>
      </c>
    </row>
    <row r="63" customFormat="false" ht="15" hidden="false" customHeight="false" outlineLevel="0" collapsed="false">
      <c r="A63" s="0" t="s">
        <v>306</v>
      </c>
      <c r="B63" s="0" t="n">
        <v>1</v>
      </c>
      <c r="D63" s="0" t="s">
        <v>307</v>
      </c>
      <c r="E63" s="6" t="s">
        <v>308</v>
      </c>
      <c r="F63" s="0" t="s">
        <v>309</v>
      </c>
      <c r="G63" s="0" t="n">
        <v>1</v>
      </c>
      <c r="H63" s="0" t="s">
        <v>27</v>
      </c>
      <c r="J63" s="0" t="s">
        <v>28</v>
      </c>
      <c r="K63" s="0" t="str">
        <f aca="false">"5.98 %"</f>
        <v>5.98 %</v>
      </c>
      <c r="O63" s="0" t="s">
        <v>310</v>
      </c>
    </row>
    <row r="64" customFormat="false" ht="15" hidden="false" customHeight="false" outlineLevel="0" collapsed="false">
      <c r="A64" s="0" t="s">
        <v>306</v>
      </c>
      <c r="B64" s="0" t="n">
        <v>1</v>
      </c>
      <c r="D64" s="0" t="s">
        <v>311</v>
      </c>
      <c r="E64" s="6" t="s">
        <v>312</v>
      </c>
      <c r="F64" s="0" t="s">
        <v>313</v>
      </c>
      <c r="G64" s="0" t="n">
        <v>1</v>
      </c>
      <c r="H64" s="0" t="s">
        <v>27</v>
      </c>
      <c r="J64" s="0" t="s">
        <v>28</v>
      </c>
      <c r="K64" s="9" t="str">
        <f aca="false">"6.80 %"</f>
        <v>6.80 %</v>
      </c>
    </row>
    <row r="65" customFormat="false" ht="15" hidden="false" customHeight="false" outlineLevel="0" collapsed="false">
      <c r="A65" s="0" t="s">
        <v>314</v>
      </c>
      <c r="B65" s="0" t="n">
        <v>1</v>
      </c>
      <c r="D65" s="0" t="s">
        <v>315</v>
      </c>
      <c r="E65" s="6" t="s">
        <v>316</v>
      </c>
      <c r="F65" s="0" t="s">
        <v>317</v>
      </c>
      <c r="G65" s="0" t="n">
        <v>1</v>
      </c>
      <c r="H65" s="0" t="s">
        <v>318</v>
      </c>
      <c r="J65" s="0" t="s">
        <v>319</v>
      </c>
      <c r="K65" s="12" t="n">
        <v>0.0016</v>
      </c>
      <c r="O65" s="0" t="s">
        <v>320</v>
      </c>
    </row>
    <row r="66" customFormat="false" ht="15" hidden="false" customHeight="false" outlineLevel="0" collapsed="false">
      <c r="A66" s="0" t="s">
        <v>314</v>
      </c>
      <c r="B66" s="0" t="n">
        <v>1</v>
      </c>
      <c r="D66" s="0" t="s">
        <v>321</v>
      </c>
      <c r="E66" s="6" t="s">
        <v>322</v>
      </c>
      <c r="F66" s="0" t="s">
        <v>323</v>
      </c>
      <c r="G66" s="0" t="n">
        <v>1</v>
      </c>
      <c r="H66" s="0" t="s">
        <v>318</v>
      </c>
      <c r="J66" s="0" t="s">
        <v>319</v>
      </c>
      <c r="K66" s="3" t="str">
        <f aca="false">"1.57"</f>
        <v>1.57</v>
      </c>
      <c r="O66" s="0" t="s">
        <v>324</v>
      </c>
    </row>
    <row r="67" customFormat="false" ht="13.8" hidden="false" customHeight="false" outlineLevel="0" collapsed="false">
      <c r="A67" s="0" t="s">
        <v>325</v>
      </c>
      <c r="B67" s="0" t="n">
        <v>1</v>
      </c>
      <c r="D67" s="0" t="s">
        <v>326</v>
      </c>
      <c r="E67" s="0" t="s">
        <v>327</v>
      </c>
      <c r="F67" s="0" t="s">
        <v>328</v>
      </c>
      <c r="G67" s="0" t="n">
        <v>1</v>
      </c>
      <c r="H67" s="0" t="s">
        <v>27</v>
      </c>
      <c r="J67" s="0" t="s">
        <v>28</v>
      </c>
      <c r="K67" s="3" t="str">
        <f aca="false">"4.10 %"</f>
        <v>4.10 %</v>
      </c>
      <c r="L67" s="17" t="str">
        <f aca="false">"0.77 V"</f>
        <v>0.77 V</v>
      </c>
      <c r="M67" s="5" t="s">
        <v>329</v>
      </c>
      <c r="N67" s="5" t="str">
        <f aca="false">"0.58"</f>
        <v>0.58</v>
      </c>
      <c r="O67" s="0" t="s">
        <v>330</v>
      </c>
    </row>
    <row r="68" customFormat="false" ht="13.8" hidden="false" customHeight="false" outlineLevel="0" collapsed="false">
      <c r="A68" s="0" t="s">
        <v>325</v>
      </c>
      <c r="B68" s="0" t="n">
        <v>1</v>
      </c>
      <c r="D68" s="0" t="s">
        <v>331</v>
      </c>
      <c r="E68" s="0" t="s">
        <v>332</v>
      </c>
      <c r="F68" s="0" t="s">
        <v>333</v>
      </c>
      <c r="G68" s="0" t="n">
        <v>1</v>
      </c>
      <c r="H68" s="0" t="s">
        <v>27</v>
      </c>
      <c r="J68" s="0" t="s">
        <v>28</v>
      </c>
      <c r="K68" s="12" t="n">
        <v>0.0583</v>
      </c>
      <c r="L68" s="0" t="s">
        <v>334</v>
      </c>
      <c r="M68" s="0" t="str">
        <f aca="false">"12.2 mA/cm^{2}"</f>
        <v>12.2 mA/cm^{2}</v>
      </c>
      <c r="N68" s="17" t="str">
        <f aca="false">"0.62"</f>
        <v>0.62</v>
      </c>
      <c r="O68" s="0" t="s">
        <v>335</v>
      </c>
    </row>
    <row r="69" customFormat="false" ht="18" hidden="false" customHeight="false" outlineLevel="0" collapsed="false">
      <c r="A69" s="0" t="s">
        <v>336</v>
      </c>
      <c r="B69" s="0" t="n">
        <v>1</v>
      </c>
      <c r="D69" s="0" t="s">
        <v>253</v>
      </c>
      <c r="E69" s="6" t="s">
        <v>337</v>
      </c>
      <c r="F69" s="0" t="s">
        <v>258</v>
      </c>
      <c r="G69" s="0" t="n">
        <v>1</v>
      </c>
      <c r="H69" s="0" t="s">
        <v>27</v>
      </c>
      <c r="J69" s="0" t="s">
        <v>28</v>
      </c>
      <c r="K69" s="0" t="str">
        <f aca="false">"1.33 %"</f>
        <v>1.33 %</v>
      </c>
      <c r="O69" s="0" t="s">
        <v>338</v>
      </c>
    </row>
    <row r="70" customFormat="false" ht="14.25" hidden="false" customHeight="false" outlineLevel="0" collapsed="false">
      <c r="A70" s="0" t="s">
        <v>339</v>
      </c>
      <c r="B70" s="0" t="n">
        <v>1</v>
      </c>
      <c r="D70" s="0" t="s">
        <v>16</v>
      </c>
      <c r="E70" s="0" t="s">
        <v>17</v>
      </c>
      <c r="F70" s="0" t="s">
        <v>116</v>
      </c>
      <c r="G70" s="0" t="n">
        <v>1</v>
      </c>
      <c r="H70" s="0" t="s">
        <v>33</v>
      </c>
      <c r="J70" s="0" t="s">
        <v>34</v>
      </c>
      <c r="K70" s="0" t="str">
        <f aca="false">"3.35 %"</f>
        <v>3.35 %</v>
      </c>
      <c r="O70" s="0" t="s">
        <v>340</v>
      </c>
    </row>
    <row r="71" customFormat="false" ht="18" hidden="false" customHeight="false" outlineLevel="0" collapsed="false">
      <c r="A71" s="0" t="s">
        <v>341</v>
      </c>
      <c r="B71" s="0" t="n">
        <v>1</v>
      </c>
      <c r="D71" s="0" t="s">
        <v>128</v>
      </c>
      <c r="E71" s="6" t="s">
        <v>342</v>
      </c>
      <c r="F71" s="0" t="s">
        <v>130</v>
      </c>
      <c r="G71" s="0" t="n">
        <v>1</v>
      </c>
      <c r="H71" s="0" t="s">
        <v>33</v>
      </c>
      <c r="J71" s="0" t="s">
        <v>343</v>
      </c>
      <c r="K71" s="0" t="str">
        <f aca="false">"1.22 %"</f>
        <v>1.22 %</v>
      </c>
      <c r="L71" s="5" t="s">
        <v>344</v>
      </c>
      <c r="M71" s="0" t="str">
        <f aca="false">"5.02 mA/cm^{2}"</f>
        <v>5.02 mA/cm^{2}</v>
      </c>
      <c r="O71" s="0" t="s">
        <v>345</v>
      </c>
    </row>
    <row r="72" customFormat="false" ht="13.8" hidden="false" customHeight="false" outlineLevel="0" collapsed="false">
      <c r="A72" s="0" t="s">
        <v>346</v>
      </c>
      <c r="B72" s="0" t="n">
        <v>1</v>
      </c>
      <c r="D72" s="0" t="s">
        <v>85</v>
      </c>
      <c r="E72" s="0" t="s">
        <v>86</v>
      </c>
      <c r="F72" s="0" t="s">
        <v>87</v>
      </c>
      <c r="G72" s="0" t="n">
        <v>1</v>
      </c>
      <c r="H72" s="0" t="s">
        <v>27</v>
      </c>
      <c r="J72" s="0" t="s">
        <v>28</v>
      </c>
      <c r="K72" s="0" t="str">
        <f aca="false">"8.48 %"</f>
        <v>8.48 %</v>
      </c>
      <c r="O72" s="0" t="s">
        <v>347</v>
      </c>
    </row>
    <row r="73" customFormat="false" ht="13.8" hidden="false" customHeight="false" outlineLevel="0" collapsed="false">
      <c r="A73" s="0" t="s">
        <v>348</v>
      </c>
      <c r="C73" s="0" t="n">
        <v>1</v>
      </c>
      <c r="D73" s="0" t="s">
        <v>349</v>
      </c>
      <c r="F73" s="0" t="s">
        <v>350</v>
      </c>
      <c r="G73" s="0" t="n">
        <v>1</v>
      </c>
      <c r="H73" s="0" t="s">
        <v>27</v>
      </c>
      <c r="J73" s="0" t="s">
        <v>351</v>
      </c>
      <c r="K73" s="0" t="str">
        <f aca="false">"8.05 %"</f>
        <v>8.05 %</v>
      </c>
      <c r="O73" s="0" t="s">
        <v>352</v>
      </c>
    </row>
    <row r="74" customFormat="false" ht="13.8" hidden="false" customHeight="false" outlineLevel="0" collapsed="false">
      <c r="A74" s="0" t="s">
        <v>348</v>
      </c>
      <c r="C74" s="0" t="n">
        <v>1</v>
      </c>
      <c r="D74" s="5" t="s">
        <v>353</v>
      </c>
      <c r="F74" s="0" t="s">
        <v>40</v>
      </c>
      <c r="G74" s="0" t="n">
        <v>1</v>
      </c>
      <c r="H74" s="0" t="s">
        <v>27</v>
      </c>
      <c r="J74" s="0" t="s">
        <v>351</v>
      </c>
      <c r="K74" s="9" t="n">
        <v>0.0805</v>
      </c>
    </row>
    <row r="75" customFormat="false" ht="15" hidden="false" customHeight="false" outlineLevel="0" collapsed="false">
      <c r="A75" s="0" t="s">
        <v>354</v>
      </c>
      <c r="B75" s="0" t="n">
        <v>1</v>
      </c>
      <c r="D75" s="4" t="s">
        <v>355</v>
      </c>
      <c r="E75" s="6" t="s">
        <v>356</v>
      </c>
      <c r="F75" s="0" t="s">
        <v>40</v>
      </c>
      <c r="G75" s="0" t="n">
        <v>1</v>
      </c>
      <c r="H75" s="0" t="s">
        <v>27</v>
      </c>
      <c r="J75" s="0" t="s">
        <v>357</v>
      </c>
      <c r="K75" s="0" t="str">
        <f aca="false">"4.08 %"</f>
        <v>4.08 %</v>
      </c>
      <c r="L75" s="5" t="s">
        <v>358</v>
      </c>
      <c r="M75" s="0" t="str">
        <f aca="false">"8.23 mA cm^{-2}"</f>
        <v>8.23 mA cm^{-2}</v>
      </c>
      <c r="N75" s="0" t="str">
        <f aca="false">"65.0 %"</f>
        <v>65.0 %</v>
      </c>
      <c r="O75" s="0" t="s">
        <v>359</v>
      </c>
    </row>
    <row r="76" customFormat="false" ht="15" hidden="false" customHeight="false" outlineLevel="0" collapsed="false">
      <c r="A76" s="0" t="s">
        <v>360</v>
      </c>
      <c r="B76" s="0" t="n">
        <v>1</v>
      </c>
      <c r="D76" s="0" t="s">
        <v>361</v>
      </c>
      <c r="E76" s="6" t="s">
        <v>362</v>
      </c>
      <c r="F76" s="0" t="s">
        <v>363</v>
      </c>
      <c r="G76" s="0" t="n">
        <v>1</v>
      </c>
      <c r="H76" s="0" t="s">
        <v>76</v>
      </c>
      <c r="J76" s="0" t="s">
        <v>364</v>
      </c>
      <c r="K76" s="0" t="str">
        <f aca="false">"4.20 %"</f>
        <v>4.20 %</v>
      </c>
      <c r="O76" s="0" t="s">
        <v>365</v>
      </c>
    </row>
    <row r="77" customFormat="false" ht="15" hidden="false" customHeight="false" outlineLevel="0" collapsed="false">
      <c r="A77" s="0" t="s">
        <v>366</v>
      </c>
      <c r="B77" s="0" t="n">
        <v>1</v>
      </c>
      <c r="D77" s="0" t="s">
        <v>367</v>
      </c>
      <c r="E77" s="6" t="s">
        <v>368</v>
      </c>
      <c r="F77" s="0" t="s">
        <v>369</v>
      </c>
      <c r="G77" s="0" t="n">
        <v>1</v>
      </c>
      <c r="H77" s="0" t="s">
        <v>27</v>
      </c>
      <c r="J77" s="0" t="s">
        <v>28</v>
      </c>
      <c r="K77" s="0" t="str">
        <f aca="false">"4.46 %"</f>
        <v>4.46 %</v>
      </c>
      <c r="O77" s="0" t="s">
        <v>370</v>
      </c>
    </row>
    <row r="78" customFormat="false" ht="15" hidden="false" customHeight="false" outlineLevel="0" collapsed="false">
      <c r="A78" s="0" t="s">
        <v>371</v>
      </c>
      <c r="B78" s="0" t="n">
        <v>1</v>
      </c>
      <c r="D78" s="0" t="s">
        <v>372</v>
      </c>
      <c r="E78" s="6" t="s">
        <v>373</v>
      </c>
      <c r="F78" s="0" t="s">
        <v>374</v>
      </c>
      <c r="G78" s="0" t="n">
        <v>1</v>
      </c>
      <c r="H78" s="0" t="s">
        <v>66</v>
      </c>
      <c r="J78" s="0" t="s">
        <v>67</v>
      </c>
      <c r="K78" s="0" t="str">
        <f aca="false">"4.36 %"</f>
        <v>4.36 %</v>
      </c>
      <c r="L78" s="0" t="str">
        <f aca="false">"0.69 V"</f>
        <v>0.69 V</v>
      </c>
      <c r="M78" s="0" t="str">
        <f aca="false">"9.92 mA/cm^{2}"</f>
        <v>9.92 mA/cm^{2}</v>
      </c>
      <c r="N78" s="0" t="str">
        <f aca="false">"63 %"</f>
        <v>63 %</v>
      </c>
      <c r="O78" s="0" t="s">
        <v>375</v>
      </c>
    </row>
    <row r="79" customFormat="false" ht="15" hidden="false" customHeight="false" outlineLevel="0" collapsed="false">
      <c r="A79" s="0" t="s">
        <v>371</v>
      </c>
      <c r="B79" s="0" t="n">
        <v>1</v>
      </c>
      <c r="D79" s="5" t="s">
        <v>376</v>
      </c>
      <c r="E79" s="6" t="s">
        <v>377</v>
      </c>
      <c r="F79" s="18" t="s">
        <v>378</v>
      </c>
      <c r="G79" s="0" t="n">
        <v>1</v>
      </c>
      <c r="H79" s="0" t="s">
        <v>66</v>
      </c>
      <c r="J79" s="0" t="s">
        <v>67</v>
      </c>
      <c r="K79" s="9" t="n">
        <v>0.0365</v>
      </c>
      <c r="L79" s="0" t="s">
        <v>379</v>
      </c>
      <c r="M79" s="0" t="s">
        <v>380</v>
      </c>
      <c r="N79" s="14" t="n">
        <v>0.59</v>
      </c>
    </row>
    <row r="80" customFormat="false" ht="13.8" hidden="false" customHeight="false" outlineLevel="0" collapsed="false">
      <c r="A80" s="0" t="s">
        <v>381</v>
      </c>
      <c r="B80" s="0" t="n">
        <v>1</v>
      </c>
      <c r="D80" s="0" t="s">
        <v>382</v>
      </c>
      <c r="E80" s="0" t="s">
        <v>17</v>
      </c>
      <c r="F80" s="0" t="s">
        <v>383</v>
      </c>
      <c r="G80" s="0" t="n">
        <v>1</v>
      </c>
      <c r="H80" s="0" t="s">
        <v>27</v>
      </c>
      <c r="J80" s="0" t="s">
        <v>28</v>
      </c>
      <c r="K80" s="3" t="n">
        <v>0.0405</v>
      </c>
      <c r="O80" s="0" t="s">
        <v>384</v>
      </c>
    </row>
    <row r="81" customFormat="false" ht="13.8" hidden="false" customHeight="false" outlineLevel="0" collapsed="false">
      <c r="A81" s="0" t="s">
        <v>385</v>
      </c>
      <c r="B81" s="0" t="n">
        <v>1</v>
      </c>
      <c r="D81" s="0" t="s">
        <v>386</v>
      </c>
      <c r="E81" s="0" t="s">
        <v>387</v>
      </c>
      <c r="F81" s="0" t="s">
        <v>388</v>
      </c>
      <c r="G81" s="0" t="n">
        <v>1</v>
      </c>
      <c r="H81" s="0" t="s">
        <v>27</v>
      </c>
      <c r="J81" s="0" t="s">
        <v>28</v>
      </c>
      <c r="K81" s="0" t="str">
        <f aca="false">"1.96 %"</f>
        <v>1.96 %</v>
      </c>
      <c r="O81" s="0" t="s">
        <v>389</v>
      </c>
    </row>
    <row r="82" customFormat="false" ht="15" hidden="false" customHeight="false" outlineLevel="0" collapsed="false">
      <c r="A82" s="0" t="s">
        <v>385</v>
      </c>
      <c r="B82" s="0" t="n">
        <v>1</v>
      </c>
      <c r="D82" s="0" t="s">
        <v>390</v>
      </c>
      <c r="E82" s="6" t="s">
        <v>391</v>
      </c>
      <c r="F82" s="0" t="s">
        <v>392</v>
      </c>
      <c r="G82" s="0" t="n">
        <v>1</v>
      </c>
      <c r="H82" s="0" t="s">
        <v>27</v>
      </c>
      <c r="J82" s="0" t="s">
        <v>28</v>
      </c>
      <c r="K82" s="9" t="str">
        <f aca="false">"4.49 %"</f>
        <v>4.49 %</v>
      </c>
    </row>
    <row r="83" customFormat="false" ht="15" hidden="false" customHeight="false" outlineLevel="0" collapsed="false">
      <c r="A83" s="0" t="s">
        <v>385</v>
      </c>
      <c r="B83" s="0" t="n">
        <v>1</v>
      </c>
      <c r="D83" s="0" t="s">
        <v>393</v>
      </c>
      <c r="E83" s="6" t="s">
        <v>394</v>
      </c>
      <c r="F83" s="0" t="s">
        <v>395</v>
      </c>
      <c r="G83" s="0" t="n">
        <v>1</v>
      </c>
      <c r="H83" s="0" t="s">
        <v>27</v>
      </c>
      <c r="J83" s="0" t="s">
        <v>28</v>
      </c>
      <c r="K83" s="0" t="str">
        <f aca="false">"3.91 %"</f>
        <v>3.91 %</v>
      </c>
      <c r="O83" s="0" t="s">
        <v>396</v>
      </c>
    </row>
    <row r="84" customFormat="false" ht="13.8" hidden="false" customHeight="false" outlineLevel="0" collapsed="false">
      <c r="A84" s="0" t="s">
        <v>397</v>
      </c>
      <c r="B84" s="0" t="n">
        <v>1</v>
      </c>
      <c r="D84" s="0" t="s">
        <v>208</v>
      </c>
      <c r="E84" s="0" t="s">
        <v>17</v>
      </c>
      <c r="F84" s="0" t="s">
        <v>209</v>
      </c>
      <c r="G84" s="0" t="n">
        <v>1</v>
      </c>
      <c r="H84" s="0" t="s">
        <v>33</v>
      </c>
      <c r="J84" s="0" t="s">
        <v>398</v>
      </c>
      <c r="K84" s="0" t="str">
        <f aca="false">"2.50 %"</f>
        <v>2.50 %</v>
      </c>
      <c r="O84" s="0" t="s">
        <v>399</v>
      </c>
    </row>
    <row r="85" customFormat="false" ht="13.8" hidden="false" customHeight="false" outlineLevel="0" collapsed="false">
      <c r="A85" s="0" t="s">
        <v>400</v>
      </c>
      <c r="B85" s="0" t="n">
        <v>1</v>
      </c>
      <c r="D85" s="0" t="s">
        <v>16</v>
      </c>
      <c r="E85" s="0" t="s">
        <v>17</v>
      </c>
      <c r="F85" s="0" t="s">
        <v>18</v>
      </c>
      <c r="G85" s="0" t="n">
        <v>1</v>
      </c>
      <c r="H85" s="0" t="s">
        <v>27</v>
      </c>
      <c r="J85" s="0" t="s">
        <v>40</v>
      </c>
      <c r="K85" s="3" t="n">
        <v>0.0325</v>
      </c>
      <c r="O85" s="0" t="s">
        <v>401</v>
      </c>
    </row>
    <row r="86" customFormat="false" ht="13.8" hidden="false" customHeight="false" outlineLevel="0" collapsed="false">
      <c r="A86" s="0" t="s">
        <v>402</v>
      </c>
      <c r="B86" s="0" t="n">
        <v>1</v>
      </c>
      <c r="D86" s="0" t="s">
        <v>403</v>
      </c>
      <c r="E86" s="0" t="s">
        <v>404</v>
      </c>
      <c r="F86" s="0" t="s">
        <v>405</v>
      </c>
      <c r="G86" s="0" t="n">
        <v>1</v>
      </c>
      <c r="H86" s="0" t="s">
        <v>406</v>
      </c>
      <c r="J86" s="0" t="s">
        <v>407</v>
      </c>
      <c r="K86" s="0" t="str">
        <f aca="false">"11.00 %"</f>
        <v>11.00 %</v>
      </c>
      <c r="N86" s="0" t="str">
        <f aca="false">"73.5 %"</f>
        <v>73.5 %</v>
      </c>
      <c r="O86" s="0" t="s">
        <v>408</v>
      </c>
    </row>
    <row r="87" customFormat="false" ht="13.8" hidden="false" customHeight="false" outlineLevel="0" collapsed="false">
      <c r="A87" s="0" t="s">
        <v>409</v>
      </c>
      <c r="B87" s="0" t="n">
        <v>1</v>
      </c>
      <c r="D87" s="0" t="s">
        <v>16</v>
      </c>
      <c r="E87" s="0" t="s">
        <v>17</v>
      </c>
      <c r="F87" s="0" t="s">
        <v>116</v>
      </c>
      <c r="G87" s="0" t="n">
        <v>1</v>
      </c>
      <c r="H87" s="0" t="s">
        <v>33</v>
      </c>
      <c r="J87" s="0" t="s">
        <v>410</v>
      </c>
      <c r="K87" s="0" t="str">
        <f aca="false">"~2.7 %"</f>
        <v>~2.7 %</v>
      </c>
      <c r="O87" s="0" t="s">
        <v>411</v>
      </c>
    </row>
    <row r="88" customFormat="false" ht="13.8" hidden="false" customHeight="false" outlineLevel="0" collapsed="false">
      <c r="A88" s="0" t="s">
        <v>412</v>
      </c>
      <c r="B88" s="0" t="n">
        <v>1</v>
      </c>
      <c r="D88" s="0" t="s">
        <v>413</v>
      </c>
      <c r="E88" s="0" t="s">
        <v>414</v>
      </c>
      <c r="F88" s="0" t="s">
        <v>415</v>
      </c>
      <c r="G88" s="0" t="n">
        <v>1</v>
      </c>
      <c r="H88" s="0" t="s">
        <v>66</v>
      </c>
      <c r="J88" s="0" t="s">
        <v>67</v>
      </c>
      <c r="K88" s="12" t="n">
        <v>0.0693</v>
      </c>
      <c r="L88" s="0" t="str">
        <f aca="false">"0.87 V"</f>
        <v>0.87 V</v>
      </c>
      <c r="M88" s="4" t="str">
        <f aca="false">"11.38 mA/cm^{2}"</f>
        <v>11.38 mA/cm^{2}</v>
      </c>
      <c r="N88" s="0" t="str">
        <f aca="false">"70 %"</f>
        <v>70 %</v>
      </c>
      <c r="O88" s="0" t="s">
        <v>416</v>
      </c>
    </row>
    <row r="89" customFormat="false" ht="13.8" hidden="false" customHeight="false" outlineLevel="0" collapsed="false">
      <c r="A89" s="19" t="s">
        <v>417</v>
      </c>
      <c r="B89" s="0" t="n">
        <v>1</v>
      </c>
      <c r="D89" s="0" t="s">
        <v>418</v>
      </c>
      <c r="E89" s="0" t="s">
        <v>419</v>
      </c>
      <c r="F89" s="0" t="s">
        <v>420</v>
      </c>
      <c r="G89" s="0" t="n">
        <v>0</v>
      </c>
      <c r="H89" s="0" t="s">
        <v>163</v>
      </c>
      <c r="I89" s="0" t="s">
        <v>164</v>
      </c>
      <c r="J89" s="0" t="s">
        <v>40</v>
      </c>
      <c r="K89" s="12" t="n">
        <v>0.091</v>
      </c>
      <c r="L89" s="4" t="str">
        <f aca="false">"0.94 V"</f>
        <v>0.94 V</v>
      </c>
      <c r="M89" s="0" t="str">
        <f aca="false">"16.0 mA cm^{-2}"</f>
        <v>16.0 mA cm^{-2}</v>
      </c>
      <c r="N89" s="12" t="n">
        <v>0.605</v>
      </c>
      <c r="O89" s="0" t="s">
        <v>421</v>
      </c>
    </row>
    <row r="90" customFormat="false" ht="13.8" hidden="false" customHeight="false" outlineLevel="0" collapsed="false">
      <c r="A90" s="0" t="s">
        <v>417</v>
      </c>
      <c r="B90" s="0" t="n">
        <v>1</v>
      </c>
      <c r="D90" s="0" t="s">
        <v>201</v>
      </c>
      <c r="E90" s="0" t="s">
        <v>202</v>
      </c>
      <c r="F90" s="0" t="s">
        <v>422</v>
      </c>
      <c r="G90" s="0" t="n">
        <v>0</v>
      </c>
      <c r="H90" s="0" t="s">
        <v>163</v>
      </c>
      <c r="I90" s="0" t="s">
        <v>164</v>
      </c>
      <c r="J90" s="0" t="s">
        <v>40</v>
      </c>
      <c r="K90" s="0" t="str">
        <f aca="false">"6.8 %"</f>
        <v>6.8 %</v>
      </c>
      <c r="L90" s="5" t="s">
        <v>423</v>
      </c>
      <c r="M90" s="0" t="str">
        <f aca="false">"14.2 mA cm^{-2}"</f>
        <v>14.2 mA cm^{-2}</v>
      </c>
      <c r="N90" s="0" t="str">
        <f aca="false">"59.1 %"</f>
        <v>59.1 %</v>
      </c>
      <c r="O90" s="0" t="s">
        <v>424</v>
      </c>
    </row>
    <row r="91" customFormat="false" ht="15" hidden="false" customHeight="false" outlineLevel="0" collapsed="false">
      <c r="A91" s="0" t="s">
        <v>425</v>
      </c>
      <c r="B91" s="0" t="n">
        <v>1</v>
      </c>
      <c r="D91" s="0" t="s">
        <v>124</v>
      </c>
      <c r="E91" s="6" t="s">
        <v>426</v>
      </c>
      <c r="F91" s="0" t="s">
        <v>427</v>
      </c>
      <c r="G91" s="0" t="n">
        <v>1</v>
      </c>
      <c r="H91" s="0" t="s">
        <v>195</v>
      </c>
      <c r="I91" s="6"/>
      <c r="J91" s="0" t="s">
        <v>40</v>
      </c>
      <c r="K91" s="3" t="n">
        <v>0.0337</v>
      </c>
      <c r="L91" s="5" t="s">
        <v>428</v>
      </c>
      <c r="O91" s="0" t="s">
        <v>429</v>
      </c>
    </row>
    <row r="92" customFormat="false" ht="15" hidden="false" customHeight="false" outlineLevel="0" collapsed="false">
      <c r="A92" s="0" t="s">
        <v>425</v>
      </c>
      <c r="B92" s="0" t="n">
        <v>1</v>
      </c>
      <c r="D92" s="0" t="s">
        <v>128</v>
      </c>
      <c r="E92" s="6" t="s">
        <v>430</v>
      </c>
      <c r="F92" s="18" t="s">
        <v>130</v>
      </c>
      <c r="G92" s="0" t="n">
        <v>1</v>
      </c>
      <c r="H92" s="0" t="s">
        <v>195</v>
      </c>
      <c r="I92" s="6"/>
      <c r="J92" s="0" t="s">
        <v>40</v>
      </c>
      <c r="K92" s="12" t="n">
        <v>0.0353</v>
      </c>
      <c r="L92" s="5" t="s">
        <v>431</v>
      </c>
    </row>
    <row r="93" customFormat="false" ht="15" hidden="false" customHeight="false" outlineLevel="0" collapsed="false">
      <c r="A93" s="0" t="s">
        <v>425</v>
      </c>
      <c r="B93" s="0" t="n">
        <v>1</v>
      </c>
      <c r="D93" s="0" t="s">
        <v>253</v>
      </c>
      <c r="E93" s="6" t="s">
        <v>432</v>
      </c>
      <c r="F93" s="0" t="s">
        <v>258</v>
      </c>
      <c r="G93" s="0" t="n">
        <v>1</v>
      </c>
      <c r="H93" s="0" t="s">
        <v>195</v>
      </c>
      <c r="I93" s="6"/>
      <c r="J93" s="0" t="s">
        <v>40</v>
      </c>
      <c r="K93" s="12" t="n">
        <v>0.0154</v>
      </c>
      <c r="L93" s="0" t="str">
        <f aca="false">"0.80 V"</f>
        <v>0.80 V</v>
      </c>
      <c r="O93" s="0" t="s">
        <v>433</v>
      </c>
    </row>
    <row r="94" customFormat="false" ht="14.25" hidden="false" customHeight="false" outlineLevel="0" collapsed="false">
      <c r="A94" s="0" t="s">
        <v>434</v>
      </c>
      <c r="B94" s="0" t="n">
        <v>1</v>
      </c>
      <c r="D94" s="0" t="s">
        <v>16</v>
      </c>
      <c r="E94" s="0" t="s">
        <v>17</v>
      </c>
      <c r="F94" s="0" t="s">
        <v>435</v>
      </c>
      <c r="G94" s="0" t="n">
        <v>1</v>
      </c>
      <c r="H94" s="0" t="s">
        <v>436</v>
      </c>
      <c r="I94" s="20" t="s">
        <v>437</v>
      </c>
      <c r="J94" s="0" t="s">
        <v>438</v>
      </c>
      <c r="K94" s="0" t="str">
        <f aca="false">"3.03 %"</f>
        <v>3.03 %</v>
      </c>
      <c r="O94" s="0" t="s">
        <v>439</v>
      </c>
    </row>
    <row r="95" customFormat="false" ht="15" hidden="false" customHeight="false" outlineLevel="0" collapsed="false">
      <c r="A95" s="0" t="s">
        <v>440</v>
      </c>
      <c r="B95" s="0" t="n">
        <v>1</v>
      </c>
      <c r="D95" s="0" t="s">
        <v>16</v>
      </c>
      <c r="E95" s="0" t="s">
        <v>17</v>
      </c>
      <c r="F95" s="0" t="s">
        <v>18</v>
      </c>
      <c r="G95" s="0" t="n">
        <v>0</v>
      </c>
      <c r="H95" s="4" t="s">
        <v>441</v>
      </c>
      <c r="I95" s="6" t="s">
        <v>442</v>
      </c>
      <c r="J95" s="0" t="s">
        <v>443</v>
      </c>
      <c r="K95" s="0" t="str">
        <f aca="false">"3.17 %"</f>
        <v>3.17 %</v>
      </c>
      <c r="O95" s="0" t="s">
        <v>444</v>
      </c>
    </row>
    <row r="96" customFormat="false" ht="15" hidden="false" customHeight="false" outlineLevel="0" collapsed="false">
      <c r="A96" s="0" t="s">
        <v>445</v>
      </c>
      <c r="B96" s="0" t="n">
        <v>1</v>
      </c>
      <c r="D96" s="0" t="s">
        <v>446</v>
      </c>
      <c r="E96" s="0" t="s">
        <v>447</v>
      </c>
      <c r="F96" s="0" t="s">
        <v>448</v>
      </c>
      <c r="G96" s="0" t="n">
        <v>1</v>
      </c>
      <c r="H96" s="0" t="s">
        <v>449</v>
      </c>
      <c r="I96" s="21" t="s">
        <v>450</v>
      </c>
      <c r="J96" s="0" t="s">
        <v>40</v>
      </c>
      <c r="K96" s="0" t="str">
        <f aca="false">"2.85 %"</f>
        <v>2.85 %</v>
      </c>
      <c r="L96" s="0" t="str">
        <f aca="false">"0.69 V"</f>
        <v>0.69 V</v>
      </c>
      <c r="M96" s="0" t="str">
        <f aca="false">"8.42 mA cm^{-2}"</f>
        <v>8.42 mA cm^{-2}</v>
      </c>
      <c r="O96" s="0" t="s">
        <v>451</v>
      </c>
    </row>
    <row r="97" customFormat="false" ht="15" hidden="false" customHeight="false" outlineLevel="0" collapsed="false">
      <c r="A97" s="0" t="s">
        <v>452</v>
      </c>
      <c r="B97" s="0" t="n">
        <v>1</v>
      </c>
      <c r="D97" s="0" t="s">
        <v>453</v>
      </c>
      <c r="E97" s="6" t="s">
        <v>454</v>
      </c>
      <c r="F97" s="0" t="s">
        <v>455</v>
      </c>
      <c r="G97" s="0" t="n">
        <v>1</v>
      </c>
      <c r="H97" s="0" t="s">
        <v>27</v>
      </c>
      <c r="J97" s="0" t="s">
        <v>456</v>
      </c>
      <c r="K97" s="0" t="str">
        <f aca="false">"3.75 %"</f>
        <v>3.75 %</v>
      </c>
      <c r="O97" s="0" t="s">
        <v>457</v>
      </c>
    </row>
    <row r="98" customFormat="false" ht="15" hidden="false" customHeight="false" outlineLevel="0" collapsed="false">
      <c r="A98" s="0" t="s">
        <v>452</v>
      </c>
      <c r="B98" s="0" t="n">
        <v>1</v>
      </c>
      <c r="D98" s="0" t="s">
        <v>453</v>
      </c>
      <c r="E98" s="6" t="s">
        <v>454</v>
      </c>
      <c r="F98" s="0" t="s">
        <v>455</v>
      </c>
      <c r="G98" s="0" t="n">
        <v>1</v>
      </c>
      <c r="H98" s="0" t="s">
        <v>458</v>
      </c>
      <c r="J98" s="0" t="s">
        <v>459</v>
      </c>
      <c r="K98" s="0" t="str">
        <f aca="false">"1.52 %"</f>
        <v>1.52 %</v>
      </c>
    </row>
    <row r="99" customFormat="false" ht="15" hidden="false" customHeight="false" outlineLevel="0" collapsed="false">
      <c r="A99" s="0" t="s">
        <v>460</v>
      </c>
      <c r="B99" s="0" t="n">
        <v>1</v>
      </c>
      <c r="D99" s="0" t="s">
        <v>461</v>
      </c>
      <c r="E99" s="0" t="s">
        <v>462</v>
      </c>
      <c r="F99" s="0" t="s">
        <v>463</v>
      </c>
      <c r="G99" s="0" t="n">
        <v>0</v>
      </c>
      <c r="H99" s="22" t="s">
        <v>464</v>
      </c>
      <c r="I99" s="6" t="s">
        <v>465</v>
      </c>
      <c r="J99" s="0" t="s">
        <v>466</v>
      </c>
      <c r="K99" s="3" t="n">
        <v>0.086</v>
      </c>
      <c r="L99" s="0" t="str">
        <f aca="false">"0.91 V"</f>
        <v>0.91 V</v>
      </c>
      <c r="M99" s="0" t="str">
        <f aca="false">"15.20 mA cm^{-2}"</f>
        <v>15.20 mA cm^{-2}</v>
      </c>
      <c r="N99" s="0" t="str">
        <f aca="false">"62.0 %"</f>
        <v>62.0 %</v>
      </c>
      <c r="O99" s="0" t="s">
        <v>467</v>
      </c>
    </row>
    <row r="100" customFormat="false" ht="13.8" hidden="false" customHeight="false" outlineLevel="0" collapsed="false">
      <c r="A100" s="0" t="s">
        <v>468</v>
      </c>
      <c r="B100" s="0" t="n">
        <v>1</v>
      </c>
      <c r="D100" s="0" t="s">
        <v>469</v>
      </c>
      <c r="E100" s="0" t="s">
        <v>470</v>
      </c>
      <c r="F100" s="0" t="s">
        <v>471</v>
      </c>
      <c r="G100" s="0" t="n">
        <v>0</v>
      </c>
      <c r="H100" s="0" t="s">
        <v>163</v>
      </c>
      <c r="I100" s="0" t="s">
        <v>164</v>
      </c>
      <c r="J100" s="0" t="s">
        <v>165</v>
      </c>
      <c r="K100" s="0" t="str">
        <f aca="false">"8.37 %"</f>
        <v>8.37 %</v>
      </c>
      <c r="L100" s="0" t="str">
        <f aca="false">"1.043 V"</f>
        <v>1.043 V</v>
      </c>
      <c r="O100" s="0" t="s">
        <v>472</v>
      </c>
    </row>
    <row r="101" customFormat="false" ht="13.8" hidden="false" customHeight="false" outlineLevel="0" collapsed="false">
      <c r="A101" s="0" t="s">
        <v>473</v>
      </c>
      <c r="C101" s="0" t="n">
        <v>1</v>
      </c>
      <c r="D101" s="0" t="s">
        <v>208</v>
      </c>
      <c r="E101" s="0" t="s">
        <v>17</v>
      </c>
      <c r="F101" s="0" t="s">
        <v>474</v>
      </c>
      <c r="G101" s="0" t="n">
        <v>0</v>
      </c>
      <c r="H101" s="4" t="s">
        <v>475</v>
      </c>
      <c r="J101" s="0" t="s">
        <v>40</v>
      </c>
      <c r="K101" s="0" t="str">
        <f aca="false">"0.5 %"</f>
        <v>0.5 %</v>
      </c>
      <c r="L101" s="0" t="str">
        <f aca="false">"900 mV"</f>
        <v>900 mV</v>
      </c>
      <c r="O101" s="0" t="s">
        <v>476</v>
      </c>
    </row>
    <row r="102" customFormat="false" ht="13.8" hidden="false" customHeight="false" outlineLevel="0" collapsed="false">
      <c r="A102" s="0" t="s">
        <v>477</v>
      </c>
      <c r="B102" s="0" t="n">
        <v>1</v>
      </c>
      <c r="D102" s="0" t="s">
        <v>478</v>
      </c>
      <c r="E102" s="0" t="s">
        <v>479</v>
      </c>
      <c r="F102" s="0" t="s">
        <v>480</v>
      </c>
      <c r="G102" s="0" t="n">
        <v>1</v>
      </c>
      <c r="H102" s="0" t="s">
        <v>76</v>
      </c>
      <c r="J102" s="0" t="s">
        <v>77</v>
      </c>
      <c r="K102" s="0" t="str">
        <f aca="false">"~6 %"</f>
        <v>~6 %</v>
      </c>
      <c r="L102" s="0" t="str">
        <f aca="false">"0.86 V"</f>
        <v>0.86 V</v>
      </c>
      <c r="O102" s="0" t="s">
        <v>481</v>
      </c>
    </row>
    <row r="103" customFormat="false" ht="13.8" hidden="false" customHeight="false" outlineLevel="0" collapsed="false">
      <c r="A103" s="0" t="s">
        <v>482</v>
      </c>
      <c r="B103" s="0" t="n">
        <v>1</v>
      </c>
      <c r="D103" s="0" t="s">
        <v>483</v>
      </c>
      <c r="E103" s="0" t="s">
        <v>484</v>
      </c>
      <c r="F103" s="0" t="s">
        <v>485</v>
      </c>
      <c r="G103" s="0" t="n">
        <v>1</v>
      </c>
      <c r="H103" s="0" t="s">
        <v>27</v>
      </c>
      <c r="J103" s="0" t="s">
        <v>28</v>
      </c>
      <c r="K103" s="3" t="n">
        <v>0.0141</v>
      </c>
      <c r="L103" s="0" t="str">
        <f aca="false">"0.70 V"</f>
        <v>0.70 V</v>
      </c>
      <c r="M103" s="0" t="str">
        <f aca="false">"3.89 mA/cm^{2}"</f>
        <v>3.89 mA/cm^{2}</v>
      </c>
      <c r="N103" s="0" t="str">
        <f aca="false">"55 %"</f>
        <v>55 %</v>
      </c>
      <c r="O103" s="0" t="s">
        <v>486</v>
      </c>
    </row>
    <row r="104" customFormat="false" ht="13.8" hidden="false" customHeight="false" outlineLevel="0" collapsed="false">
      <c r="A104" s="0" t="s">
        <v>487</v>
      </c>
      <c r="B104" s="0" t="n">
        <v>1</v>
      </c>
      <c r="D104" s="0" t="s">
        <v>488</v>
      </c>
      <c r="E104" s="0" t="s">
        <v>489</v>
      </c>
      <c r="G104" s="0" t="n">
        <v>1</v>
      </c>
      <c r="H104" s="0" t="s">
        <v>66</v>
      </c>
      <c r="J104" s="0" t="s">
        <v>67</v>
      </c>
      <c r="K104" s="0" t="str">
        <f aca="false">"1.98 %"</f>
        <v>1.98 %</v>
      </c>
      <c r="O104" s="0" t="s">
        <v>490</v>
      </c>
    </row>
    <row r="105" customFormat="false" ht="13.8" hidden="false" customHeight="false" outlineLevel="0" collapsed="false">
      <c r="A105" s="0" t="s">
        <v>491</v>
      </c>
      <c r="B105" s="0" t="n">
        <v>1</v>
      </c>
      <c r="D105" s="4" t="s">
        <v>16</v>
      </c>
      <c r="E105" s="0" t="s">
        <v>17</v>
      </c>
      <c r="F105" s="0" t="s">
        <v>116</v>
      </c>
      <c r="G105" s="0" t="n">
        <v>1</v>
      </c>
      <c r="H105" s="4" t="s">
        <v>492</v>
      </c>
      <c r="J105" s="0" t="s">
        <v>493</v>
      </c>
      <c r="K105" s="0" t="str">
        <f aca="false">"3.40 %"</f>
        <v>3.40 %</v>
      </c>
      <c r="O105" s="0" t="s">
        <v>494</v>
      </c>
    </row>
    <row r="106" customFormat="false" ht="13.8" hidden="false" customHeight="false" outlineLevel="0" collapsed="false">
      <c r="A106" s="0" t="s">
        <v>495</v>
      </c>
      <c r="B106" s="0" t="n">
        <v>1</v>
      </c>
      <c r="D106" s="0" t="s">
        <v>496</v>
      </c>
      <c r="E106" s="0" t="s">
        <v>497</v>
      </c>
      <c r="F106" s="0" t="s">
        <v>498</v>
      </c>
      <c r="G106" s="0" t="n">
        <v>1</v>
      </c>
      <c r="H106" s="0" t="s">
        <v>33</v>
      </c>
      <c r="J106" s="0" t="s">
        <v>40</v>
      </c>
      <c r="K106" s="0" t="str">
        <f aca="false">"4.5 %"</f>
        <v>4.5 %</v>
      </c>
      <c r="O106" s="0" t="s">
        <v>499</v>
      </c>
    </row>
    <row r="107" customFormat="false" ht="18" hidden="false" customHeight="false" outlineLevel="0" collapsed="false">
      <c r="A107" s="0" t="s">
        <v>500</v>
      </c>
      <c r="B107" s="0" t="n">
        <v>1</v>
      </c>
      <c r="D107" s="0" t="s">
        <v>501</v>
      </c>
      <c r="E107" s="6" t="s">
        <v>502</v>
      </c>
      <c r="F107" s="0" t="s">
        <v>503</v>
      </c>
      <c r="G107" s="0" t="n">
        <v>1</v>
      </c>
      <c r="H107" s="0" t="s">
        <v>33</v>
      </c>
      <c r="J107" s="0" t="s">
        <v>504</v>
      </c>
      <c r="K107" s="0" t="str">
        <f aca="false">"1.58 %"</f>
        <v>1.58 %</v>
      </c>
      <c r="O107" s="0" t="s">
        <v>505</v>
      </c>
    </row>
    <row r="108" customFormat="false" ht="14.25" hidden="false" customHeight="false" outlineLevel="0" collapsed="false">
      <c r="A108" s="0" t="s">
        <v>506</v>
      </c>
      <c r="B108" s="0" t="n">
        <v>1</v>
      </c>
      <c r="D108" s="0" t="s">
        <v>208</v>
      </c>
      <c r="E108" s="0" t="s">
        <v>17</v>
      </c>
      <c r="F108" s="0" t="s">
        <v>209</v>
      </c>
      <c r="G108" s="0" t="n">
        <v>1</v>
      </c>
      <c r="H108" s="0" t="s">
        <v>507</v>
      </c>
      <c r="J108" s="0" t="s">
        <v>40</v>
      </c>
      <c r="K108" s="3" t="str">
        <f aca="false">"3.20 %"</f>
        <v>3.20 %</v>
      </c>
      <c r="O108" s="0" t="s">
        <v>508</v>
      </c>
    </row>
    <row r="109" customFormat="false" ht="18" hidden="false" customHeight="false" outlineLevel="0" collapsed="false">
      <c r="A109" s="0" t="s">
        <v>509</v>
      </c>
      <c r="B109" s="0" t="n">
        <v>1</v>
      </c>
      <c r="D109" s="0" t="s">
        <v>510</v>
      </c>
      <c r="E109" s="0" t="s">
        <v>511</v>
      </c>
      <c r="F109" s="0" t="s">
        <v>512</v>
      </c>
      <c r="G109" s="0" t="n">
        <v>0</v>
      </c>
      <c r="H109" s="0" t="s">
        <v>513</v>
      </c>
      <c r="I109" s="6" t="s">
        <v>514</v>
      </c>
      <c r="J109" s="0" t="s">
        <v>515</v>
      </c>
      <c r="K109" s="0" t="str">
        <f aca="false">"0.49 %"</f>
        <v>0.49 %</v>
      </c>
      <c r="L109" s="0" t="str">
        <f aca="false">"1.16 V"</f>
        <v>1.16 V</v>
      </c>
      <c r="M109" s="0" t="str">
        <f aca="false">"1.17 mA/cm^{2}"</f>
        <v>1.17 mA/cm^{2}</v>
      </c>
      <c r="N109" s="0" t="str">
        <f aca="false">"0.49 %"</f>
        <v>0.49 %</v>
      </c>
      <c r="O109" s="0" t="s">
        <v>516</v>
      </c>
    </row>
    <row r="110" customFormat="false" ht="14.25" hidden="false" customHeight="false" outlineLevel="0" collapsed="false">
      <c r="A110" s="0" t="s">
        <v>517</v>
      </c>
      <c r="B110" s="0" t="n">
        <v>1</v>
      </c>
      <c r="D110" s="0" t="s">
        <v>518</v>
      </c>
      <c r="E110" s="0" t="s">
        <v>519</v>
      </c>
      <c r="F110" s="0" t="s">
        <v>520</v>
      </c>
      <c r="G110" s="0" t="n">
        <v>1</v>
      </c>
      <c r="H110" s="0" t="s">
        <v>27</v>
      </c>
      <c r="J110" s="0" t="s">
        <v>28</v>
      </c>
      <c r="K110" s="0" t="str">
        <f aca="false">"4.38 %"</f>
        <v>4.38 %</v>
      </c>
      <c r="O110" s="0" t="s">
        <v>521</v>
      </c>
    </row>
    <row r="111" customFormat="false" ht="15" hidden="false" customHeight="false" outlineLevel="0" collapsed="false">
      <c r="A111" s="0" t="s">
        <v>522</v>
      </c>
      <c r="B111" s="0" t="n">
        <v>1</v>
      </c>
      <c r="D111" s="0" t="s">
        <v>523</v>
      </c>
      <c r="E111" s="6" t="s">
        <v>524</v>
      </c>
      <c r="F111" s="0" t="s">
        <v>525</v>
      </c>
      <c r="G111" s="0" t="n">
        <v>1</v>
      </c>
      <c r="H111" s="0" t="s">
        <v>526</v>
      </c>
      <c r="J111" s="0" t="s">
        <v>527</v>
      </c>
      <c r="K111" s="0" t="str">
        <f aca="false">"0.24-0.57 %"</f>
        <v>0.24-0.57 %</v>
      </c>
      <c r="O111" s="0" t="s">
        <v>528</v>
      </c>
    </row>
    <row r="112" customFormat="false" ht="15" hidden="false" customHeight="false" outlineLevel="0" collapsed="false">
      <c r="A112" s="0" t="s">
        <v>522</v>
      </c>
      <c r="B112" s="0" t="n">
        <v>1</v>
      </c>
      <c r="D112" s="0" t="s">
        <v>529</v>
      </c>
      <c r="E112" s="6" t="s">
        <v>530</v>
      </c>
      <c r="F112" s="0" t="s">
        <v>531</v>
      </c>
      <c r="G112" s="0" t="n">
        <v>1</v>
      </c>
      <c r="H112" s="0" t="s">
        <v>526</v>
      </c>
      <c r="J112" s="0" t="s">
        <v>527</v>
      </c>
      <c r="K112" s="0" t="str">
        <f aca="false">"0.24-0.57 %"</f>
        <v>0.24-0.57 %</v>
      </c>
    </row>
    <row r="113" customFormat="false" ht="13.8" hidden="false" customHeight="false" outlineLevel="0" collapsed="false">
      <c r="A113" s="0" t="s">
        <v>532</v>
      </c>
      <c r="B113" s="0" t="n">
        <v>1</v>
      </c>
      <c r="D113" s="0" t="s">
        <v>208</v>
      </c>
      <c r="E113" s="0" t="s">
        <v>17</v>
      </c>
      <c r="F113" s="0" t="s">
        <v>209</v>
      </c>
      <c r="G113" s="0" t="n">
        <v>1</v>
      </c>
      <c r="H113" s="0" t="s">
        <v>33</v>
      </c>
      <c r="J113" s="0" t="s">
        <v>34</v>
      </c>
      <c r="K113" s="0" t="str">
        <f aca="false">"4 %"</f>
        <v>4 %</v>
      </c>
      <c r="O113" s="0" t="s">
        <v>533</v>
      </c>
    </row>
    <row r="114" customFormat="false" ht="13.8" hidden="false" customHeight="false" outlineLevel="0" collapsed="false">
      <c r="A114" s="0" t="s">
        <v>534</v>
      </c>
      <c r="B114" s="0" t="n">
        <v>1</v>
      </c>
      <c r="D114" s="0" t="s">
        <v>535</v>
      </c>
      <c r="E114" s="0" t="s">
        <v>536</v>
      </c>
      <c r="F114" s="0" t="s">
        <v>537</v>
      </c>
      <c r="G114" s="0" t="n">
        <v>1</v>
      </c>
      <c r="H114" s="0" t="s">
        <v>33</v>
      </c>
      <c r="J114" s="0" t="s">
        <v>538</v>
      </c>
      <c r="K114" s="0" t="str">
        <f aca="false">"3.7 %"</f>
        <v>3.7 %</v>
      </c>
      <c r="L114" s="0" t="str">
        <f aca="false">"0.79 V"</f>
        <v>0.79 V</v>
      </c>
      <c r="O114" s="0" t="s">
        <v>539</v>
      </c>
    </row>
    <row r="115" customFormat="false" ht="13.8" hidden="false" customHeight="false" outlineLevel="0" collapsed="false">
      <c r="A115" s="0" t="s">
        <v>540</v>
      </c>
      <c r="B115" s="0" t="n">
        <v>1</v>
      </c>
      <c r="D115" s="0" t="s">
        <v>541</v>
      </c>
      <c r="E115" s="0" t="s">
        <v>17</v>
      </c>
      <c r="F115" s="0" t="s">
        <v>542</v>
      </c>
      <c r="G115" s="0" t="n">
        <v>1</v>
      </c>
      <c r="H115" s="0" t="s">
        <v>543</v>
      </c>
      <c r="J115" s="0" t="s">
        <v>40</v>
      </c>
      <c r="K115" s="0" t="str">
        <f aca="false">"1.7 %"</f>
        <v>1.7 %</v>
      </c>
      <c r="O115" s="0" t="s">
        <v>544</v>
      </c>
    </row>
    <row r="116" customFormat="false" ht="13.8" hidden="false" customHeight="false" outlineLevel="0" collapsed="false">
      <c r="A116" s="0" t="s">
        <v>545</v>
      </c>
      <c r="B116" s="0" t="n">
        <v>1</v>
      </c>
      <c r="D116" s="0" t="s">
        <v>546</v>
      </c>
      <c r="E116" s="0" t="s">
        <v>547</v>
      </c>
      <c r="F116" s="0" t="s">
        <v>548</v>
      </c>
      <c r="G116" s="0" t="n">
        <v>1</v>
      </c>
      <c r="H116" s="0" t="s">
        <v>27</v>
      </c>
      <c r="J116" s="0" t="s">
        <v>28</v>
      </c>
      <c r="K116" s="0" t="str">
        <f aca="false">"2.58 %"</f>
        <v>2.58 %</v>
      </c>
      <c r="L116" s="0" t="str">
        <f aca="false">"0.75 V"</f>
        <v>0.75 V</v>
      </c>
      <c r="M116" s="0" t="str">
        <f aca="false">"7.23 mA cm^{-2}"</f>
        <v>7.23 mA cm^{-2}</v>
      </c>
      <c r="N116" s="0" t="str">
        <f aca="false">"45 %"</f>
        <v>45 %</v>
      </c>
      <c r="O116" s="0" t="s">
        <v>549</v>
      </c>
    </row>
    <row r="117" customFormat="false" ht="15" hidden="false" customHeight="false" outlineLevel="0" collapsed="false">
      <c r="A117" s="0" t="s">
        <v>550</v>
      </c>
      <c r="B117" s="0" t="n">
        <v>1</v>
      </c>
      <c r="D117" s="0" t="s">
        <v>551</v>
      </c>
      <c r="E117" s="6" t="s">
        <v>552</v>
      </c>
      <c r="F117" s="0" t="s">
        <v>553</v>
      </c>
      <c r="G117" s="0" t="n">
        <v>1</v>
      </c>
      <c r="H117" s="0" t="s">
        <v>27</v>
      </c>
      <c r="J117" s="0" t="s">
        <v>28</v>
      </c>
      <c r="K117" s="9" t="n">
        <v>0.0138</v>
      </c>
      <c r="L117" s="0" t="s">
        <v>554</v>
      </c>
      <c r="M117" s="0" t="s">
        <v>555</v>
      </c>
      <c r="N117" s="14" t="str">
        <f aca="false">"0.43"</f>
        <v>0.43</v>
      </c>
      <c r="O117" s="0" t="s">
        <v>556</v>
      </c>
    </row>
    <row r="118" customFormat="false" ht="15" hidden="false" customHeight="false" outlineLevel="0" collapsed="false">
      <c r="A118" s="0" t="s">
        <v>550</v>
      </c>
      <c r="B118" s="0" t="n">
        <v>1</v>
      </c>
      <c r="D118" s="0" t="s">
        <v>557</v>
      </c>
      <c r="E118" s="6" t="s">
        <v>558</v>
      </c>
      <c r="F118" s="0" t="s">
        <v>559</v>
      </c>
      <c r="G118" s="0" t="n">
        <v>1</v>
      </c>
      <c r="H118" s="0" t="s">
        <v>27</v>
      </c>
      <c r="J118" s="0" t="s">
        <v>28</v>
      </c>
      <c r="K118" s="4" t="str">
        <f aca="false">"0.31 %"</f>
        <v>0.31 %</v>
      </c>
      <c r="O118" s="0" t="s">
        <v>560</v>
      </c>
    </row>
    <row r="119" customFormat="false" ht="15" hidden="false" customHeight="false" outlineLevel="0" collapsed="false">
      <c r="A119" s="0" t="s">
        <v>550</v>
      </c>
      <c r="B119" s="0" t="n">
        <v>1</v>
      </c>
      <c r="D119" s="0" t="s">
        <v>561</v>
      </c>
      <c r="E119" s="6" t="s">
        <v>562</v>
      </c>
      <c r="F119" s="0" t="s">
        <v>563</v>
      </c>
      <c r="G119" s="0" t="n">
        <v>1</v>
      </c>
      <c r="H119" s="0" t="s">
        <v>27</v>
      </c>
      <c r="J119" s="0" t="s">
        <v>28</v>
      </c>
      <c r="K119" s="3" t="str">
        <f aca="false">"0.22"</f>
        <v>0.22</v>
      </c>
      <c r="O119" s="0" t="s">
        <v>564</v>
      </c>
    </row>
    <row r="120" customFormat="false" ht="15" hidden="false" customHeight="false" outlineLevel="0" collapsed="false">
      <c r="A120" s="0" t="s">
        <v>565</v>
      </c>
      <c r="B120" s="0" t="n">
        <v>1</v>
      </c>
      <c r="D120" s="0" t="s">
        <v>16</v>
      </c>
      <c r="E120" s="0" t="s">
        <v>17</v>
      </c>
      <c r="F120" s="0" t="s">
        <v>116</v>
      </c>
      <c r="G120" s="0" t="n">
        <v>1</v>
      </c>
      <c r="H120" s="4" t="s">
        <v>566</v>
      </c>
      <c r="I120" s="16" t="s">
        <v>567</v>
      </c>
      <c r="J120" s="0" t="s">
        <v>568</v>
      </c>
      <c r="K120" s="0" t="str">
        <f aca="false">"4.26 %"</f>
        <v>4.26 %</v>
      </c>
      <c r="O120" s="0" t="s">
        <v>569</v>
      </c>
    </row>
    <row r="121" customFormat="false" ht="13.8" hidden="false" customHeight="false" outlineLevel="0" collapsed="false">
      <c r="A121" s="0" t="s">
        <v>570</v>
      </c>
      <c r="B121" s="0" t="n">
        <v>1</v>
      </c>
      <c r="D121" s="0" t="s">
        <v>16</v>
      </c>
      <c r="E121" s="0" t="s">
        <v>17</v>
      </c>
      <c r="F121" s="0" t="s">
        <v>571</v>
      </c>
      <c r="G121" s="0" t="n">
        <v>1</v>
      </c>
      <c r="H121" s="0" t="s">
        <v>33</v>
      </c>
      <c r="J121" s="0" t="s">
        <v>572</v>
      </c>
      <c r="K121" s="0" t="str">
        <f aca="false">"3.5-3.7 %"</f>
        <v>3.5-3.7 %</v>
      </c>
      <c r="O121" s="0" t="s">
        <v>573</v>
      </c>
    </row>
    <row r="122" customFormat="false" ht="13.8" hidden="false" customHeight="false" outlineLevel="0" collapsed="false">
      <c r="A122" s="0" t="s">
        <v>574</v>
      </c>
      <c r="B122" s="0" t="n">
        <v>1</v>
      </c>
      <c r="D122" s="0" t="s">
        <v>16</v>
      </c>
      <c r="E122" s="0" t="s">
        <v>17</v>
      </c>
      <c r="F122" s="0" t="s">
        <v>116</v>
      </c>
      <c r="G122" s="0" t="n">
        <v>1</v>
      </c>
      <c r="H122" s="0" t="s">
        <v>575</v>
      </c>
      <c r="J122" s="0" t="s">
        <v>576</v>
      </c>
      <c r="K122" s="0" t="str">
        <f aca="false">"3.54 %"</f>
        <v>3.54 %</v>
      </c>
      <c r="O122" s="0" t="s">
        <v>577</v>
      </c>
    </row>
    <row r="123" customFormat="false" ht="13.8" hidden="false" customHeight="false" outlineLevel="0" collapsed="false">
      <c r="A123" s="0" t="s">
        <v>574</v>
      </c>
      <c r="B123" s="0" t="n">
        <v>1</v>
      </c>
      <c r="D123" s="0" t="s">
        <v>85</v>
      </c>
      <c r="E123" s="0" t="s">
        <v>86</v>
      </c>
      <c r="F123" s="0" t="s">
        <v>87</v>
      </c>
      <c r="G123" s="0" t="n">
        <v>1</v>
      </c>
      <c r="H123" s="0" t="s">
        <v>27</v>
      </c>
      <c r="J123" s="0" t="s">
        <v>28</v>
      </c>
      <c r="K123" s="0" t="str">
        <f aca="false">"8.12 %"</f>
        <v>8.12 %</v>
      </c>
      <c r="O123" s="0" t="s">
        <v>578</v>
      </c>
    </row>
    <row r="124" customFormat="false" ht="13.8" hidden="false" customHeight="false" outlineLevel="0" collapsed="false">
      <c r="A124" s="0" t="s">
        <v>574</v>
      </c>
      <c r="B124" s="0" t="n">
        <v>1</v>
      </c>
      <c r="D124" s="0" t="s">
        <v>201</v>
      </c>
      <c r="E124" s="0" t="s">
        <v>202</v>
      </c>
      <c r="F124" s="0" t="s">
        <v>422</v>
      </c>
      <c r="G124" s="0" t="n">
        <v>1</v>
      </c>
      <c r="H124" s="0" t="s">
        <v>27</v>
      </c>
      <c r="J124" s="0" t="s">
        <v>28</v>
      </c>
      <c r="K124" s="0" t="str">
        <f aca="false">"9.08 %"</f>
        <v>9.08 %</v>
      </c>
      <c r="O124" s="0" t="s">
        <v>579</v>
      </c>
    </row>
    <row r="125" customFormat="false" ht="15" hidden="false" customHeight="false" outlineLevel="0" collapsed="false">
      <c r="A125" s="0" t="s">
        <v>580</v>
      </c>
      <c r="B125" s="0" t="n">
        <v>1</v>
      </c>
      <c r="D125" s="23" t="s">
        <v>581</v>
      </c>
      <c r="E125" s="6" t="s">
        <v>582</v>
      </c>
      <c r="F125" s="0" t="s">
        <v>583</v>
      </c>
      <c r="G125" s="0" t="n">
        <v>0</v>
      </c>
      <c r="H125" s="0" t="s">
        <v>16</v>
      </c>
      <c r="I125" s="0" t="s">
        <v>17</v>
      </c>
      <c r="J125" s="0" t="s">
        <v>116</v>
      </c>
      <c r="K125" s="0" t="str">
        <f aca="false">"0.84 %"</f>
        <v>0.84 %</v>
      </c>
      <c r="O125" s="0" t="s">
        <v>584</v>
      </c>
    </row>
    <row r="126" customFormat="false" ht="15" hidden="false" customHeight="false" outlineLevel="0" collapsed="false">
      <c r="A126" s="0" t="s">
        <v>580</v>
      </c>
      <c r="B126" s="0" t="n">
        <v>1</v>
      </c>
      <c r="D126" s="23" t="s">
        <v>581</v>
      </c>
      <c r="E126" s="6" t="s">
        <v>582</v>
      </c>
      <c r="F126" s="0" t="s">
        <v>583</v>
      </c>
      <c r="G126" s="0" t="n">
        <v>1</v>
      </c>
      <c r="H126" s="0" t="s">
        <v>33</v>
      </c>
      <c r="J126" s="0" t="s">
        <v>34</v>
      </c>
      <c r="K126" s="9" t="n">
        <v>0.0167</v>
      </c>
    </row>
    <row r="127" customFormat="false" ht="13.8" hidden="false" customHeight="false" outlineLevel="0" collapsed="false">
      <c r="A127" s="0" t="s">
        <v>585</v>
      </c>
      <c r="B127" s="0" t="n">
        <v>1</v>
      </c>
      <c r="D127" s="0" t="s">
        <v>208</v>
      </c>
      <c r="E127" s="0" t="s">
        <v>17</v>
      </c>
      <c r="F127" s="0" t="s">
        <v>209</v>
      </c>
      <c r="G127" s="0" t="n">
        <v>1</v>
      </c>
      <c r="H127" s="0" t="s">
        <v>152</v>
      </c>
      <c r="J127" s="0" t="s">
        <v>40</v>
      </c>
      <c r="K127" s="0" t="str">
        <f aca="false">"2.53 %"</f>
        <v>2.53 %</v>
      </c>
      <c r="N127" s="0" t="str">
        <f aca="false">"67 %"</f>
        <v>67 %</v>
      </c>
      <c r="O127" s="0" t="s">
        <v>586</v>
      </c>
    </row>
    <row r="128" customFormat="false" ht="13.8" hidden="false" customHeight="false" outlineLevel="0" collapsed="false">
      <c r="A128" s="0" t="s">
        <v>585</v>
      </c>
      <c r="B128" s="0" t="n">
        <v>1</v>
      </c>
      <c r="D128" s="0" t="s">
        <v>587</v>
      </c>
      <c r="E128" s="0" t="s">
        <v>588</v>
      </c>
      <c r="F128" s="0" t="s">
        <v>589</v>
      </c>
      <c r="G128" s="0" t="n">
        <v>1</v>
      </c>
      <c r="H128" s="0" t="s">
        <v>152</v>
      </c>
      <c r="J128" s="0" t="s">
        <v>40</v>
      </c>
      <c r="K128" s="9" t="str">
        <f aca="false">"3.92"</f>
        <v>3.92</v>
      </c>
      <c r="O128" s="0" t="s">
        <v>590</v>
      </c>
    </row>
    <row r="129" customFormat="false" ht="13.8" hidden="false" customHeight="false" outlineLevel="0" collapsed="false">
      <c r="A129" s="0" t="s">
        <v>591</v>
      </c>
      <c r="B129" s="0" t="n">
        <v>1</v>
      </c>
      <c r="D129" s="0" t="s">
        <v>201</v>
      </c>
      <c r="E129" s="0" t="s">
        <v>202</v>
      </c>
      <c r="F129" s="0" t="s">
        <v>422</v>
      </c>
      <c r="G129" s="0" t="n">
        <v>1</v>
      </c>
      <c r="H129" s="0" t="s">
        <v>27</v>
      </c>
      <c r="J129" s="0" t="s">
        <v>28</v>
      </c>
      <c r="K129" s="0" t="str">
        <f aca="false">"11.2 %"</f>
        <v>11.2 %</v>
      </c>
      <c r="O129" s="0" t="s">
        <v>592</v>
      </c>
    </row>
    <row r="130" customFormat="false" ht="18" hidden="false" customHeight="false" outlineLevel="0" collapsed="false">
      <c r="A130" s="0" t="s">
        <v>593</v>
      </c>
      <c r="B130" s="0" t="n">
        <v>1</v>
      </c>
      <c r="D130" s="0" t="s">
        <v>594</v>
      </c>
      <c r="E130" s="6" t="s">
        <v>595</v>
      </c>
      <c r="F130" s="0" t="s">
        <v>596</v>
      </c>
      <c r="G130" s="0" t="n">
        <v>1</v>
      </c>
      <c r="H130" s="0" t="s">
        <v>66</v>
      </c>
      <c r="J130" s="0" t="s">
        <v>67</v>
      </c>
      <c r="K130" s="0" t="str">
        <f aca="false">"3.23 %"</f>
        <v>3.23 %</v>
      </c>
      <c r="O130" s="0" t="s">
        <v>597</v>
      </c>
    </row>
    <row r="131" customFormat="false" ht="13.8" hidden="false" customHeight="false" outlineLevel="0" collapsed="false">
      <c r="A131" s="0" t="s">
        <v>598</v>
      </c>
      <c r="B131" s="0" t="n">
        <v>1</v>
      </c>
      <c r="D131" s="0" t="s">
        <v>599</v>
      </c>
      <c r="E131" s="0" t="s">
        <v>600</v>
      </c>
      <c r="F131" s="0" t="s">
        <v>601</v>
      </c>
      <c r="G131" s="0" t="n">
        <v>0</v>
      </c>
      <c r="H131" s="0" t="s">
        <v>602</v>
      </c>
      <c r="I131" s="0" t="s">
        <v>603</v>
      </c>
      <c r="J131" s="0" t="s">
        <v>604</v>
      </c>
      <c r="K131" s="0" t="str">
        <f aca="false">"7.4 %"</f>
        <v>7.4 %</v>
      </c>
      <c r="N131" s="14" t="str">
        <f aca="false">"0.68"</f>
        <v>0.68</v>
      </c>
      <c r="O131" s="0" t="s">
        <v>605</v>
      </c>
    </row>
    <row r="132" customFormat="false" ht="13.8" hidden="false" customHeight="false" outlineLevel="0" collapsed="false">
      <c r="A132" s="0" t="s">
        <v>606</v>
      </c>
      <c r="C132" s="0" t="n">
        <v>1</v>
      </c>
      <c r="D132" s="0" t="s">
        <v>607</v>
      </c>
      <c r="E132" s="0" t="s">
        <v>608</v>
      </c>
      <c r="F132" s="0" t="s">
        <v>609</v>
      </c>
      <c r="G132" s="0" t="n">
        <v>0</v>
      </c>
      <c r="H132" s="0" t="s">
        <v>610</v>
      </c>
      <c r="J132" s="0" t="s">
        <v>40</v>
      </c>
      <c r="K132" s="0" t="str">
        <f aca="false">"2.28 %"</f>
        <v>2.28 %</v>
      </c>
      <c r="L132" s="0" t="str">
        <f aca="false">"0.61 V"</f>
        <v>0.61 V</v>
      </c>
      <c r="M132" s="0" t="str">
        <f aca="false">"7.00 mA/cm^{2}"</f>
        <v>7.00 mA/cm^{2}</v>
      </c>
      <c r="N132" s="0" t="str">
        <f aca="false">"0.54"</f>
        <v>0.54</v>
      </c>
      <c r="O132" s="0" t="s">
        <v>611</v>
      </c>
    </row>
    <row r="133" customFormat="false" ht="13.8" hidden="false" customHeight="false" outlineLevel="0" collapsed="false">
      <c r="A133" s="0" t="s">
        <v>612</v>
      </c>
      <c r="B133" s="0" t="n">
        <v>1</v>
      </c>
      <c r="D133" s="0" t="s">
        <v>16</v>
      </c>
      <c r="E133" s="0" t="s">
        <v>17</v>
      </c>
      <c r="F133" s="0" t="s">
        <v>613</v>
      </c>
      <c r="G133" s="0" t="n">
        <v>1</v>
      </c>
      <c r="H133" s="0" t="s">
        <v>27</v>
      </c>
      <c r="J133" s="0" t="s">
        <v>28</v>
      </c>
      <c r="K133" s="0" t="str">
        <f aca="false">"3.59 %"</f>
        <v>3.59 %</v>
      </c>
      <c r="L133" s="0" t="str">
        <f aca="false">"0.64 V"</f>
        <v>0.64 V</v>
      </c>
      <c r="O133" s="0" t="s">
        <v>614</v>
      </c>
    </row>
    <row r="134" customFormat="false" ht="13.8" hidden="false" customHeight="false" outlineLevel="0" collapsed="false">
      <c r="A134" s="0" t="s">
        <v>615</v>
      </c>
      <c r="B134" s="0" t="n">
        <v>1</v>
      </c>
      <c r="D134" s="0" t="s">
        <v>616</v>
      </c>
      <c r="E134" s="0" t="s">
        <v>64</v>
      </c>
      <c r="F134" s="0" t="s">
        <v>617</v>
      </c>
      <c r="G134" s="0" t="n">
        <v>1</v>
      </c>
      <c r="H134" s="0" t="s">
        <v>27</v>
      </c>
      <c r="J134" s="0" t="s">
        <v>28</v>
      </c>
      <c r="K134" s="3" t="n">
        <v>0.0766</v>
      </c>
      <c r="O134" s="0" t="s">
        <v>618</v>
      </c>
    </row>
    <row r="135" customFormat="false" ht="13.8" hidden="false" customHeight="false" outlineLevel="0" collapsed="false">
      <c r="A135" s="0" t="s">
        <v>619</v>
      </c>
      <c r="C135" s="0" t="n">
        <v>1</v>
      </c>
      <c r="D135" s="0" t="s">
        <v>620</v>
      </c>
      <c r="E135" s="0" t="s">
        <v>110</v>
      </c>
      <c r="F135" s="0" t="s">
        <v>621</v>
      </c>
      <c r="G135" s="0" t="n">
        <v>1</v>
      </c>
      <c r="H135" s="0" t="s">
        <v>27</v>
      </c>
      <c r="J135" s="0" t="s">
        <v>28</v>
      </c>
      <c r="K135" s="0" t="str">
        <f aca="false">"7.19 %"</f>
        <v>7.19 %</v>
      </c>
      <c r="O135" s="0" t="s">
        <v>622</v>
      </c>
    </row>
    <row r="136" customFormat="false" ht="13.8" hidden="false" customHeight="false" outlineLevel="0" collapsed="false">
      <c r="A136" s="0" t="s">
        <v>623</v>
      </c>
      <c r="B136" s="0" t="n">
        <v>1</v>
      </c>
      <c r="D136" s="0" t="s">
        <v>624</v>
      </c>
      <c r="E136" s="0" t="s">
        <v>600</v>
      </c>
      <c r="F136" s="0" t="s">
        <v>625</v>
      </c>
      <c r="G136" s="0" t="n">
        <v>1</v>
      </c>
      <c r="H136" s="0" t="s">
        <v>33</v>
      </c>
      <c r="J136" s="0" t="s">
        <v>40</v>
      </c>
      <c r="K136" s="0" t="str">
        <f aca="false">"6.07 %"</f>
        <v>6.07 %</v>
      </c>
      <c r="L136" s="0" t="str">
        <f aca="false">"1 V"</f>
        <v>1 V</v>
      </c>
      <c r="M136" s="0" t="str">
        <f aca="false">"10.02 mA/cm^{2}"</f>
        <v>10.02 mA/cm^{2}</v>
      </c>
      <c r="N136" s="0" t="str">
        <f aca="false">"60.54 %"</f>
        <v>60.54 %</v>
      </c>
      <c r="O136" s="0" t="s">
        <v>626</v>
      </c>
    </row>
    <row r="137" customFormat="false" ht="18" hidden="false" customHeight="false" outlineLevel="0" collapsed="false">
      <c r="A137" s="0" t="s">
        <v>627</v>
      </c>
      <c r="B137" s="0" t="n">
        <v>1</v>
      </c>
      <c r="D137" s="0" t="s">
        <v>628</v>
      </c>
      <c r="E137" s="6" t="s">
        <v>202</v>
      </c>
      <c r="F137" s="0" t="s">
        <v>629</v>
      </c>
      <c r="G137" s="0" t="n">
        <v>0</v>
      </c>
      <c r="H137" s="0" t="s">
        <v>630</v>
      </c>
      <c r="I137" s="6" t="s">
        <v>631</v>
      </c>
      <c r="J137" s="0" t="s">
        <v>632</v>
      </c>
      <c r="K137" s="3" t="n">
        <v>0.084</v>
      </c>
      <c r="O137" s="0" t="s">
        <v>633</v>
      </c>
    </row>
    <row r="138" customFormat="false" ht="13.8" hidden="false" customHeight="false" outlineLevel="0" collapsed="false">
      <c r="A138" s="0" t="s">
        <v>634</v>
      </c>
      <c r="B138" s="0" t="n">
        <v>1</v>
      </c>
      <c r="D138" s="0" t="s">
        <v>635</v>
      </c>
      <c r="E138" s="0" t="s">
        <v>636</v>
      </c>
      <c r="F138" s="0" t="s">
        <v>637</v>
      </c>
      <c r="G138" s="0" t="n">
        <v>0</v>
      </c>
      <c r="H138" s="0" t="s">
        <v>163</v>
      </c>
      <c r="I138" s="0" t="s">
        <v>164</v>
      </c>
      <c r="J138" s="0" t="s">
        <v>165</v>
      </c>
      <c r="K138" s="0" t="str">
        <f aca="false">"8.19 %"</f>
        <v>8.19 %</v>
      </c>
      <c r="O138" s="0" t="s">
        <v>638</v>
      </c>
    </row>
    <row r="139" customFormat="false" ht="13.8" hidden="false" customHeight="false" outlineLevel="0" collapsed="false">
      <c r="A139" s="0" t="s">
        <v>639</v>
      </c>
      <c r="B139" s="0" t="n">
        <v>1</v>
      </c>
      <c r="D139" s="0" t="s">
        <v>201</v>
      </c>
      <c r="E139" s="0" t="s">
        <v>202</v>
      </c>
      <c r="F139" s="0" t="s">
        <v>422</v>
      </c>
      <c r="G139" s="0" t="n">
        <v>1</v>
      </c>
      <c r="H139" s="0" t="s">
        <v>27</v>
      </c>
      <c r="J139" s="0" t="s">
        <v>28</v>
      </c>
      <c r="K139" s="0" t="str">
        <f aca="false">"9.44 %"</f>
        <v>9.44 %</v>
      </c>
      <c r="O139" s="0" t="s">
        <v>640</v>
      </c>
    </row>
    <row r="140" customFormat="false" ht="18" hidden="false" customHeight="false" outlineLevel="0" collapsed="false">
      <c r="A140" s="0" t="s">
        <v>641</v>
      </c>
      <c r="B140" s="0" t="n">
        <v>1</v>
      </c>
      <c r="D140" s="0" t="s">
        <v>642</v>
      </c>
      <c r="E140" s="0" t="s">
        <v>643</v>
      </c>
      <c r="F140" s="0" t="s">
        <v>644</v>
      </c>
      <c r="G140" s="0" t="n">
        <v>0</v>
      </c>
      <c r="H140" s="0" t="s">
        <v>645</v>
      </c>
      <c r="I140" s="6" t="s">
        <v>646</v>
      </c>
      <c r="J140" s="0" t="s">
        <v>647</v>
      </c>
      <c r="K140" s="0" t="str">
        <f aca="false">"6 %"</f>
        <v>6 %</v>
      </c>
      <c r="L140" s="0" t="str">
        <f aca="false">"2 V"</f>
        <v>2 V</v>
      </c>
      <c r="O140" s="0" t="s">
        <v>648</v>
      </c>
    </row>
    <row r="141" customFormat="false" ht="13.8" hidden="false" customHeight="false" outlineLevel="0" collapsed="false">
      <c r="A141" s="0" t="s">
        <v>649</v>
      </c>
      <c r="B141" s="0" t="n">
        <v>1</v>
      </c>
      <c r="D141" s="0" t="s">
        <v>287</v>
      </c>
      <c r="E141" s="0" t="s">
        <v>288</v>
      </c>
      <c r="F141" s="0" t="s">
        <v>289</v>
      </c>
      <c r="G141" s="0" t="n">
        <v>1</v>
      </c>
      <c r="H141" s="0" t="s">
        <v>33</v>
      </c>
      <c r="J141" s="0" t="s">
        <v>34</v>
      </c>
      <c r="K141" s="0" t="str">
        <f aca="false">"6.0 %"</f>
        <v>6.0 %</v>
      </c>
      <c r="O141" s="0" t="s">
        <v>650</v>
      </c>
    </row>
    <row r="142" customFormat="false" ht="13.8" hidden="false" customHeight="false" outlineLevel="0" collapsed="false">
      <c r="A142" s="0" t="s">
        <v>651</v>
      </c>
      <c r="B142" s="0" t="n">
        <v>1</v>
      </c>
      <c r="D142" s="0" t="s">
        <v>652</v>
      </c>
      <c r="E142" s="0" t="s">
        <v>653</v>
      </c>
      <c r="F142" s="0" t="s">
        <v>654</v>
      </c>
      <c r="G142" s="0" t="n">
        <v>1</v>
      </c>
      <c r="H142" s="0" t="s">
        <v>27</v>
      </c>
      <c r="J142" s="0" t="s">
        <v>28</v>
      </c>
      <c r="K142" s="0" t="str">
        <f aca="false">"9.28 %"</f>
        <v>9.28 %</v>
      </c>
      <c r="N142" s="0" t="str">
        <f aca="false">"74.4 %"</f>
        <v>74.4 %</v>
      </c>
      <c r="O142" s="0" t="s">
        <v>655</v>
      </c>
    </row>
    <row r="143" customFormat="false" ht="13.8" hidden="false" customHeight="false" outlineLevel="0" collapsed="false">
      <c r="A143" s="0" t="s">
        <v>656</v>
      </c>
      <c r="B143" s="0" t="n">
        <v>1</v>
      </c>
      <c r="D143" s="0" t="s">
        <v>16</v>
      </c>
      <c r="E143" s="0" t="s">
        <v>17</v>
      </c>
      <c r="F143" s="0" t="s">
        <v>18</v>
      </c>
      <c r="G143" s="0" t="n">
        <v>1</v>
      </c>
      <c r="H143" s="0" t="s">
        <v>33</v>
      </c>
      <c r="J143" s="0" t="s">
        <v>40</v>
      </c>
      <c r="K143" s="0" t="str">
        <f aca="false">"3.1 %"</f>
        <v>3.1 %</v>
      </c>
      <c r="O143" s="0" t="s">
        <v>657</v>
      </c>
    </row>
    <row r="144" customFormat="false" ht="13.8" hidden="false" customHeight="false" outlineLevel="0" collapsed="false">
      <c r="A144" s="0" t="s">
        <v>658</v>
      </c>
      <c r="B144" s="0" t="n">
        <v>1</v>
      </c>
      <c r="D144" s="4" t="s">
        <v>659</v>
      </c>
      <c r="E144" s="0" t="s">
        <v>202</v>
      </c>
      <c r="F144" s="0" t="s">
        <v>422</v>
      </c>
      <c r="G144" s="0" t="n">
        <v>0</v>
      </c>
      <c r="H144" s="4" t="s">
        <v>660</v>
      </c>
      <c r="I144" s="0" t="s">
        <v>661</v>
      </c>
      <c r="J144" s="0" t="s">
        <v>662</v>
      </c>
      <c r="K144" s="0" t="str">
        <f aca="false">"4.25 %"</f>
        <v>4.25 %</v>
      </c>
      <c r="O144" s="0" t="s">
        <v>663</v>
      </c>
    </row>
    <row r="145" customFormat="false" ht="13.8" hidden="false" customHeight="false" outlineLevel="0" collapsed="false">
      <c r="A145" s="0" t="s">
        <v>664</v>
      </c>
      <c r="B145" s="0" t="n">
        <v>1</v>
      </c>
      <c r="D145" s="0" t="s">
        <v>665</v>
      </c>
      <c r="E145" s="0" t="s">
        <v>666</v>
      </c>
      <c r="F145" s="0" t="s">
        <v>667</v>
      </c>
      <c r="G145" s="0" t="n">
        <v>1</v>
      </c>
      <c r="H145" s="0" t="s">
        <v>33</v>
      </c>
      <c r="J145" s="0" t="s">
        <v>34</v>
      </c>
      <c r="K145" s="3" t="n">
        <v>0.0712</v>
      </c>
      <c r="O145" s="0" t="s">
        <v>668</v>
      </c>
    </row>
    <row r="146" customFormat="false" ht="16.15" hidden="false" customHeight="false" outlineLevel="0" collapsed="false">
      <c r="A146" s="0" t="s">
        <v>669</v>
      </c>
      <c r="B146" s="0" t="n">
        <v>1</v>
      </c>
      <c r="D146" s="0" t="s">
        <v>201</v>
      </c>
      <c r="E146" s="0" t="s">
        <v>202</v>
      </c>
      <c r="F146" s="0" t="s">
        <v>422</v>
      </c>
      <c r="G146" s="24" t="n">
        <v>0</v>
      </c>
      <c r="H146" s="4" t="s">
        <v>670</v>
      </c>
      <c r="I146" s="6" t="s">
        <v>671</v>
      </c>
      <c r="J146" s="0" t="s">
        <v>672</v>
      </c>
      <c r="K146" s="0" t="str">
        <f aca="false">"4.6 %"</f>
        <v>4.6 %</v>
      </c>
      <c r="L146" s="0" t="str">
        <f aca="false">"0.78 V"</f>
        <v>0.78 V</v>
      </c>
      <c r="M146" s="0" t="str">
        <f aca="false">"11.7 mA/cm^{2}"</f>
        <v>11.7 mA/cm^{2}</v>
      </c>
      <c r="N146" s="0" t="str">
        <f aca="false">"0.53"</f>
        <v>0.53</v>
      </c>
      <c r="O146" s="0" t="s">
        <v>673</v>
      </c>
    </row>
    <row r="147" customFormat="false" ht="16.15" hidden="false" customHeight="false" outlineLevel="0" collapsed="false">
      <c r="A147" s="0" t="s">
        <v>669</v>
      </c>
      <c r="B147" s="0" t="n">
        <v>1</v>
      </c>
      <c r="D147" s="0" t="s">
        <v>201</v>
      </c>
      <c r="E147" s="0" t="s">
        <v>202</v>
      </c>
      <c r="F147" s="0" t="s">
        <v>422</v>
      </c>
      <c r="G147" s="24" t="n">
        <v>0</v>
      </c>
      <c r="H147" s="18" t="s">
        <v>674</v>
      </c>
      <c r="I147" s="6" t="s">
        <v>675</v>
      </c>
      <c r="J147" s="0" t="s">
        <v>676</v>
      </c>
      <c r="K147" s="0" t="str">
        <f aca="false">"3.1"</f>
        <v>3.1</v>
      </c>
      <c r="L147" s="0" t="str">
        <f aca="false">"0.86 V"</f>
        <v>0.86 V</v>
      </c>
      <c r="M147" s="0" t="str">
        <f aca="false">"7.7"</f>
        <v>7.7</v>
      </c>
      <c r="N147" s="0" t="str">
        <f aca="false">"0.45"</f>
        <v>0.45</v>
      </c>
    </row>
    <row r="148" customFormat="false" ht="13.8" hidden="false" customHeight="false" outlineLevel="0" collapsed="false">
      <c r="A148" s="0" t="s">
        <v>677</v>
      </c>
      <c r="B148" s="0" t="n">
        <v>1</v>
      </c>
      <c r="D148" s="4" t="s">
        <v>678</v>
      </c>
      <c r="E148" s="0" t="s">
        <v>679</v>
      </c>
      <c r="F148" s="0" t="s">
        <v>680</v>
      </c>
      <c r="G148" s="0" t="n">
        <v>0</v>
      </c>
      <c r="H148" s="25" t="s">
        <v>681</v>
      </c>
      <c r="I148" s="0" t="s">
        <v>682</v>
      </c>
      <c r="J148" s="0" t="s">
        <v>40</v>
      </c>
      <c r="K148" s="0" t="str">
        <f aca="false">"13.1 %"</f>
        <v>13.1 %</v>
      </c>
      <c r="L148" s="4" t="s">
        <v>683</v>
      </c>
      <c r="M148" s="4" t="str">
        <f aca="false">"20.9 mA cm^{-2}"</f>
        <v>20.9 mA cm^{-2}</v>
      </c>
      <c r="N148" s="3" t="n">
        <v>0.711</v>
      </c>
      <c r="O148" s="0" t="s">
        <v>684</v>
      </c>
    </row>
    <row r="149" customFormat="false" ht="13.8" hidden="false" customHeight="false" outlineLevel="0" collapsed="false">
      <c r="A149" s="0" t="s">
        <v>677</v>
      </c>
      <c r="B149" s="0" t="n">
        <v>1</v>
      </c>
      <c r="D149" s="17" t="s">
        <v>599</v>
      </c>
      <c r="E149" s="0" t="s">
        <v>600</v>
      </c>
      <c r="F149" s="0" t="s">
        <v>601</v>
      </c>
      <c r="G149" s="0" t="n">
        <v>0</v>
      </c>
      <c r="H149" s="25" t="s">
        <v>681</v>
      </c>
      <c r="I149" s="0" t="s">
        <v>682</v>
      </c>
      <c r="J149" s="0" t="s">
        <v>40</v>
      </c>
      <c r="K149" s="9" t="n">
        <v>0.058</v>
      </c>
      <c r="L149" s="17" t="s">
        <v>685</v>
      </c>
      <c r="M149" s="17" t="str">
        <f aca="false">"15.0 mA cm^{-2}"</f>
        <v>15.0 mA cm^{-2}</v>
      </c>
      <c r="N149" s="7" t="n">
        <v>0.576</v>
      </c>
    </row>
    <row r="150" customFormat="false" ht="13.8" hidden="false" customHeight="false" outlineLevel="0" collapsed="false">
      <c r="A150" s="0" t="s">
        <v>686</v>
      </c>
      <c r="B150" s="0" t="n">
        <v>1</v>
      </c>
      <c r="D150" s="0" t="s">
        <v>599</v>
      </c>
      <c r="E150" s="0" t="s">
        <v>600</v>
      </c>
      <c r="F150" s="0" t="s">
        <v>687</v>
      </c>
      <c r="G150" s="0" t="n">
        <v>0</v>
      </c>
      <c r="H150" s="4" t="s">
        <v>688</v>
      </c>
      <c r="I150" s="0" t="s">
        <v>689</v>
      </c>
      <c r="J150" s="0" t="s">
        <v>690</v>
      </c>
      <c r="K150" s="0" t="str">
        <f aca="false">"6.95 %"</f>
        <v>6.95 %</v>
      </c>
      <c r="O150" s="0" t="s">
        <v>691</v>
      </c>
    </row>
    <row r="151" customFormat="false" ht="13.8" hidden="false" customHeight="false" outlineLevel="0" collapsed="false">
      <c r="A151" s="0" t="s">
        <v>686</v>
      </c>
      <c r="B151" s="0" t="n">
        <v>1</v>
      </c>
      <c r="D151" s="0" t="s">
        <v>599</v>
      </c>
      <c r="E151" s="0" t="s">
        <v>600</v>
      </c>
      <c r="F151" s="0" t="s">
        <v>687</v>
      </c>
      <c r="G151" s="0" t="n">
        <v>0</v>
      </c>
      <c r="H151" s="4" t="s">
        <v>692</v>
      </c>
      <c r="I151" s="0" t="s">
        <v>693</v>
      </c>
      <c r="J151" s="0" t="s">
        <v>694</v>
      </c>
      <c r="K151" s="0" t="str">
        <f aca="false">"6.02 %"</f>
        <v>6.02 %</v>
      </c>
      <c r="O151" s="0" t="s">
        <v>695</v>
      </c>
    </row>
    <row r="152" customFormat="false" ht="20.25" hidden="false" customHeight="true" outlineLevel="0" collapsed="false">
      <c r="A152" s="0" t="s">
        <v>686</v>
      </c>
      <c r="B152" s="0" t="n">
        <v>1</v>
      </c>
      <c r="D152" s="0" t="s">
        <v>599</v>
      </c>
      <c r="E152" s="0" t="s">
        <v>600</v>
      </c>
      <c r="F152" s="0" t="s">
        <v>687</v>
      </c>
      <c r="G152" s="0" t="n">
        <v>0</v>
      </c>
      <c r="H152" s="4" t="s">
        <v>696</v>
      </c>
      <c r="I152" s="26" t="s">
        <v>697</v>
      </c>
      <c r="J152" s="0" t="s">
        <v>698</v>
      </c>
      <c r="K152" s="0" t="str">
        <f aca="false">"1.43 %"</f>
        <v>1.43 %</v>
      </c>
      <c r="O152" s="0" t="s">
        <v>699</v>
      </c>
    </row>
    <row r="153" customFormat="false" ht="13.8" hidden="false" customHeight="false" outlineLevel="0" collapsed="false">
      <c r="A153" s="0" t="s">
        <v>700</v>
      </c>
      <c r="B153" s="0" t="n">
        <v>1</v>
      </c>
      <c r="D153" s="0" t="s">
        <v>85</v>
      </c>
      <c r="E153" s="0" t="s">
        <v>86</v>
      </c>
      <c r="F153" s="0" t="s">
        <v>87</v>
      </c>
      <c r="G153" s="0" t="n">
        <v>1</v>
      </c>
      <c r="H153" s="4" t="s">
        <v>27</v>
      </c>
      <c r="J153" s="0" t="s">
        <v>701</v>
      </c>
      <c r="K153" s="0" t="str">
        <f aca="false">"7.40 %"</f>
        <v>7.40 %</v>
      </c>
      <c r="O153" s="0" t="s">
        <v>702</v>
      </c>
    </row>
    <row r="154" customFormat="false" ht="13.8" hidden="false" customHeight="false" outlineLevel="0" collapsed="false">
      <c r="A154" s="0" t="s">
        <v>700</v>
      </c>
      <c r="B154" s="0" t="n">
        <v>1</v>
      </c>
      <c r="D154" s="0" t="s">
        <v>16</v>
      </c>
      <c r="E154" s="0" t="s">
        <v>17</v>
      </c>
      <c r="F154" s="0" t="s">
        <v>18</v>
      </c>
      <c r="G154" s="0" t="n">
        <v>1</v>
      </c>
      <c r="H154" s="0" t="s">
        <v>33</v>
      </c>
      <c r="J154" s="0" t="s">
        <v>703</v>
      </c>
      <c r="K154" s="0" t="str">
        <f aca="false">"4.18 %"</f>
        <v>4.18 %</v>
      </c>
    </row>
    <row r="155" customFormat="false" ht="18" hidden="false" customHeight="false" outlineLevel="0" collapsed="false">
      <c r="A155" s="0" t="s">
        <v>704</v>
      </c>
      <c r="B155" s="0" t="n">
        <v>1</v>
      </c>
      <c r="D155" s="0" t="s">
        <v>705</v>
      </c>
      <c r="E155" s="6" t="s">
        <v>706</v>
      </c>
      <c r="F155" s="0" t="s">
        <v>707</v>
      </c>
      <c r="G155" s="0" t="n">
        <v>1</v>
      </c>
      <c r="H155" s="0" t="s">
        <v>27</v>
      </c>
      <c r="J155" s="0" t="s">
        <v>28</v>
      </c>
      <c r="K155" s="0" t="str">
        <f aca="false">"8.7 %"</f>
        <v>8.7 %</v>
      </c>
      <c r="O155" s="0" t="s">
        <v>708</v>
      </c>
    </row>
    <row r="156" customFormat="false" ht="13.8" hidden="false" customHeight="false" outlineLevel="0" collapsed="false">
      <c r="A156" s="0" t="s">
        <v>704</v>
      </c>
      <c r="B156" s="0" t="n">
        <v>1</v>
      </c>
      <c r="D156" s="0" t="s">
        <v>16</v>
      </c>
      <c r="E156" s="0" t="s">
        <v>17</v>
      </c>
      <c r="F156" s="0" t="s">
        <v>709</v>
      </c>
      <c r="G156" s="0" t="n">
        <v>1</v>
      </c>
      <c r="H156" s="0" t="s">
        <v>76</v>
      </c>
      <c r="J156" s="0" t="s">
        <v>77</v>
      </c>
      <c r="K156" s="3" t="n">
        <v>0.046</v>
      </c>
      <c r="O156" s="0" t="s">
        <v>710</v>
      </c>
    </row>
    <row r="157" customFormat="false" ht="13.8" hidden="false" customHeight="false" outlineLevel="0" collapsed="false">
      <c r="A157" s="0" t="s">
        <v>711</v>
      </c>
      <c r="B157" s="0" t="n">
        <v>1</v>
      </c>
      <c r="D157" s="0" t="s">
        <v>16</v>
      </c>
      <c r="E157" s="0" t="s">
        <v>17</v>
      </c>
      <c r="F157" s="0" t="s">
        <v>18</v>
      </c>
      <c r="G157" s="0" t="n">
        <v>1</v>
      </c>
      <c r="H157" s="0" t="s">
        <v>33</v>
      </c>
      <c r="J157" s="0" t="s">
        <v>34</v>
      </c>
      <c r="K157" s="0" t="str">
        <f aca="false">"3.7 %"</f>
        <v>3.7 %</v>
      </c>
      <c r="N157" s="0" t="str">
        <f aca="false">"0.67"</f>
        <v>0.67</v>
      </c>
      <c r="O157" s="0" t="s">
        <v>712</v>
      </c>
    </row>
    <row r="158" customFormat="false" ht="13.8" hidden="false" customHeight="false" outlineLevel="0" collapsed="false">
      <c r="A158" s="0" t="s">
        <v>713</v>
      </c>
      <c r="B158" s="0" t="n">
        <v>1</v>
      </c>
      <c r="D158" s="0" t="s">
        <v>201</v>
      </c>
      <c r="E158" s="0" t="s">
        <v>202</v>
      </c>
      <c r="F158" s="0" t="s">
        <v>422</v>
      </c>
      <c r="G158" s="0" t="n">
        <v>1</v>
      </c>
      <c r="H158" s="0" t="s">
        <v>27</v>
      </c>
      <c r="J158" s="0" t="s">
        <v>28</v>
      </c>
      <c r="K158" s="0" t="str">
        <f aca="false">"10.5 %"</f>
        <v>10.5 %</v>
      </c>
      <c r="O158" s="0" t="s">
        <v>714</v>
      </c>
    </row>
    <row r="159" customFormat="false" ht="13.8" hidden="false" customHeight="false" outlineLevel="0" collapsed="false">
      <c r="A159" s="0" t="s">
        <v>715</v>
      </c>
      <c r="C159" s="0" t="n">
        <v>1</v>
      </c>
      <c r="D159" s="0" t="s">
        <v>85</v>
      </c>
      <c r="E159" s="0" t="s">
        <v>86</v>
      </c>
      <c r="F159" s="0" t="s">
        <v>716</v>
      </c>
      <c r="G159" s="0" t="n">
        <v>1</v>
      </c>
      <c r="H159" s="0" t="s">
        <v>27</v>
      </c>
      <c r="J159" s="0" t="s">
        <v>717</v>
      </c>
      <c r="K159" s="0" t="str">
        <f aca="false">"8.51 %"</f>
        <v>8.51 %</v>
      </c>
      <c r="O159" s="0" t="s">
        <v>718</v>
      </c>
    </row>
    <row r="160" customFormat="false" ht="13.8" hidden="false" customHeight="false" outlineLevel="0" collapsed="false">
      <c r="A160" s="0" t="s">
        <v>719</v>
      </c>
      <c r="B160" s="0" t="n">
        <v>1</v>
      </c>
      <c r="D160" s="0" t="s">
        <v>16</v>
      </c>
      <c r="E160" s="0" t="s">
        <v>17</v>
      </c>
      <c r="F160" s="0" t="s">
        <v>116</v>
      </c>
      <c r="G160" s="0" t="n">
        <v>1</v>
      </c>
      <c r="H160" s="0" t="s">
        <v>33</v>
      </c>
      <c r="J160" s="0" t="s">
        <v>34</v>
      </c>
      <c r="K160" s="3" t="n">
        <v>0.0401</v>
      </c>
      <c r="L160" s="4"/>
      <c r="O160" s="0" t="s">
        <v>720</v>
      </c>
    </row>
    <row r="161" customFormat="false" ht="13.8" hidden="false" customHeight="false" outlineLevel="0" collapsed="false">
      <c r="A161" s="0" t="s">
        <v>721</v>
      </c>
      <c r="B161" s="0" t="n">
        <v>1</v>
      </c>
      <c r="D161" s="0" t="s">
        <v>201</v>
      </c>
      <c r="E161" s="0" t="s">
        <v>202</v>
      </c>
      <c r="F161" s="0" t="s">
        <v>422</v>
      </c>
      <c r="G161" s="0" t="n">
        <v>1</v>
      </c>
      <c r="H161" s="0" t="s">
        <v>27</v>
      </c>
      <c r="J161" s="0" t="s">
        <v>28</v>
      </c>
      <c r="K161" s="0" t="str">
        <f aca="false">"9.46 %"</f>
        <v>9.46 %</v>
      </c>
      <c r="O161" s="0" t="s">
        <v>722</v>
      </c>
    </row>
    <row r="162" customFormat="false" ht="13.8" hidden="false" customHeight="false" outlineLevel="0" collapsed="false">
      <c r="A162" s="0" t="s">
        <v>723</v>
      </c>
      <c r="B162" s="0" t="n">
        <v>1</v>
      </c>
      <c r="D162" s="0" t="s">
        <v>85</v>
      </c>
      <c r="E162" s="0" t="s">
        <v>86</v>
      </c>
      <c r="F162" s="0" t="s">
        <v>87</v>
      </c>
      <c r="G162" s="0" t="n">
        <v>1</v>
      </c>
      <c r="H162" s="0" t="s">
        <v>27</v>
      </c>
      <c r="J162" s="0" t="s">
        <v>28</v>
      </c>
      <c r="K162" s="3" t="n">
        <v>0.0872</v>
      </c>
      <c r="O162" s="0" t="s">
        <v>724</v>
      </c>
    </row>
    <row r="163" customFormat="false" ht="13.8" hidden="false" customHeight="false" outlineLevel="0" collapsed="false">
      <c r="A163" s="0" t="s">
        <v>725</v>
      </c>
      <c r="B163" s="0" t="n">
        <v>1</v>
      </c>
      <c r="D163" s="0" t="s">
        <v>85</v>
      </c>
      <c r="E163" s="0" t="s">
        <v>86</v>
      </c>
      <c r="F163" s="0" t="s">
        <v>726</v>
      </c>
      <c r="G163" s="0" t="n">
        <v>1</v>
      </c>
      <c r="H163" s="0" t="s">
        <v>27</v>
      </c>
      <c r="J163" s="0" t="s">
        <v>28</v>
      </c>
      <c r="K163" s="0" t="str">
        <f aca="false">"6.76 %"</f>
        <v>6.76 %</v>
      </c>
      <c r="O163" s="0" t="s">
        <v>727</v>
      </c>
    </row>
    <row r="164" customFormat="false" ht="13.8" hidden="false" customHeight="false" outlineLevel="0" collapsed="false">
      <c r="A164" s="0" t="s">
        <v>728</v>
      </c>
      <c r="B164" s="0" t="n">
        <v>1</v>
      </c>
      <c r="D164" s="0" t="s">
        <v>16</v>
      </c>
      <c r="E164" s="0" t="s">
        <v>17</v>
      </c>
      <c r="F164" s="0" t="s">
        <v>18</v>
      </c>
      <c r="G164" s="0" t="n">
        <v>1</v>
      </c>
      <c r="H164" s="0" t="s">
        <v>76</v>
      </c>
      <c r="J164" s="0" t="s">
        <v>40</v>
      </c>
      <c r="K164" s="3" t="str">
        <f aca="false">"4.0 %"</f>
        <v>4.0 %</v>
      </c>
      <c r="O164" s="0" t="s">
        <v>729</v>
      </c>
    </row>
    <row r="165" customFormat="false" ht="13.8" hidden="false" customHeight="false" outlineLevel="0" collapsed="false">
      <c r="A165" s="0" t="s">
        <v>728</v>
      </c>
      <c r="B165" s="0" t="n">
        <v>1</v>
      </c>
      <c r="D165" s="5" t="s">
        <v>85</v>
      </c>
      <c r="E165" s="0" t="s">
        <v>86</v>
      </c>
      <c r="F165" s="0" t="s">
        <v>87</v>
      </c>
      <c r="G165" s="0" t="n">
        <v>1</v>
      </c>
      <c r="H165" s="0" t="s">
        <v>27</v>
      </c>
      <c r="J165" s="0" t="s">
        <v>28</v>
      </c>
      <c r="K165" s="7" t="str">
        <f aca="false">"8.0 %"</f>
        <v>8.0 %</v>
      </c>
    </row>
    <row r="166" customFormat="false" ht="13.8" hidden="false" customHeight="false" outlineLevel="0" collapsed="false">
      <c r="A166" s="0" t="s">
        <v>730</v>
      </c>
      <c r="B166" s="0" t="n">
        <v>1</v>
      </c>
      <c r="D166" s="4" t="s">
        <v>85</v>
      </c>
      <c r="E166" s="0" t="s">
        <v>86</v>
      </c>
      <c r="F166" s="0" t="s">
        <v>731</v>
      </c>
      <c r="G166" s="0" t="n">
        <v>1</v>
      </c>
      <c r="H166" s="0" t="s">
        <v>27</v>
      </c>
      <c r="J166" s="0" t="s">
        <v>28</v>
      </c>
      <c r="K166" s="0" t="str">
        <f aca="false">"7.47 %"</f>
        <v>7.47 %</v>
      </c>
      <c r="L166" s="0" t="str">
        <f aca="false">"0.75V"</f>
        <v>0.75V</v>
      </c>
      <c r="M166" s="0" t="str">
        <f aca="false">"14.98 mA cm^{-2}"</f>
        <v>14.98 mA cm^{-2}</v>
      </c>
      <c r="N166" s="12" t="n">
        <v>0.661</v>
      </c>
      <c r="O166" s="0" t="s">
        <v>732</v>
      </c>
    </row>
    <row r="167" customFormat="false" ht="13.8" hidden="false" customHeight="false" outlineLevel="0" collapsed="false">
      <c r="A167" s="0" t="s">
        <v>733</v>
      </c>
      <c r="B167" s="0" t="n">
        <v>1</v>
      </c>
      <c r="D167" s="0" t="s">
        <v>109</v>
      </c>
      <c r="E167" s="0" t="s">
        <v>110</v>
      </c>
      <c r="F167" s="0" t="s">
        <v>734</v>
      </c>
      <c r="G167" s="0" t="n">
        <v>1</v>
      </c>
      <c r="H167" s="0" t="s">
        <v>27</v>
      </c>
      <c r="J167" s="0" t="s">
        <v>28</v>
      </c>
      <c r="K167" s="0" t="str">
        <f aca="false">"7.01 %"</f>
        <v>7.01 %</v>
      </c>
      <c r="O167" s="0" t="s">
        <v>735</v>
      </c>
    </row>
    <row r="168" customFormat="false" ht="13.8" hidden="false" customHeight="false" outlineLevel="0" collapsed="false">
      <c r="A168" s="0" t="s">
        <v>736</v>
      </c>
      <c r="C168" s="0" t="n">
        <v>1</v>
      </c>
      <c r="D168" s="0" t="s">
        <v>208</v>
      </c>
      <c r="E168" s="0" t="s">
        <v>17</v>
      </c>
      <c r="F168" s="0" t="s">
        <v>209</v>
      </c>
      <c r="G168" s="0" t="n">
        <v>0</v>
      </c>
      <c r="H168" s="0" t="s">
        <v>16</v>
      </c>
      <c r="I168" s="0" t="s">
        <v>17</v>
      </c>
      <c r="J168" s="0" t="s">
        <v>737</v>
      </c>
      <c r="K168" s="0" t="str">
        <f aca="false">"1.32 %"</f>
        <v>1.32 %</v>
      </c>
      <c r="O168" s="0" t="s">
        <v>738</v>
      </c>
    </row>
    <row r="169" customFormat="false" ht="13.8" hidden="false" customHeight="false" outlineLevel="0" collapsed="false">
      <c r="A169" s="0" t="s">
        <v>739</v>
      </c>
      <c r="B169" s="0" t="n">
        <v>1</v>
      </c>
      <c r="D169" s="0" t="s">
        <v>16</v>
      </c>
      <c r="E169" s="0" t="s">
        <v>17</v>
      </c>
      <c r="F169" s="0" t="s">
        <v>116</v>
      </c>
      <c r="G169" s="0" t="n">
        <v>1</v>
      </c>
      <c r="H169" s="0" t="s">
        <v>76</v>
      </c>
      <c r="J169" s="0" t="s">
        <v>77</v>
      </c>
      <c r="K169" s="3" t="n">
        <v>0.0342</v>
      </c>
      <c r="O169" s="0" t="s">
        <v>740</v>
      </c>
    </row>
    <row r="170" customFormat="false" ht="18" hidden="false" customHeight="false" outlineLevel="0" collapsed="false">
      <c r="A170" s="0" t="s">
        <v>741</v>
      </c>
      <c r="B170" s="0" t="n">
        <v>1</v>
      </c>
      <c r="D170" s="0" t="s">
        <v>742</v>
      </c>
      <c r="E170" s="6" t="s">
        <v>743</v>
      </c>
      <c r="F170" s="0" t="s">
        <v>744</v>
      </c>
      <c r="G170" s="0" t="n">
        <v>1</v>
      </c>
      <c r="H170" s="0" t="s">
        <v>117</v>
      </c>
      <c r="J170" s="0" t="s">
        <v>40</v>
      </c>
      <c r="K170" s="0" t="str">
        <f aca="false">"2.48 %"</f>
        <v>2.48 %</v>
      </c>
      <c r="L170" s="5" t="s">
        <v>745</v>
      </c>
      <c r="O170" s="0" t="s">
        <v>746</v>
      </c>
    </row>
    <row r="171" customFormat="false" ht="18.75" hidden="false" customHeight="false" outlineLevel="0" collapsed="false">
      <c r="A171" s="0" t="s">
        <v>747</v>
      </c>
      <c r="B171" s="0" t="n">
        <v>1</v>
      </c>
      <c r="D171" s="0" t="s">
        <v>748</v>
      </c>
      <c r="E171" s="6" t="s">
        <v>749</v>
      </c>
      <c r="F171" s="0" t="s">
        <v>750</v>
      </c>
      <c r="G171" s="0" t="n">
        <v>1</v>
      </c>
      <c r="H171" s="17" t="s">
        <v>751</v>
      </c>
      <c r="J171" s="0" t="s">
        <v>40</v>
      </c>
      <c r="K171" s="0" t="str">
        <f aca="false">"1.13 %"</f>
        <v>1.13 %</v>
      </c>
      <c r="O171" s="0" t="s">
        <v>752</v>
      </c>
    </row>
    <row r="172" customFormat="false" ht="18" hidden="false" customHeight="false" outlineLevel="0" collapsed="false">
      <c r="A172" s="0" t="s">
        <v>753</v>
      </c>
      <c r="B172" s="0" t="n">
        <v>1</v>
      </c>
      <c r="D172" s="0" t="s">
        <v>124</v>
      </c>
      <c r="E172" s="6" t="s">
        <v>754</v>
      </c>
      <c r="F172" s="0" t="s">
        <v>126</v>
      </c>
      <c r="G172" s="0" t="n">
        <v>1</v>
      </c>
      <c r="H172" s="0" t="s">
        <v>27</v>
      </c>
      <c r="J172" s="0" t="s">
        <v>28</v>
      </c>
      <c r="K172" s="0" t="str">
        <f aca="false">"2.51 %"</f>
        <v>2.51 %</v>
      </c>
      <c r="O172" s="0" t="s">
        <v>755</v>
      </c>
    </row>
    <row r="173" customFormat="false" ht="14.25" hidden="false" customHeight="false" outlineLevel="0" collapsed="false">
      <c r="A173" s="0" t="s">
        <v>756</v>
      </c>
      <c r="B173" s="0" t="n">
        <v>1</v>
      </c>
      <c r="D173" s="0" t="s">
        <v>124</v>
      </c>
      <c r="E173" s="0" t="s">
        <v>757</v>
      </c>
      <c r="F173" s="0" t="s">
        <v>427</v>
      </c>
      <c r="G173" s="0" t="n">
        <v>1</v>
      </c>
      <c r="H173" s="0" t="s">
        <v>758</v>
      </c>
      <c r="J173" s="0" t="s">
        <v>759</v>
      </c>
      <c r="K173" s="3" t="n">
        <v>0.0149</v>
      </c>
      <c r="L173" s="4" t="s">
        <v>760</v>
      </c>
      <c r="M173" s="0" t="str">
        <f aca="false">"3.06 mA/cm^{2}"</f>
        <v>3.06 mA/cm^{2}</v>
      </c>
      <c r="N173" s="5" t="str">
        <f aca="false">"0.49"</f>
        <v>0.49</v>
      </c>
      <c r="O173" s="0" t="s">
        <v>761</v>
      </c>
    </row>
    <row r="174" customFormat="false" ht="15" hidden="false" customHeight="false" outlineLevel="0" collapsed="false">
      <c r="A174" s="0" t="s">
        <v>756</v>
      </c>
      <c r="B174" s="0" t="n">
        <v>1</v>
      </c>
      <c r="D174" s="0" t="s">
        <v>128</v>
      </c>
      <c r="E174" s="6" t="s">
        <v>762</v>
      </c>
      <c r="F174" s="0" t="s">
        <v>130</v>
      </c>
      <c r="G174" s="0" t="n">
        <v>1</v>
      </c>
      <c r="H174" s="0" t="s">
        <v>758</v>
      </c>
      <c r="J174" s="0" t="s">
        <v>759</v>
      </c>
      <c r="K174" s="9" t="n">
        <v>0.0076</v>
      </c>
      <c r="L174" s="5" t="s">
        <v>763</v>
      </c>
      <c r="M174" s="0" t="str">
        <f aca="false">"2.48 mA/cm^{2}"</f>
        <v>2.48 mA/cm^{2}</v>
      </c>
      <c r="N174" s="0" t="str">
        <f aca="false">"0.36"</f>
        <v>0.36</v>
      </c>
      <c r="O174" s="0" t="s">
        <v>764</v>
      </c>
    </row>
    <row r="175" customFormat="false" ht="15" hidden="false" customHeight="false" outlineLevel="0" collapsed="false">
      <c r="A175" s="0" t="s">
        <v>765</v>
      </c>
      <c r="B175" s="0" t="n">
        <v>1</v>
      </c>
      <c r="D175" s="0" t="s">
        <v>128</v>
      </c>
      <c r="E175" s="6" t="s">
        <v>766</v>
      </c>
      <c r="F175" s="0" t="s">
        <v>130</v>
      </c>
      <c r="G175" s="0" t="n">
        <v>1</v>
      </c>
      <c r="H175" s="0" t="s">
        <v>76</v>
      </c>
      <c r="J175" s="0" t="s">
        <v>77</v>
      </c>
      <c r="K175" s="0" t="str">
        <f aca="false">"1.86 %"</f>
        <v>1.86 %</v>
      </c>
      <c r="L175" s="0" t="str">
        <f aca="false">"0.54 V"</f>
        <v>0.54 V</v>
      </c>
      <c r="M175" s="0" t="str">
        <f aca="false">"6.36 mA/cm^{2}"</f>
        <v>6.36 mA/cm^{2}</v>
      </c>
      <c r="O175" s="0" t="s">
        <v>767</v>
      </c>
    </row>
    <row r="176" customFormat="false" ht="14.25" hidden="false" customHeight="false" outlineLevel="0" collapsed="false">
      <c r="A176" s="0" t="s">
        <v>768</v>
      </c>
      <c r="C176" s="0" t="n">
        <v>1</v>
      </c>
      <c r="D176" s="0" t="s">
        <v>769</v>
      </c>
      <c r="F176" s="0" t="s">
        <v>770</v>
      </c>
      <c r="G176" s="0" t="n">
        <v>1</v>
      </c>
      <c r="H176" s="0" t="s">
        <v>33</v>
      </c>
      <c r="J176" s="0" t="s">
        <v>40</v>
      </c>
      <c r="K176" s="0" t="str">
        <f aca="false">"1.82 %"</f>
        <v>1.82 %</v>
      </c>
      <c r="L176" s="0" t="str">
        <f aca="false">"0.95 V"</f>
        <v>0.95 V</v>
      </c>
      <c r="O176" s="0" t="s">
        <v>771</v>
      </c>
    </row>
    <row r="177" customFormat="false" ht="18" hidden="false" customHeight="false" outlineLevel="0" collapsed="false">
      <c r="A177" s="0" t="s">
        <v>772</v>
      </c>
      <c r="B177" s="0" t="n">
        <v>1</v>
      </c>
      <c r="D177" s="0" t="s">
        <v>128</v>
      </c>
      <c r="E177" s="6" t="s">
        <v>773</v>
      </c>
      <c r="F177" s="0" t="s">
        <v>130</v>
      </c>
      <c r="G177" s="0" t="n">
        <v>1</v>
      </c>
      <c r="H177" s="0" t="s">
        <v>27</v>
      </c>
      <c r="J177" s="0" t="s">
        <v>28</v>
      </c>
      <c r="K177" s="0" t="str">
        <f aca="false">"1.46 %"</f>
        <v>1.46 %</v>
      </c>
      <c r="L177" s="0" t="str">
        <f aca="false">"0.43 V"</f>
        <v>0.43 V</v>
      </c>
      <c r="M177" s="0" t="str">
        <f aca="false">"7.61 mA/cm^{2}"</f>
        <v>7.61 mA/cm^{2}</v>
      </c>
      <c r="N177" s="0" t="str">
        <f aca="false">"0.45"</f>
        <v>0.45</v>
      </c>
      <c r="O177" s="0" t="s">
        <v>774</v>
      </c>
    </row>
    <row r="178" customFormat="false" ht="13.8" hidden="false" customHeight="false" outlineLevel="0" collapsed="false">
      <c r="A178" s="0" t="s">
        <v>775</v>
      </c>
      <c r="B178" s="0" t="n">
        <v>1</v>
      </c>
      <c r="D178" s="5" t="s">
        <v>16</v>
      </c>
      <c r="E178" s="0" t="s">
        <v>17</v>
      </c>
      <c r="F178" s="0" t="s">
        <v>116</v>
      </c>
      <c r="G178" s="0" t="n">
        <v>1</v>
      </c>
      <c r="H178" s="0" t="s">
        <v>33</v>
      </c>
      <c r="J178" s="0" t="s">
        <v>34</v>
      </c>
      <c r="K178" s="0" t="str">
        <f aca="false">"2.26 %"</f>
        <v>2.26 %</v>
      </c>
      <c r="O178" s="0" t="s">
        <v>776</v>
      </c>
    </row>
    <row r="179" customFormat="false" ht="13.8" hidden="false" customHeight="false" outlineLevel="0" collapsed="false">
      <c r="A179" s="0" t="s">
        <v>777</v>
      </c>
      <c r="B179" s="0" t="n">
        <v>1</v>
      </c>
      <c r="D179" s="0" t="s">
        <v>16</v>
      </c>
      <c r="E179" s="0" t="s">
        <v>17</v>
      </c>
      <c r="F179" s="0" t="s">
        <v>116</v>
      </c>
      <c r="G179" s="0" t="n">
        <v>1</v>
      </c>
      <c r="H179" s="0" t="s">
        <v>33</v>
      </c>
      <c r="J179" s="0" t="s">
        <v>34</v>
      </c>
      <c r="K179" s="0" t="str">
        <f aca="false">"3.32 %"</f>
        <v>3.32 %</v>
      </c>
      <c r="O179" s="0" t="s">
        <v>778</v>
      </c>
    </row>
    <row r="180" customFormat="false" ht="13.8" hidden="false" customHeight="false" outlineLevel="0" collapsed="false">
      <c r="A180" s="0" t="s">
        <v>779</v>
      </c>
      <c r="B180" s="0" t="n">
        <v>1</v>
      </c>
      <c r="D180" s="0" t="s">
        <v>109</v>
      </c>
      <c r="E180" s="0" t="s">
        <v>110</v>
      </c>
      <c r="F180" s="0" t="s">
        <v>111</v>
      </c>
      <c r="G180" s="0" t="n">
        <v>1</v>
      </c>
      <c r="H180" s="0" t="s">
        <v>27</v>
      </c>
      <c r="J180" s="0" t="s">
        <v>28</v>
      </c>
      <c r="K180" s="0" t="str">
        <f aca="false">"7.18 %"</f>
        <v>7.18 %</v>
      </c>
      <c r="O180" s="0" t="s">
        <v>780</v>
      </c>
    </row>
    <row r="181" customFormat="false" ht="15" hidden="false" customHeight="false" outlineLevel="0" collapsed="false">
      <c r="A181" s="0" t="s">
        <v>781</v>
      </c>
      <c r="B181" s="0" t="n">
        <v>1</v>
      </c>
      <c r="D181" s="0" t="s">
        <v>782</v>
      </c>
      <c r="E181" s="6" t="s">
        <v>783</v>
      </c>
      <c r="F181" s="0" t="s">
        <v>784</v>
      </c>
      <c r="G181" s="0" t="n">
        <v>1</v>
      </c>
      <c r="H181" s="0" t="s">
        <v>27</v>
      </c>
      <c r="J181" s="0" t="s">
        <v>28</v>
      </c>
      <c r="K181" s="0" t="str">
        <f aca="false">"2.47 %"</f>
        <v>2.47 %</v>
      </c>
      <c r="M181" s="0" t="str">
        <f aca="false">"5.52 mA cm^{-2}"</f>
        <v>5.52 mA cm^{-2}</v>
      </c>
      <c r="O181" s="0" t="s">
        <v>785</v>
      </c>
    </row>
    <row r="182" customFormat="false" ht="15" hidden="false" customHeight="false" outlineLevel="0" collapsed="false">
      <c r="A182" s="0" t="s">
        <v>786</v>
      </c>
      <c r="B182" s="0" t="n">
        <v>1</v>
      </c>
      <c r="D182" s="4" t="s">
        <v>461</v>
      </c>
      <c r="E182" s="6" t="s">
        <v>462</v>
      </c>
      <c r="F182" s="0" t="s">
        <v>463</v>
      </c>
      <c r="G182" s="0" t="n">
        <v>0</v>
      </c>
      <c r="H182" s="0" t="s">
        <v>787</v>
      </c>
      <c r="I182" s="6" t="s">
        <v>788</v>
      </c>
      <c r="J182" s="0" t="s">
        <v>40</v>
      </c>
      <c r="K182" s="0" t="str">
        <f aca="false">"5.10 %"</f>
        <v>5.10 %</v>
      </c>
      <c r="O182" s="0" t="s">
        <v>789</v>
      </c>
    </row>
    <row r="183" customFormat="false" ht="15" hidden="false" customHeight="false" outlineLevel="0" collapsed="false">
      <c r="A183" s="0" t="s">
        <v>786</v>
      </c>
      <c r="B183" s="0" t="n">
        <v>1</v>
      </c>
      <c r="D183" s="4" t="s">
        <v>461</v>
      </c>
      <c r="E183" s="6" t="s">
        <v>462</v>
      </c>
      <c r="F183" s="0" t="s">
        <v>463</v>
      </c>
      <c r="G183" s="0" t="n">
        <v>0</v>
      </c>
      <c r="H183" s="0" t="s">
        <v>790</v>
      </c>
      <c r="I183" s="6" t="s">
        <v>791</v>
      </c>
    </row>
    <row r="184" customFormat="false" ht="15" hidden="false" customHeight="false" outlineLevel="0" collapsed="false">
      <c r="A184" s="0" t="s">
        <v>786</v>
      </c>
      <c r="B184" s="0" t="n">
        <v>1</v>
      </c>
      <c r="D184" s="4" t="s">
        <v>461</v>
      </c>
      <c r="E184" s="6" t="s">
        <v>462</v>
      </c>
      <c r="F184" s="0" t="s">
        <v>463</v>
      </c>
      <c r="G184" s="0" t="n">
        <v>0</v>
      </c>
      <c r="H184" s="0" t="s">
        <v>792</v>
      </c>
      <c r="I184" s="6" t="s">
        <v>793</v>
      </c>
    </row>
    <row r="185" customFormat="false" ht="15" hidden="false" customHeight="false" outlineLevel="0" collapsed="false">
      <c r="A185" s="0" t="s">
        <v>794</v>
      </c>
      <c r="B185" s="0" t="n">
        <v>1</v>
      </c>
      <c r="D185" s="0" t="s">
        <v>795</v>
      </c>
      <c r="E185" s="6" t="s">
        <v>796</v>
      </c>
      <c r="F185" s="0" t="s">
        <v>40</v>
      </c>
      <c r="G185" s="0" t="n">
        <v>1</v>
      </c>
      <c r="H185" s="0" t="s">
        <v>66</v>
      </c>
      <c r="J185" s="0" t="s">
        <v>67</v>
      </c>
      <c r="K185" s="9" t="n">
        <v>0.0567</v>
      </c>
      <c r="O185" s="0" t="s">
        <v>797</v>
      </c>
    </row>
    <row r="186" customFormat="false" ht="13.8" hidden="false" customHeight="false" outlineLevel="0" collapsed="false">
      <c r="A186" s="0" t="s">
        <v>794</v>
      </c>
      <c r="B186" s="0" t="n">
        <v>1</v>
      </c>
      <c r="D186" s="0" t="s">
        <v>798</v>
      </c>
      <c r="E186" s="0" t="s">
        <v>799</v>
      </c>
      <c r="F186" s="0" t="s">
        <v>40</v>
      </c>
      <c r="G186" s="0" t="n">
        <v>1</v>
      </c>
      <c r="H186" s="0" t="s">
        <v>66</v>
      </c>
      <c r="J186" s="0" t="s">
        <v>67</v>
      </c>
      <c r="K186" s="9" t="n">
        <v>0.0529</v>
      </c>
    </row>
    <row r="187" customFormat="false" ht="13.8" hidden="false" customHeight="false" outlineLevel="0" collapsed="false">
      <c r="A187" s="0" t="s">
        <v>794</v>
      </c>
      <c r="B187" s="0" t="n">
        <v>1</v>
      </c>
      <c r="D187" s="0" t="s">
        <v>800</v>
      </c>
      <c r="E187" s="0" t="s">
        <v>801</v>
      </c>
      <c r="F187" s="0" t="s">
        <v>40</v>
      </c>
      <c r="G187" s="0" t="n">
        <v>1</v>
      </c>
      <c r="H187" s="0" t="s">
        <v>66</v>
      </c>
      <c r="J187" s="0" t="s">
        <v>67</v>
      </c>
      <c r="K187" s="9" t="n">
        <v>0.0406</v>
      </c>
    </row>
    <row r="188" customFormat="false" ht="13.8" hidden="false" customHeight="false" outlineLevel="0" collapsed="false">
      <c r="A188" s="0" t="s">
        <v>794</v>
      </c>
      <c r="B188" s="0" t="n">
        <v>1</v>
      </c>
      <c r="D188" s="0" t="s">
        <v>802</v>
      </c>
      <c r="E188" s="0" t="s">
        <v>803</v>
      </c>
      <c r="F188" s="0" t="s">
        <v>40</v>
      </c>
      <c r="G188" s="0" t="n">
        <v>1</v>
      </c>
      <c r="H188" s="0" t="s">
        <v>66</v>
      </c>
      <c r="J188" s="0" t="s">
        <v>67</v>
      </c>
      <c r="K188" s="9" t="n">
        <v>0.0246</v>
      </c>
    </row>
    <row r="189" customFormat="false" ht="13.8" hidden="false" customHeight="false" outlineLevel="0" collapsed="false">
      <c r="A189" s="0" t="s">
        <v>804</v>
      </c>
      <c r="B189" s="0" t="n">
        <v>1</v>
      </c>
      <c r="D189" s="0" t="s">
        <v>16</v>
      </c>
      <c r="E189" s="0" t="s">
        <v>17</v>
      </c>
      <c r="F189" s="0" t="s">
        <v>116</v>
      </c>
      <c r="G189" s="0" t="n">
        <v>1</v>
      </c>
      <c r="H189" s="0" t="s">
        <v>458</v>
      </c>
      <c r="J189" s="0" t="s">
        <v>40</v>
      </c>
      <c r="K189" s="0" t="str">
        <f aca="false">"6.16 %"</f>
        <v>6.16 %</v>
      </c>
      <c r="O189" s="0" t="s">
        <v>805</v>
      </c>
    </row>
    <row r="190" customFormat="false" ht="13.8" hidden="false" customHeight="false" outlineLevel="0" collapsed="false">
      <c r="A190" s="0" t="s">
        <v>806</v>
      </c>
      <c r="B190" s="0" t="n">
        <v>1</v>
      </c>
      <c r="D190" s="0" t="s">
        <v>16</v>
      </c>
      <c r="E190" s="0" t="s">
        <v>17</v>
      </c>
      <c r="F190" s="0" t="s">
        <v>116</v>
      </c>
      <c r="G190" s="0" t="n">
        <v>1</v>
      </c>
      <c r="H190" s="0" t="s">
        <v>33</v>
      </c>
      <c r="J190" s="0" t="s">
        <v>34</v>
      </c>
      <c r="K190" s="0" t="str">
        <f aca="false">"2.22 %"</f>
        <v>2.22 %</v>
      </c>
      <c r="L190" s="0" t="str">
        <f aca="false">"0.78 V"</f>
        <v>0.78 V</v>
      </c>
      <c r="O190" s="0" t="s">
        <v>807</v>
      </c>
    </row>
    <row r="191" customFormat="false" ht="13.8" hidden="false" customHeight="false" outlineLevel="0" collapsed="false">
      <c r="A191" s="0" t="s">
        <v>808</v>
      </c>
      <c r="B191" s="0" t="n">
        <v>1</v>
      </c>
      <c r="D191" s="0" t="s">
        <v>85</v>
      </c>
      <c r="E191" s="0" t="s">
        <v>86</v>
      </c>
      <c r="F191" s="0" t="s">
        <v>87</v>
      </c>
      <c r="G191" s="0" t="n">
        <v>1</v>
      </c>
      <c r="H191" s="0" t="s">
        <v>27</v>
      </c>
      <c r="J191" s="0" t="s">
        <v>28</v>
      </c>
      <c r="K191" s="0" t="str">
        <f aca="false">"9.34 %"</f>
        <v>9.34 %</v>
      </c>
      <c r="O191" s="0" t="s">
        <v>809</v>
      </c>
    </row>
    <row r="192" customFormat="false" ht="13.8" hidden="false" customHeight="false" outlineLevel="0" collapsed="false">
      <c r="A192" s="0" t="s">
        <v>810</v>
      </c>
      <c r="B192" s="0" t="n">
        <v>1</v>
      </c>
      <c r="D192" s="0" t="s">
        <v>811</v>
      </c>
      <c r="E192" s="0" t="s">
        <v>812</v>
      </c>
      <c r="F192" s="0" t="s">
        <v>813</v>
      </c>
      <c r="G192" s="0" t="n">
        <v>1</v>
      </c>
      <c r="H192" s="0" t="s">
        <v>66</v>
      </c>
      <c r="J192" s="0" t="s">
        <v>67</v>
      </c>
      <c r="K192" s="0" t="str">
        <f aca="false">"3.51 %"</f>
        <v>3.51 %</v>
      </c>
      <c r="L192" s="0" t="str">
        <f aca="false">"0.69 V"</f>
        <v>0.69 V</v>
      </c>
      <c r="M192" s="0" t="str">
        <f aca="false">"8.96 mA cm^{-2}"</f>
        <v>8.96 mA cm^{-2}</v>
      </c>
      <c r="N192" s="0" t="str">
        <f aca="false">"0.568"</f>
        <v>0.568</v>
      </c>
      <c r="O192" s="0" t="s">
        <v>814</v>
      </c>
    </row>
    <row r="193" customFormat="false" ht="13.8" hidden="false" customHeight="false" outlineLevel="0" collapsed="false">
      <c r="A193" s="0" t="s">
        <v>815</v>
      </c>
      <c r="D193" s="0" t="s">
        <v>816</v>
      </c>
      <c r="F193" s="0" t="s">
        <v>40</v>
      </c>
      <c r="G193" s="0" t="n">
        <v>1</v>
      </c>
      <c r="H193" s="0" t="s">
        <v>195</v>
      </c>
      <c r="J193" s="0" t="s">
        <v>40</v>
      </c>
      <c r="K193" s="0" t="str">
        <f aca="false">"2.63 %"</f>
        <v>2.63 %</v>
      </c>
      <c r="O193" s="0" t="s">
        <v>817</v>
      </c>
    </row>
    <row r="194" customFormat="false" ht="13.8" hidden="false" customHeight="false" outlineLevel="0" collapsed="false">
      <c r="A194" s="0" t="s">
        <v>815</v>
      </c>
      <c r="D194" s="0" t="s">
        <v>818</v>
      </c>
      <c r="G194" s="0" t="n">
        <v>1</v>
      </c>
      <c r="H194" s="0" t="s">
        <v>195</v>
      </c>
    </row>
    <row r="195" customFormat="false" ht="13.8" hidden="false" customHeight="false" outlineLevel="0" collapsed="false">
      <c r="A195" s="0" t="s">
        <v>819</v>
      </c>
      <c r="D195" s="0" t="s">
        <v>820</v>
      </c>
      <c r="F195" s="0" t="s">
        <v>821</v>
      </c>
      <c r="G195" s="0" t="n">
        <v>1</v>
      </c>
      <c r="H195" s="0" t="s">
        <v>66</v>
      </c>
      <c r="J195" s="0" t="s">
        <v>67</v>
      </c>
      <c r="K195" s="0" t="str">
        <f aca="false">"2.41 %"</f>
        <v>2.41 %</v>
      </c>
      <c r="O195" s="0" t="s">
        <v>822</v>
      </c>
    </row>
    <row r="196" customFormat="false" ht="13.8" hidden="false" customHeight="false" outlineLevel="0" collapsed="false">
      <c r="A196" s="0" t="s">
        <v>823</v>
      </c>
      <c r="D196" s="0" t="s">
        <v>824</v>
      </c>
      <c r="F196" s="0" t="s">
        <v>825</v>
      </c>
      <c r="G196" s="0" t="n">
        <v>0</v>
      </c>
      <c r="H196" s="0" t="s">
        <v>163</v>
      </c>
      <c r="J196" s="0" t="s">
        <v>40</v>
      </c>
      <c r="K196" s="0" t="str">
        <f aca="false">"6.48 %"</f>
        <v>6.48 %</v>
      </c>
      <c r="O196" s="0" t="s">
        <v>826</v>
      </c>
    </row>
    <row r="197" customFormat="false" ht="13.8" hidden="false" customHeight="false" outlineLevel="0" collapsed="false">
      <c r="A197" s="0" t="s">
        <v>827</v>
      </c>
      <c r="D197" s="0" t="s">
        <v>828</v>
      </c>
      <c r="E197" s="0" t="s">
        <v>829</v>
      </c>
      <c r="F197" s="0" t="s">
        <v>830</v>
      </c>
      <c r="G197" s="0" t="n">
        <v>0</v>
      </c>
      <c r="H197" s="0" t="s">
        <v>831</v>
      </c>
      <c r="J197" s="0" t="s">
        <v>832</v>
      </c>
      <c r="K197" s="0" t="str">
        <f aca="false">"4.47 %"</f>
        <v>4.47 %</v>
      </c>
      <c r="O197" s="0" t="s">
        <v>833</v>
      </c>
    </row>
    <row r="198" customFormat="false" ht="13.8" hidden="false" customHeight="false" outlineLevel="0" collapsed="false">
      <c r="A198" s="0" t="s">
        <v>827</v>
      </c>
      <c r="D198" s="0" t="s">
        <v>828</v>
      </c>
      <c r="E198" s="0" t="s">
        <v>829</v>
      </c>
      <c r="F198" s="0" t="s">
        <v>830</v>
      </c>
      <c r="G198" s="0" t="n">
        <v>0</v>
      </c>
      <c r="H198" s="0" t="s">
        <v>834</v>
      </c>
      <c r="J198" s="0" t="s">
        <v>835</v>
      </c>
      <c r="K198" s="0" t="str">
        <f aca="false">"2.70 %"</f>
        <v>2.70 %</v>
      </c>
      <c r="O198" s="0" t="s">
        <v>836</v>
      </c>
    </row>
    <row r="199" customFormat="false" ht="13.8" hidden="false" customHeight="false" outlineLevel="0" collapsed="false">
      <c r="A199" s="0" t="s">
        <v>837</v>
      </c>
      <c r="D199" s="0" t="s">
        <v>838</v>
      </c>
      <c r="F199" s="0" t="s">
        <v>839</v>
      </c>
      <c r="G199" s="0" t="n">
        <v>0</v>
      </c>
      <c r="H199" s="0" t="s">
        <v>840</v>
      </c>
      <c r="J199" s="0" t="s">
        <v>40</v>
      </c>
      <c r="K199" s="0" t="str">
        <f aca="false">"10.08 %"</f>
        <v>10.08 %</v>
      </c>
      <c r="N199" s="0" t="str">
        <f aca="false">"0.741"</f>
        <v>0.741</v>
      </c>
      <c r="O199" s="0" t="s">
        <v>841</v>
      </c>
    </row>
    <row r="200" customFormat="false" ht="13.8" hidden="false" customHeight="false" outlineLevel="0" collapsed="false">
      <c r="A200" s="0" t="s">
        <v>842</v>
      </c>
      <c r="D200" s="0" t="s">
        <v>843</v>
      </c>
      <c r="E200" s="0" t="s">
        <v>844</v>
      </c>
      <c r="F200" s="0" t="s">
        <v>845</v>
      </c>
      <c r="G200" s="0" t="n">
        <v>1</v>
      </c>
      <c r="H200" s="0" t="s">
        <v>27</v>
      </c>
      <c r="J200" s="0" t="s">
        <v>28</v>
      </c>
      <c r="K200" s="0" t="str">
        <f aca="false">"8.22 %"</f>
        <v>8.22 %</v>
      </c>
      <c r="O200" s="0" t="s">
        <v>846</v>
      </c>
    </row>
    <row r="201" customFormat="false" ht="13.8" hidden="false" customHeight="false" outlineLevel="0" collapsed="false">
      <c r="A201" s="0" t="s">
        <v>847</v>
      </c>
      <c r="D201" s="0" t="s">
        <v>848</v>
      </c>
      <c r="F201" s="0" t="s">
        <v>849</v>
      </c>
      <c r="G201" s="0" t="n">
        <v>1</v>
      </c>
      <c r="H201" s="0" t="s">
        <v>27</v>
      </c>
      <c r="J201" s="0" t="s">
        <v>28</v>
      </c>
      <c r="K201" s="0" t="str">
        <f aca="false">"8.66 %"</f>
        <v>8.66 %</v>
      </c>
      <c r="L201" s="0" t="str">
        <f aca="false">"0.93 V"</f>
        <v>0.93 V</v>
      </c>
      <c r="O201" s="0" t="s">
        <v>850</v>
      </c>
    </row>
    <row r="202" customFormat="false" ht="13.8" hidden="false" customHeight="false" outlineLevel="0" collapsed="false">
      <c r="A202" s="0" t="s">
        <v>851</v>
      </c>
      <c r="D202" s="0" t="s">
        <v>852</v>
      </c>
      <c r="E202" s="0" t="s">
        <v>853</v>
      </c>
      <c r="F202" s="0" t="s">
        <v>854</v>
      </c>
      <c r="G202" s="0" t="n">
        <v>0</v>
      </c>
      <c r="H202" s="0" t="s">
        <v>855</v>
      </c>
      <c r="J202" s="0" t="s">
        <v>40</v>
      </c>
      <c r="K202" s="0" t="str">
        <f aca="false">"9.34 %"</f>
        <v>9.34 %</v>
      </c>
      <c r="O202" s="0" t="s">
        <v>856</v>
      </c>
    </row>
    <row r="203" customFormat="false" ht="13.8" hidden="false" customHeight="false" outlineLevel="0" collapsed="false">
      <c r="A203" s="0" t="s">
        <v>857</v>
      </c>
      <c r="D203" s="0" t="s">
        <v>858</v>
      </c>
      <c r="E203" s="0" t="s">
        <v>859</v>
      </c>
      <c r="F203" s="0" t="s">
        <v>860</v>
      </c>
      <c r="G203" s="0" t="n">
        <v>1</v>
      </c>
      <c r="H203" s="0" t="s">
        <v>66</v>
      </c>
      <c r="J203" s="0" t="s">
        <v>67</v>
      </c>
      <c r="K203" s="0" t="str">
        <f aca="false">"5.37 %"</f>
        <v>5.37 %</v>
      </c>
      <c r="L203" s="0" t="str">
        <f aca="false">"0.90 V"</f>
        <v>0.90 V</v>
      </c>
      <c r="M203" s="0" t="str">
        <f aca="false">"8.94 mA/cm^{2}"</f>
        <v>8.94 mA/cm^{2}</v>
      </c>
      <c r="N203" s="0" t="str">
        <f aca="false">"67 %"</f>
        <v>67 %</v>
      </c>
      <c r="O203" s="0" t="s">
        <v>861</v>
      </c>
    </row>
    <row r="204" customFormat="false" ht="13.8" hidden="false" customHeight="false" outlineLevel="0" collapsed="false">
      <c r="A204" s="0" t="s">
        <v>862</v>
      </c>
      <c r="D204" s="0" t="s">
        <v>863</v>
      </c>
      <c r="F204" s="0" t="s">
        <v>864</v>
      </c>
      <c r="G204" s="0" t="n">
        <v>1</v>
      </c>
      <c r="H204" s="0" t="s">
        <v>27</v>
      </c>
      <c r="J204" s="0" t="s">
        <v>28</v>
      </c>
      <c r="K204" s="0" t="str">
        <f aca="false">"5.85 %"</f>
        <v>5.85 %</v>
      </c>
      <c r="O204" s="0" t="s">
        <v>865</v>
      </c>
    </row>
    <row r="205" customFormat="false" ht="13.8" hidden="false" customHeight="false" outlineLevel="0" collapsed="false">
      <c r="A205" s="0" t="s">
        <v>866</v>
      </c>
      <c r="D205" s="0" t="s">
        <v>867</v>
      </c>
      <c r="F205" s="0" t="s">
        <v>40</v>
      </c>
      <c r="G205" s="0" t="n">
        <v>1</v>
      </c>
      <c r="H205" s="0" t="s">
        <v>27</v>
      </c>
      <c r="J205" s="0" t="s">
        <v>28</v>
      </c>
      <c r="K205" s="0" t="str">
        <f aca="false">"7.45 %"</f>
        <v>7.45 %</v>
      </c>
      <c r="L205" s="0" t="str">
        <f aca="false">"0.95 V"</f>
        <v>0.95 V</v>
      </c>
      <c r="O205" s="0" t="s">
        <v>868</v>
      </c>
    </row>
    <row r="206" customFormat="false" ht="13.8" hidden="false" customHeight="false" outlineLevel="0" collapsed="false">
      <c r="A206" s="0" t="s">
        <v>869</v>
      </c>
      <c r="D206" s="0" t="s">
        <v>870</v>
      </c>
      <c r="F206" s="0" t="s">
        <v>871</v>
      </c>
      <c r="G206" s="0" t="n">
        <v>1</v>
      </c>
      <c r="H206" s="0" t="s">
        <v>27</v>
      </c>
      <c r="J206" s="0" t="s">
        <v>28</v>
      </c>
      <c r="K206" s="0" t="str">
        <f aca="false">"5 %"</f>
        <v>5 %</v>
      </c>
      <c r="O206" s="0" t="s">
        <v>872</v>
      </c>
    </row>
    <row r="207" customFormat="false" ht="13.8" hidden="false" customHeight="false" outlineLevel="0" collapsed="false">
      <c r="A207" s="0" t="s">
        <v>873</v>
      </c>
      <c r="D207" s="0" t="s">
        <v>874</v>
      </c>
      <c r="F207" s="0" t="s">
        <v>875</v>
      </c>
      <c r="G207" s="0" t="n">
        <v>1</v>
      </c>
      <c r="H207" s="0" t="s">
        <v>33</v>
      </c>
      <c r="J207" s="0" t="s">
        <v>34</v>
      </c>
      <c r="K207" s="0" t="str">
        <f aca="false">"3 %"</f>
        <v>3 %</v>
      </c>
      <c r="O207" s="0" t="s">
        <v>876</v>
      </c>
    </row>
    <row r="208" customFormat="false" ht="13.8" hidden="false" customHeight="false" outlineLevel="0" collapsed="false">
      <c r="A208" s="0" t="s">
        <v>877</v>
      </c>
      <c r="D208" s="0" t="s">
        <v>878</v>
      </c>
      <c r="E208" s="0" t="s">
        <v>879</v>
      </c>
      <c r="F208" s="0" t="s">
        <v>880</v>
      </c>
      <c r="G208" s="0" t="n">
        <v>1</v>
      </c>
      <c r="H208" s="0" t="s">
        <v>33</v>
      </c>
      <c r="J208" s="0" t="s">
        <v>34</v>
      </c>
      <c r="K208" s="0" t="str">
        <f aca="false">"0.53 %"</f>
        <v>0.53 %</v>
      </c>
      <c r="O208" s="0" t="s">
        <v>881</v>
      </c>
    </row>
    <row r="209" customFormat="false" ht="13.8" hidden="false" customHeight="false" outlineLevel="0" collapsed="false">
      <c r="A209" s="0" t="s">
        <v>882</v>
      </c>
      <c r="D209" s="0" t="s">
        <v>883</v>
      </c>
      <c r="F209" s="0" t="s">
        <v>40</v>
      </c>
      <c r="G209" s="0" t="n">
        <v>1</v>
      </c>
      <c r="H209" s="0" t="s">
        <v>27</v>
      </c>
      <c r="J209" s="0" t="s">
        <v>28</v>
      </c>
      <c r="M209" s="0" t="str">
        <f aca="false">"6.68 mA/cm^{2}"</f>
        <v>6.68 mA/cm^{2}</v>
      </c>
      <c r="O209" s="0" t="s">
        <v>884</v>
      </c>
    </row>
    <row r="210" customFormat="false" ht="13.8" hidden="false" customHeight="false" outlineLevel="0" collapsed="false">
      <c r="A210" s="0" t="s">
        <v>882</v>
      </c>
      <c r="D210" s="0" t="s">
        <v>124</v>
      </c>
      <c r="F210" s="0" t="s">
        <v>427</v>
      </c>
      <c r="G210" s="0" t="n">
        <v>1</v>
      </c>
      <c r="H210" s="0" t="s">
        <v>27</v>
      </c>
      <c r="J210" s="0" t="s">
        <v>28</v>
      </c>
      <c r="K210" s="0" t="str">
        <f aca="false">"2.6 %"</f>
        <v>2.6 %</v>
      </c>
      <c r="L210" s="0" t="str">
        <f aca="false">"0.77 V"</f>
        <v>0.77 V</v>
      </c>
      <c r="N210" s="0" t="str">
        <f aca="false">"0.51"</f>
        <v>0.51</v>
      </c>
      <c r="O210" s="0" t="s">
        <v>885</v>
      </c>
    </row>
    <row r="211" customFormat="false" ht="13.8" hidden="false" customHeight="false" outlineLevel="0" collapsed="false">
      <c r="A211" s="0" t="s">
        <v>886</v>
      </c>
      <c r="D211" s="0" t="s">
        <v>887</v>
      </c>
      <c r="F211" s="0" t="s">
        <v>888</v>
      </c>
      <c r="G211" s="0" t="n">
        <v>1</v>
      </c>
      <c r="H211" s="0" t="s">
        <v>27</v>
      </c>
      <c r="J211" s="0" t="s">
        <v>28</v>
      </c>
      <c r="K211" s="0" t="str">
        <f aca="false">"3.18 %"</f>
        <v>3.18 %</v>
      </c>
      <c r="O211" s="0" t="s">
        <v>889</v>
      </c>
    </row>
    <row r="212" customFormat="false" ht="13.8" hidden="false" customHeight="false" outlineLevel="0" collapsed="false">
      <c r="A212" s="0" t="s">
        <v>886</v>
      </c>
      <c r="D212" s="0" t="s">
        <v>890</v>
      </c>
      <c r="F212" s="0" t="s">
        <v>40</v>
      </c>
      <c r="G212" s="0" t="n">
        <v>1</v>
      </c>
      <c r="H212" s="0" t="s">
        <v>27</v>
      </c>
      <c r="J212" s="0" t="s">
        <v>28</v>
      </c>
      <c r="K212" s="0" t="str">
        <f aca="false">"3.54 %"</f>
        <v>3.54 %</v>
      </c>
      <c r="O212" s="0" t="s">
        <v>891</v>
      </c>
    </row>
    <row r="213" customFormat="false" ht="13.8" hidden="false" customHeight="false" outlineLevel="0" collapsed="false">
      <c r="A213" s="0" t="s">
        <v>892</v>
      </c>
      <c r="B213" s="0" t="n">
        <v>1</v>
      </c>
      <c r="D213" s="0" t="s">
        <v>208</v>
      </c>
      <c r="E213" s="0" t="s">
        <v>17</v>
      </c>
      <c r="F213" s="0" t="s">
        <v>18</v>
      </c>
      <c r="G213" s="0" t="n">
        <v>1</v>
      </c>
      <c r="H213" s="0" t="s">
        <v>33</v>
      </c>
      <c r="J213" s="0" t="s">
        <v>343</v>
      </c>
      <c r="K213" s="0" t="str">
        <f aca="false">"4.63 %"</f>
        <v>4.63 %</v>
      </c>
      <c r="O213" s="0" t="s">
        <v>893</v>
      </c>
    </row>
    <row r="214" customFormat="false" ht="13.8" hidden="false" customHeight="false" outlineLevel="0" collapsed="false">
      <c r="A214" s="0" t="s">
        <v>894</v>
      </c>
      <c r="D214" s="0" t="s">
        <v>895</v>
      </c>
      <c r="F214" s="0" t="s">
        <v>896</v>
      </c>
      <c r="G214" s="0" t="n">
        <v>1</v>
      </c>
      <c r="H214" s="0" t="s">
        <v>27</v>
      </c>
      <c r="J214" s="0" t="s">
        <v>40</v>
      </c>
      <c r="K214" s="0" t="str">
        <f aca="false">"3.43 %"</f>
        <v>3.43 %</v>
      </c>
      <c r="L214" s="0" t="str">
        <f aca="false">"0.80 V"</f>
        <v>0.80 V</v>
      </c>
      <c r="M214" s="0" t="str">
        <f aca="false">"9.20 mA cm^{-2}"</f>
        <v>9.20 mA cm^{-2}</v>
      </c>
      <c r="O214" s="0" t="s">
        <v>897</v>
      </c>
    </row>
    <row r="215" customFormat="false" ht="13.8" hidden="false" customHeight="false" outlineLevel="0" collapsed="false">
      <c r="A215" s="0" t="s">
        <v>898</v>
      </c>
      <c r="D215" s="0" t="s">
        <v>16</v>
      </c>
      <c r="E215" s="0" t="s">
        <v>17</v>
      </c>
      <c r="F215" s="0" t="s">
        <v>18</v>
      </c>
      <c r="G215" s="0" t="n">
        <v>1</v>
      </c>
      <c r="H215" s="0" t="s">
        <v>33</v>
      </c>
      <c r="J215" s="0" t="s">
        <v>40</v>
      </c>
      <c r="L215" s="0" t="str">
        <f aca="false">"1.14 V"</f>
        <v>1.14 V</v>
      </c>
      <c r="O215" s="0" t="s">
        <v>899</v>
      </c>
    </row>
    <row r="216" customFormat="false" ht="13.8" hidden="false" customHeight="false" outlineLevel="0" collapsed="false">
      <c r="A216" s="0" t="s">
        <v>898</v>
      </c>
      <c r="D216" s="0" t="s">
        <v>510</v>
      </c>
      <c r="E216" s="0" t="s">
        <v>511</v>
      </c>
      <c r="F216" s="0" t="s">
        <v>900</v>
      </c>
      <c r="G216" s="0" t="n">
        <v>1</v>
      </c>
      <c r="H216" s="0" t="s">
        <v>33</v>
      </c>
      <c r="J216" s="0" t="s">
        <v>40</v>
      </c>
      <c r="L216" s="0" t="str">
        <f aca="false">"0.76 V"</f>
        <v>0.76 V</v>
      </c>
      <c r="O216" s="0" t="s">
        <v>901</v>
      </c>
    </row>
    <row r="217" customFormat="false" ht="13.8" hidden="false" customHeight="false" outlineLevel="0" collapsed="false">
      <c r="A217" s="0" t="s">
        <v>902</v>
      </c>
      <c r="D217" s="0" t="s">
        <v>208</v>
      </c>
      <c r="E217" s="0" t="s">
        <v>17</v>
      </c>
      <c r="F217" s="0" t="s">
        <v>18</v>
      </c>
      <c r="G217" s="0" t="n">
        <v>1</v>
      </c>
      <c r="H217" s="0" t="s">
        <v>117</v>
      </c>
      <c r="J217" s="0" t="s">
        <v>40</v>
      </c>
      <c r="K217" s="0" t="str">
        <f aca="false">"6.43 %"</f>
        <v>6.43 %</v>
      </c>
      <c r="O217" s="0" t="s">
        <v>903</v>
      </c>
    </row>
    <row r="218" customFormat="false" ht="13.8" hidden="false" customHeight="false" outlineLevel="0" collapsed="false">
      <c r="A218" s="0" t="s">
        <v>904</v>
      </c>
      <c r="D218" s="0" t="s">
        <v>63</v>
      </c>
      <c r="E218" s="0" t="s">
        <v>64</v>
      </c>
      <c r="F218" s="0" t="s">
        <v>65</v>
      </c>
      <c r="G218" s="0" t="n">
        <v>1</v>
      </c>
      <c r="H218" s="0" t="s">
        <v>27</v>
      </c>
      <c r="J218" s="0" t="s">
        <v>28</v>
      </c>
      <c r="K218" s="0" t="str">
        <f aca="false">"8.01 %"</f>
        <v>8.01 %</v>
      </c>
      <c r="O218" s="0" t="s">
        <v>905</v>
      </c>
    </row>
    <row r="219" customFormat="false" ht="13.8" hidden="false" customHeight="false" outlineLevel="0" collapsed="false">
      <c r="A219" s="0" t="s">
        <v>906</v>
      </c>
      <c r="D219" s="0" t="s">
        <v>907</v>
      </c>
      <c r="F219" s="0" t="s">
        <v>908</v>
      </c>
      <c r="G219" s="0" t="n">
        <v>1</v>
      </c>
      <c r="H219" s="0" t="s">
        <v>33</v>
      </c>
      <c r="J219" s="0" t="s">
        <v>34</v>
      </c>
      <c r="K219" s="0" t="str">
        <f aca="false">"6.2 %"</f>
        <v>6.2 %</v>
      </c>
      <c r="O219" s="0" t="s">
        <v>909</v>
      </c>
    </row>
    <row r="220" customFormat="false" ht="13.8" hidden="false" customHeight="false" outlineLevel="0" collapsed="false">
      <c r="A220" s="0" t="s">
        <v>910</v>
      </c>
      <c r="D220" s="0" t="s">
        <v>911</v>
      </c>
      <c r="F220" s="0" t="s">
        <v>912</v>
      </c>
      <c r="G220" s="0" t="n">
        <v>1</v>
      </c>
      <c r="H220" s="0" t="s">
        <v>27</v>
      </c>
      <c r="J220" s="0" t="s">
        <v>28</v>
      </c>
      <c r="K220" s="0" t="str">
        <f aca="false">"6.86 %"</f>
        <v>6.86 %</v>
      </c>
      <c r="L220" s="0" t="str">
        <f aca="false">"0.87 V"</f>
        <v>0.87 V</v>
      </c>
      <c r="N220" s="0" t="str">
        <f aca="false">"71.85 %"</f>
        <v>71.85 %</v>
      </c>
      <c r="O220" s="0" t="s">
        <v>913</v>
      </c>
    </row>
    <row r="221" customFormat="false" ht="13.8" hidden="false" customHeight="false" outlineLevel="0" collapsed="false">
      <c r="A221" s="0" t="s">
        <v>910</v>
      </c>
      <c r="D221" s="0" t="s">
        <v>914</v>
      </c>
      <c r="F221" s="0" t="s">
        <v>915</v>
      </c>
      <c r="G221" s="0" t="n">
        <v>1</v>
      </c>
      <c r="H221" s="0" t="s">
        <v>27</v>
      </c>
      <c r="J221" s="0" t="s">
        <v>28</v>
      </c>
      <c r="K221" s="0" t="str">
        <f aca="false">"5.84 %"</f>
        <v>5.84 %</v>
      </c>
      <c r="M221" s="0" t="str">
        <f aca="false">"10.97 mA/cm^{2}"</f>
        <v>10.97 mA/cm^{2}</v>
      </c>
      <c r="O221" s="0" t="s">
        <v>916</v>
      </c>
    </row>
    <row r="222" customFormat="false" ht="13.8" hidden="false" customHeight="false" outlineLevel="0" collapsed="false">
      <c r="A222" s="0" t="s">
        <v>917</v>
      </c>
      <c r="D222" s="0" t="s">
        <v>16</v>
      </c>
      <c r="E222" s="0" t="s">
        <v>17</v>
      </c>
      <c r="F222" s="0" t="s">
        <v>116</v>
      </c>
      <c r="G222" s="0" t="n">
        <v>1</v>
      </c>
      <c r="H222" s="0" t="s">
        <v>76</v>
      </c>
      <c r="J222" s="0" t="s">
        <v>77</v>
      </c>
      <c r="K222" s="0" t="str">
        <f aca="false">"3.75 %"</f>
        <v>3.75 %</v>
      </c>
      <c r="O222" s="0" t="s">
        <v>918</v>
      </c>
    </row>
    <row r="223" customFormat="false" ht="13.8" hidden="false" customHeight="false" outlineLevel="0" collapsed="false">
      <c r="A223" s="0" t="s">
        <v>919</v>
      </c>
      <c r="D223" s="0" t="s">
        <v>920</v>
      </c>
      <c r="F223" s="0" t="s">
        <v>921</v>
      </c>
      <c r="G223" s="0" t="n">
        <v>1</v>
      </c>
      <c r="H223" s="0" t="s">
        <v>27</v>
      </c>
      <c r="J223" s="0" t="s">
        <v>28</v>
      </c>
      <c r="K223" s="0" t="str">
        <f aca="false">"2.48 %"</f>
        <v>2.48 %</v>
      </c>
      <c r="L223" s="0" t="str">
        <f aca="false">"0.91 V"</f>
        <v>0.91 V</v>
      </c>
      <c r="N223" s="0" t="str">
        <f aca="false">"41 %"</f>
        <v>41 %</v>
      </c>
      <c r="O223" s="0" t="s">
        <v>922</v>
      </c>
    </row>
    <row r="224" customFormat="false" ht="13.8" hidden="false" customHeight="false" outlineLevel="0" collapsed="false">
      <c r="A224" s="0" t="s">
        <v>923</v>
      </c>
      <c r="D224" s="0" t="s">
        <v>924</v>
      </c>
      <c r="E224" s="0" t="s">
        <v>925</v>
      </c>
      <c r="F224" s="0" t="s">
        <v>926</v>
      </c>
      <c r="G224" s="0" t="n">
        <v>0</v>
      </c>
      <c r="H224" s="0" t="s">
        <v>927</v>
      </c>
      <c r="J224" s="0" t="s">
        <v>928</v>
      </c>
      <c r="K224" s="0" t="str">
        <f aca="false">"2 %"</f>
        <v>2 %</v>
      </c>
      <c r="O224" s="0" t="s">
        <v>929</v>
      </c>
    </row>
    <row r="225" customFormat="false" ht="13.8" hidden="false" customHeight="false" outlineLevel="0" collapsed="false">
      <c r="A225" s="0" t="s">
        <v>930</v>
      </c>
      <c r="D225" s="0" t="s">
        <v>931</v>
      </c>
      <c r="E225" s="0" t="s">
        <v>222</v>
      </c>
      <c r="F225" s="0" t="s">
        <v>932</v>
      </c>
      <c r="G225" s="0" t="n">
        <v>0</v>
      </c>
      <c r="H225" s="0" t="s">
        <v>933</v>
      </c>
      <c r="J225" s="0" t="s">
        <v>934</v>
      </c>
      <c r="K225" s="0" t="str">
        <f aca="false">"5.28 %"</f>
        <v>5.28 %</v>
      </c>
      <c r="O225" s="0" t="s">
        <v>935</v>
      </c>
    </row>
    <row r="226" customFormat="false" ht="13.8" hidden="false" customHeight="false" outlineLevel="0" collapsed="false">
      <c r="A226" s="0" t="s">
        <v>936</v>
      </c>
      <c r="D226" s="0" t="s">
        <v>937</v>
      </c>
      <c r="E226" s="0" t="s">
        <v>938</v>
      </c>
      <c r="F226" s="0" t="s">
        <v>939</v>
      </c>
      <c r="G226" s="0" t="n">
        <v>1</v>
      </c>
      <c r="H226" s="0" t="s">
        <v>76</v>
      </c>
      <c r="J226" s="0" t="s">
        <v>77</v>
      </c>
      <c r="K226" s="0" t="str">
        <f aca="false">"1.11 %"</f>
        <v>1.11 %</v>
      </c>
      <c r="L226" s="0" t="str">
        <f aca="false">"0.79 V"</f>
        <v>0.79 V</v>
      </c>
      <c r="O226" s="0" t="s">
        <v>940</v>
      </c>
    </row>
    <row r="227" customFormat="false" ht="13.8" hidden="false" customHeight="false" outlineLevel="0" collapsed="false">
      <c r="A227" s="0" t="s">
        <v>941</v>
      </c>
      <c r="D227" s="0" t="s">
        <v>16</v>
      </c>
      <c r="E227" s="0" t="s">
        <v>17</v>
      </c>
      <c r="F227" s="0" t="s">
        <v>116</v>
      </c>
      <c r="G227" s="0" t="n">
        <v>1</v>
      </c>
      <c r="H227" s="0" t="s">
        <v>33</v>
      </c>
      <c r="J227" s="0" t="s">
        <v>34</v>
      </c>
      <c r="K227" s="0" t="str">
        <f aca="false">"3.01 %"</f>
        <v>3.01 %</v>
      </c>
      <c r="O227" s="0" t="s">
        <v>942</v>
      </c>
    </row>
    <row r="228" customFormat="false" ht="13.8" hidden="false" customHeight="false" outlineLevel="0" collapsed="false">
      <c r="A228" s="0" t="s">
        <v>941</v>
      </c>
      <c r="D228" s="0" t="s">
        <v>85</v>
      </c>
      <c r="E228" s="0" t="s">
        <v>86</v>
      </c>
      <c r="F228" s="0" t="s">
        <v>87</v>
      </c>
      <c r="G228" s="0" t="n">
        <v>1</v>
      </c>
      <c r="H228" s="0" t="s">
        <v>33</v>
      </c>
      <c r="J228" s="0" t="s">
        <v>34</v>
      </c>
      <c r="K228" s="0" t="str">
        <f aca="false">"8.03 %"</f>
        <v>8.03 %</v>
      </c>
      <c r="O228" s="0" t="s">
        <v>943</v>
      </c>
    </row>
    <row r="229" customFormat="false" ht="13.8" hidden="false" customHeight="false" outlineLevel="0" collapsed="false">
      <c r="A229" s="0" t="s">
        <v>944</v>
      </c>
      <c r="D229" s="0" t="s">
        <v>945</v>
      </c>
      <c r="F229" s="0" t="s">
        <v>40</v>
      </c>
      <c r="G229" s="0" t="n">
        <v>1</v>
      </c>
      <c r="H229" s="0" t="s">
        <v>76</v>
      </c>
      <c r="J229" s="0" t="s">
        <v>77</v>
      </c>
      <c r="K229" s="0" t="str">
        <f aca="false">"7.13 %"</f>
        <v>7.13 %</v>
      </c>
      <c r="O229" s="0" t="s">
        <v>946</v>
      </c>
    </row>
    <row r="230" customFormat="false" ht="13.8" hidden="false" customHeight="false" outlineLevel="0" collapsed="false">
      <c r="A230" s="0" t="s">
        <v>947</v>
      </c>
      <c r="D230" s="0" t="s">
        <v>201</v>
      </c>
      <c r="E230" s="0" t="s">
        <v>202</v>
      </c>
      <c r="F230" s="0" t="s">
        <v>422</v>
      </c>
      <c r="G230" s="0" t="n">
        <v>0</v>
      </c>
      <c r="H230" s="0" t="s">
        <v>948</v>
      </c>
      <c r="J230" s="0" t="s">
        <v>949</v>
      </c>
      <c r="K230" s="0" t="str">
        <f aca="false">"3.35 %"</f>
        <v>3.35 %</v>
      </c>
      <c r="O230" s="0" t="s">
        <v>950</v>
      </c>
    </row>
    <row r="231" customFormat="false" ht="13.8" hidden="false" customHeight="false" outlineLevel="0" collapsed="false">
      <c r="A231" s="0" t="s">
        <v>947</v>
      </c>
      <c r="D231" s="0" t="s">
        <v>201</v>
      </c>
      <c r="E231" s="0" t="s">
        <v>202</v>
      </c>
      <c r="F231" s="0" t="s">
        <v>422</v>
      </c>
      <c r="G231" s="0" t="n">
        <v>0</v>
      </c>
      <c r="H231" s="0" t="s">
        <v>951</v>
      </c>
      <c r="J231" s="0" t="s">
        <v>952</v>
      </c>
      <c r="K231" s="0" t="str">
        <f aca="false">"8.16 %"</f>
        <v>8.16 %</v>
      </c>
      <c r="O231" s="0" t="s">
        <v>953</v>
      </c>
    </row>
    <row r="232" customFormat="false" ht="13.8" hidden="false" customHeight="false" outlineLevel="0" collapsed="false">
      <c r="A232" s="0" t="s">
        <v>954</v>
      </c>
      <c r="D232" s="0" t="s">
        <v>208</v>
      </c>
      <c r="E232" s="0" t="s">
        <v>17</v>
      </c>
      <c r="F232" s="0" t="s">
        <v>209</v>
      </c>
      <c r="G232" s="0" t="n">
        <v>0</v>
      </c>
      <c r="H232" s="0" t="s">
        <v>955</v>
      </c>
      <c r="J232" s="0" t="s">
        <v>40</v>
      </c>
      <c r="K232" s="0" t="str">
        <f aca="false">"0.32 %"</f>
        <v>0.32 %</v>
      </c>
      <c r="L232" s="0" t="str">
        <f aca="false">"0.6 V"</f>
        <v>0.6 V</v>
      </c>
      <c r="O232" s="0" t="s">
        <v>956</v>
      </c>
    </row>
    <row r="233" customFormat="false" ht="13.8" hidden="false" customHeight="false" outlineLevel="0" collapsed="false">
      <c r="A233" s="0" t="s">
        <v>957</v>
      </c>
      <c r="D233" s="0" t="s">
        <v>958</v>
      </c>
      <c r="F233" s="0" t="s">
        <v>959</v>
      </c>
      <c r="G233" s="0" t="n">
        <v>1</v>
      </c>
      <c r="H233" s="0" t="s">
        <v>27</v>
      </c>
      <c r="J233" s="0" t="s">
        <v>40</v>
      </c>
      <c r="K233" s="0" t="str">
        <f aca="false">"5.0 %"</f>
        <v>5.0 %</v>
      </c>
      <c r="O233" s="0" t="s">
        <v>960</v>
      </c>
    </row>
    <row r="234" customFormat="false" ht="13.8" hidden="false" customHeight="false" outlineLevel="0" collapsed="false">
      <c r="A234" s="0" t="s">
        <v>961</v>
      </c>
      <c r="D234" s="0" t="s">
        <v>962</v>
      </c>
      <c r="E234" s="0" t="s">
        <v>963</v>
      </c>
      <c r="F234" s="0" t="s">
        <v>964</v>
      </c>
      <c r="G234" s="0" t="n">
        <v>0</v>
      </c>
      <c r="H234" s="0" t="s">
        <v>965</v>
      </c>
      <c r="J234" s="0" t="s">
        <v>966</v>
      </c>
      <c r="K234" s="0" t="str">
        <f aca="false">"9.54 %"</f>
        <v>9.54 %</v>
      </c>
      <c r="M234" s="0" t="str">
        <f aca="false">"15.74 mA cm^{-2}"</f>
        <v>15.74 mA cm^{-2}</v>
      </c>
      <c r="N234" s="0" t="str">
        <f aca="false">"71.27 %"</f>
        <v>71.27 %</v>
      </c>
      <c r="O234" s="0" t="s">
        <v>967</v>
      </c>
    </row>
    <row r="235" customFormat="false" ht="13.8" hidden="false" customHeight="false" outlineLevel="0" collapsed="false">
      <c r="A235" s="0" t="s">
        <v>968</v>
      </c>
      <c r="D235" s="0" t="s">
        <v>969</v>
      </c>
      <c r="F235" s="0" t="s">
        <v>970</v>
      </c>
      <c r="G235" s="0" t="n">
        <v>1</v>
      </c>
      <c r="H235" s="0" t="s">
        <v>27</v>
      </c>
      <c r="J235" s="0" t="s">
        <v>28</v>
      </c>
      <c r="K235" s="0" t="str">
        <f aca="false">"2.73 %"</f>
        <v>2.73 %</v>
      </c>
      <c r="O235" s="0" t="s">
        <v>971</v>
      </c>
    </row>
    <row r="236" customFormat="false" ht="13.8" hidden="false" customHeight="false" outlineLevel="0" collapsed="false">
      <c r="A236" s="0" t="s">
        <v>972</v>
      </c>
      <c r="D236" s="0" t="s">
        <v>973</v>
      </c>
      <c r="F236" s="0" t="s">
        <v>974</v>
      </c>
      <c r="G236" s="0" t="n">
        <v>1</v>
      </c>
      <c r="H236" s="0" t="s">
        <v>27</v>
      </c>
      <c r="J236" s="0" t="s">
        <v>40</v>
      </c>
      <c r="K236" s="0" t="str">
        <f aca="false">"8.0 %"</f>
        <v>8.0 %</v>
      </c>
      <c r="L236" s="0" t="str">
        <f aca="false">"1.1 V"</f>
        <v>1.1 V</v>
      </c>
      <c r="O236" s="0" t="s">
        <v>975</v>
      </c>
    </row>
    <row r="237" customFormat="false" ht="13.8" hidden="false" customHeight="false" outlineLevel="0" collapsed="false">
      <c r="A237" s="0" t="s">
        <v>976</v>
      </c>
      <c r="D237" s="0" t="s">
        <v>977</v>
      </c>
      <c r="E237" s="0" t="s">
        <v>978</v>
      </c>
      <c r="F237" s="0" t="s">
        <v>979</v>
      </c>
      <c r="G237" s="0" t="n">
        <v>1</v>
      </c>
      <c r="H237" s="0" t="s">
        <v>27</v>
      </c>
      <c r="J237" s="0" t="s">
        <v>28</v>
      </c>
      <c r="K237" s="0" t="str">
        <f aca="false">"9.18 %"</f>
        <v>9.18 %</v>
      </c>
      <c r="O237" s="0" t="s">
        <v>980</v>
      </c>
    </row>
    <row r="238" customFormat="false" ht="13.8" hidden="false" customHeight="false" outlineLevel="0" collapsed="false">
      <c r="A238" s="0" t="s">
        <v>981</v>
      </c>
      <c r="D238" s="0" t="s">
        <v>982</v>
      </c>
      <c r="F238" s="0" t="s">
        <v>983</v>
      </c>
      <c r="G238" s="0" t="n">
        <v>0</v>
      </c>
      <c r="H238" s="0" t="s">
        <v>984</v>
      </c>
      <c r="J238" s="0" t="s">
        <v>985</v>
      </c>
      <c r="K238" s="0" t="str">
        <f aca="false">"8.28 %"</f>
        <v>8.28 %</v>
      </c>
      <c r="O238" s="0" t="s">
        <v>986</v>
      </c>
    </row>
    <row r="239" customFormat="false" ht="13.8" hidden="false" customHeight="false" outlineLevel="0" collapsed="false">
      <c r="A239" s="0" t="s">
        <v>987</v>
      </c>
      <c r="D239" s="0" t="s">
        <v>201</v>
      </c>
      <c r="E239" s="0" t="s">
        <v>202</v>
      </c>
      <c r="F239" s="0" t="s">
        <v>422</v>
      </c>
      <c r="G239" s="0" t="n">
        <v>0</v>
      </c>
      <c r="H239" s="0" t="s">
        <v>988</v>
      </c>
      <c r="J239" s="0" t="s">
        <v>989</v>
      </c>
      <c r="K239" s="0" t="str">
        <f aca="false">"~4.8 %"</f>
        <v>~4.8 %</v>
      </c>
      <c r="O239" s="0" t="s">
        <v>990</v>
      </c>
    </row>
    <row r="240" customFormat="false" ht="13.8" hidden="false" customHeight="false" outlineLevel="0" collapsed="false">
      <c r="A240" s="0" t="s">
        <v>991</v>
      </c>
      <c r="D240" s="0" t="s">
        <v>201</v>
      </c>
      <c r="E240" s="0" t="s">
        <v>202</v>
      </c>
      <c r="F240" s="0" t="s">
        <v>422</v>
      </c>
      <c r="G240" s="0" t="n">
        <v>1</v>
      </c>
      <c r="H240" s="0" t="s">
        <v>27</v>
      </c>
      <c r="J240" s="0" t="s">
        <v>28</v>
      </c>
      <c r="K240" s="0" t="str">
        <f aca="false">"9.2 %"</f>
        <v>9.2 %</v>
      </c>
      <c r="O240" s="0" t="s">
        <v>992</v>
      </c>
    </row>
    <row r="241" customFormat="false" ht="13.8" hidden="false" customHeight="false" outlineLevel="0" collapsed="false">
      <c r="A241" s="0" t="s">
        <v>993</v>
      </c>
      <c r="D241" s="0" t="s">
        <v>16</v>
      </c>
      <c r="E241" s="0" t="s">
        <v>17</v>
      </c>
      <c r="F241" s="0" t="s">
        <v>18</v>
      </c>
      <c r="G241" s="0" t="n">
        <v>1</v>
      </c>
      <c r="H241" s="0" t="s">
        <v>33</v>
      </c>
      <c r="J241" s="0" t="s">
        <v>34</v>
      </c>
      <c r="K241" s="0" t="str">
        <f aca="false">"3.8 %"</f>
        <v>3.8 %</v>
      </c>
      <c r="O241" s="0" t="s">
        <v>994</v>
      </c>
    </row>
    <row r="242" customFormat="false" ht="13.8" hidden="false" customHeight="false" outlineLevel="0" collapsed="false">
      <c r="A242" s="0" t="s">
        <v>995</v>
      </c>
      <c r="D242" s="0" t="s">
        <v>996</v>
      </c>
      <c r="F242" s="0" t="s">
        <v>997</v>
      </c>
      <c r="G242" s="0" t="n">
        <v>1</v>
      </c>
      <c r="H242" s="0" t="s">
        <v>27</v>
      </c>
      <c r="J242" s="0" t="s">
        <v>28</v>
      </c>
      <c r="K242" s="0" t="str">
        <f aca="false">"&gt; 9.0 %"</f>
        <v>&gt; 9.0 %</v>
      </c>
      <c r="O242" s="0" t="s">
        <v>998</v>
      </c>
    </row>
    <row r="243" customFormat="false" ht="13.8" hidden="false" customHeight="false" outlineLevel="0" collapsed="false">
      <c r="A243" s="0" t="s">
        <v>999</v>
      </c>
      <c r="D243" s="0" t="s">
        <v>1000</v>
      </c>
      <c r="F243" s="0" t="s">
        <v>1001</v>
      </c>
      <c r="G243" s="0" t="n">
        <v>0</v>
      </c>
      <c r="H243" s="0" t="s">
        <v>1002</v>
      </c>
      <c r="J243" s="0" t="s">
        <v>1003</v>
      </c>
      <c r="K243" s="0" t="str">
        <f aca="false">"9.12 %"</f>
        <v>9.12 %</v>
      </c>
      <c r="O243" s="0" t="s">
        <v>1004</v>
      </c>
    </row>
    <row r="244" customFormat="false" ht="13.8" hidden="false" customHeight="false" outlineLevel="0" collapsed="false">
      <c r="A244" s="0" t="s">
        <v>999</v>
      </c>
      <c r="D244" s="0" t="s">
        <v>1002</v>
      </c>
      <c r="F244" s="0" t="s">
        <v>1003</v>
      </c>
      <c r="G244" s="0" t="n">
        <v>0</v>
      </c>
      <c r="J244" s="0" t="s">
        <v>40</v>
      </c>
      <c r="K244" s="0" t="str">
        <f aca="false">"9.12 %"</f>
        <v>9.12 %</v>
      </c>
      <c r="O244" s="0" t="s">
        <v>1005</v>
      </c>
    </row>
    <row r="245" customFormat="false" ht="13.8" hidden="false" customHeight="false" outlineLevel="0" collapsed="false">
      <c r="A245" s="0" t="s">
        <v>1006</v>
      </c>
      <c r="D245" s="0" t="s">
        <v>599</v>
      </c>
      <c r="E245" s="0" t="s">
        <v>600</v>
      </c>
      <c r="F245" s="0" t="s">
        <v>601</v>
      </c>
      <c r="G245" s="0" t="n">
        <v>0</v>
      </c>
      <c r="H245" s="0" t="s">
        <v>1007</v>
      </c>
      <c r="J245" s="0" t="s">
        <v>1008</v>
      </c>
      <c r="K245" s="0" t="str">
        <f aca="false">"9.0 %"</f>
        <v>9.0 %</v>
      </c>
      <c r="M245" s="0" t="str">
        <f aca="false">"15.88 mA cm^{-2}"</f>
        <v>15.88 mA cm^{-2}</v>
      </c>
      <c r="N245" s="0" t="str">
        <f aca="false">"71.91 %"</f>
        <v>71.91 %</v>
      </c>
      <c r="O245" s="0" t="s">
        <v>1009</v>
      </c>
    </row>
    <row r="246" customFormat="false" ht="13.8" hidden="false" customHeight="false" outlineLevel="0" collapsed="false">
      <c r="A246" s="0" t="s">
        <v>1010</v>
      </c>
      <c r="D246" s="0" t="s">
        <v>1011</v>
      </c>
      <c r="E246" s="0" t="s">
        <v>1012</v>
      </c>
      <c r="F246" s="0" t="s">
        <v>1013</v>
      </c>
      <c r="G246" s="0" t="n">
        <v>1</v>
      </c>
      <c r="H246" s="0" t="s">
        <v>66</v>
      </c>
      <c r="J246" s="0" t="s">
        <v>67</v>
      </c>
      <c r="O246" s="0" t="s">
        <v>1014</v>
      </c>
    </row>
    <row r="247" customFormat="false" ht="13.8" hidden="false" customHeight="false" outlineLevel="0" collapsed="false">
      <c r="A247" s="0" t="s">
        <v>1010</v>
      </c>
      <c r="F247" s="0" t="s">
        <v>40</v>
      </c>
      <c r="G247" s="0" t="n">
        <v>1</v>
      </c>
      <c r="H247" s="0" t="s">
        <v>66</v>
      </c>
      <c r="J247" s="0" t="s">
        <v>67</v>
      </c>
      <c r="K247" s="0" t="str">
        <f aca="false">"1.90 %"</f>
        <v>1.90 %</v>
      </c>
      <c r="O247" s="0" t="s">
        <v>1015</v>
      </c>
    </row>
    <row r="248" customFormat="false" ht="13.8" hidden="false" customHeight="false" outlineLevel="0" collapsed="false">
      <c r="A248" s="0" t="s">
        <v>1016</v>
      </c>
      <c r="D248" s="0" t="s">
        <v>208</v>
      </c>
      <c r="E248" s="0" t="s">
        <v>17</v>
      </c>
      <c r="F248" s="0" t="s">
        <v>209</v>
      </c>
      <c r="G248" s="0" t="n">
        <v>1</v>
      </c>
      <c r="H248" s="0" t="s">
        <v>1017</v>
      </c>
      <c r="J248" s="0" t="s">
        <v>40</v>
      </c>
      <c r="K248" s="0" t="str">
        <f aca="false">"3.57 %"</f>
        <v>3.57 %</v>
      </c>
      <c r="L248" s="0" t="str">
        <f aca="false">"0.60 V"</f>
        <v>0.60 V</v>
      </c>
      <c r="M248" s="0" t="str">
        <f aca="false">"9.03 mA cm^{-2}"</f>
        <v>9.03 mA cm^{-2}</v>
      </c>
      <c r="N248" s="0" t="str">
        <f aca="false">"66 %"</f>
        <v>66 %</v>
      </c>
      <c r="O248" s="0" t="s">
        <v>1018</v>
      </c>
    </row>
    <row r="249" customFormat="false" ht="13.8" hidden="false" customHeight="false" outlineLevel="0" collapsed="false">
      <c r="A249" s="0" t="s">
        <v>1019</v>
      </c>
      <c r="D249" s="0" t="s">
        <v>1020</v>
      </c>
      <c r="E249" s="0" t="s">
        <v>64</v>
      </c>
      <c r="F249" s="0" t="s">
        <v>1021</v>
      </c>
      <c r="G249" s="0" t="n">
        <v>1</v>
      </c>
      <c r="H249" s="0" t="s">
        <v>27</v>
      </c>
      <c r="J249" s="0" t="s">
        <v>1022</v>
      </c>
      <c r="K249" s="0" t="str">
        <f aca="false">"3.5 %"</f>
        <v>3.5 %</v>
      </c>
      <c r="O249" s="0" t="s">
        <v>1023</v>
      </c>
    </row>
    <row r="250" customFormat="false" ht="13.8" hidden="false" customHeight="false" outlineLevel="0" collapsed="false">
      <c r="A250" s="0" t="s">
        <v>1019</v>
      </c>
      <c r="F250" s="0" t="s">
        <v>40</v>
      </c>
      <c r="G250" s="0" t="n">
        <v>1</v>
      </c>
      <c r="H250" s="0" t="s">
        <v>27</v>
      </c>
      <c r="J250" s="0" t="s">
        <v>1022</v>
      </c>
      <c r="K250" s="0" t="str">
        <f aca="false">"7.4 %"</f>
        <v>7.4 %</v>
      </c>
      <c r="O250" s="0" t="s">
        <v>1024</v>
      </c>
    </row>
    <row r="251" customFormat="false" ht="13.8" hidden="false" customHeight="false" outlineLevel="0" collapsed="false">
      <c r="A251" s="0" t="s">
        <v>1025</v>
      </c>
      <c r="D251" s="0" t="s">
        <v>16</v>
      </c>
      <c r="E251" s="0" t="s">
        <v>17</v>
      </c>
      <c r="F251" s="0" t="s">
        <v>1026</v>
      </c>
      <c r="G251" s="0" t="n">
        <v>1</v>
      </c>
      <c r="H251" s="0" t="s">
        <v>33</v>
      </c>
      <c r="J251" s="0" t="s">
        <v>34</v>
      </c>
      <c r="K251" s="0" t="str">
        <f aca="false">"4.0 %"</f>
        <v>4.0 %</v>
      </c>
      <c r="O251" s="0" t="s">
        <v>1027</v>
      </c>
    </row>
    <row r="252" customFormat="false" ht="13.8" hidden="false" customHeight="false" outlineLevel="0" collapsed="false">
      <c r="A252" s="0" t="s">
        <v>1028</v>
      </c>
      <c r="D252" s="0" t="s">
        <v>16</v>
      </c>
      <c r="E252" s="0" t="s">
        <v>17</v>
      </c>
      <c r="F252" s="0" t="s">
        <v>18</v>
      </c>
      <c r="G252" s="0" t="n">
        <v>1</v>
      </c>
      <c r="H252" s="0" t="s">
        <v>27</v>
      </c>
      <c r="J252" s="0" t="s">
        <v>28</v>
      </c>
      <c r="K252" s="0" t="str">
        <f aca="false">"3.72 %"</f>
        <v>3.72 %</v>
      </c>
      <c r="O252" s="0" t="s">
        <v>1029</v>
      </c>
    </row>
    <row r="253" customFormat="false" ht="13.8" hidden="false" customHeight="false" outlineLevel="0" collapsed="false">
      <c r="A253" s="0" t="s">
        <v>1030</v>
      </c>
      <c r="D253" s="0" t="s">
        <v>1031</v>
      </c>
      <c r="E253" s="0" t="s">
        <v>1032</v>
      </c>
      <c r="F253" s="0" t="s">
        <v>1033</v>
      </c>
      <c r="G253" s="0" t="n">
        <v>0</v>
      </c>
      <c r="H253" s="0" t="s">
        <v>1034</v>
      </c>
      <c r="J253" s="0" t="s">
        <v>1035</v>
      </c>
      <c r="K253" s="0" t="str">
        <f aca="false">"4.18 %"</f>
        <v>4.18 %</v>
      </c>
      <c r="O253" s="0" t="s">
        <v>1036</v>
      </c>
    </row>
    <row r="254" customFormat="false" ht="13.8" hidden="false" customHeight="false" outlineLevel="0" collapsed="false">
      <c r="A254" s="0" t="s">
        <v>1037</v>
      </c>
      <c r="D254" s="0" t="s">
        <v>85</v>
      </c>
      <c r="E254" s="0" t="s">
        <v>86</v>
      </c>
      <c r="F254" s="0" t="s">
        <v>1038</v>
      </c>
      <c r="G254" s="0" t="n">
        <v>1</v>
      </c>
      <c r="H254" s="0" t="s">
        <v>27</v>
      </c>
      <c r="J254" s="0" t="s">
        <v>28</v>
      </c>
      <c r="K254" s="0" t="str">
        <f aca="false">"7.31 %"</f>
        <v>7.31 %</v>
      </c>
      <c r="N254" s="0" t="str">
        <f aca="false">"57.8 %"</f>
        <v>57.8 %</v>
      </c>
      <c r="O254" s="0" t="s">
        <v>1039</v>
      </c>
    </row>
    <row r="255" customFormat="false" ht="13.8" hidden="false" customHeight="false" outlineLevel="0" collapsed="false">
      <c r="A255" s="0" t="s">
        <v>1040</v>
      </c>
      <c r="D255" s="0" t="s">
        <v>85</v>
      </c>
      <c r="E255" s="0" t="s">
        <v>86</v>
      </c>
      <c r="F255" s="0" t="s">
        <v>87</v>
      </c>
      <c r="G255" s="0" t="n">
        <v>1</v>
      </c>
      <c r="H255" s="0" t="s">
        <v>27</v>
      </c>
      <c r="J255" s="0" t="s">
        <v>28</v>
      </c>
      <c r="K255" s="0" t="str">
        <f aca="false">"7.56 %"</f>
        <v>7.56 %</v>
      </c>
      <c r="O255" s="0" t="s">
        <v>1041</v>
      </c>
    </row>
    <row r="256" customFormat="false" ht="13.8" hidden="false" customHeight="false" outlineLevel="0" collapsed="false">
      <c r="A256" s="0" t="s">
        <v>1042</v>
      </c>
      <c r="D256" s="0" t="s">
        <v>403</v>
      </c>
      <c r="E256" s="0" t="s">
        <v>404</v>
      </c>
      <c r="F256" s="0" t="s">
        <v>405</v>
      </c>
      <c r="G256" s="0" t="n">
        <v>1</v>
      </c>
      <c r="H256" s="0" t="s">
        <v>27</v>
      </c>
      <c r="J256" s="0" t="s">
        <v>28</v>
      </c>
      <c r="K256" s="0" t="str">
        <f aca="false">"9 %"</f>
        <v>9 %</v>
      </c>
      <c r="O256" s="0" t="s">
        <v>1043</v>
      </c>
    </row>
    <row r="257" customFormat="false" ht="13.8" hidden="false" customHeight="false" outlineLevel="0" collapsed="false">
      <c r="A257" s="0" t="s">
        <v>1044</v>
      </c>
      <c r="D257" s="0" t="s">
        <v>85</v>
      </c>
      <c r="E257" s="0" t="s">
        <v>86</v>
      </c>
      <c r="F257" s="0" t="s">
        <v>87</v>
      </c>
      <c r="G257" s="0" t="n">
        <v>1</v>
      </c>
      <c r="H257" s="0" t="s">
        <v>27</v>
      </c>
      <c r="J257" s="0" t="s">
        <v>28</v>
      </c>
      <c r="K257" s="0" t="str">
        <f aca="false">"9.12 %"</f>
        <v>9.12 %</v>
      </c>
      <c r="O257" s="0" t="s">
        <v>1045</v>
      </c>
    </row>
    <row r="258" customFormat="false" ht="13.8" hidden="false" customHeight="false" outlineLevel="0" collapsed="false">
      <c r="A258" s="0" t="s">
        <v>1046</v>
      </c>
      <c r="D258" s="0" t="s">
        <v>1047</v>
      </c>
      <c r="F258" s="0" t="s">
        <v>40</v>
      </c>
      <c r="G258" s="0" t="n">
        <v>1</v>
      </c>
      <c r="H258" s="0" t="s">
        <v>27</v>
      </c>
      <c r="J258" s="0" t="s">
        <v>28</v>
      </c>
      <c r="K258" s="0" t="str">
        <f aca="false">"8.46 %"</f>
        <v>8.46 %</v>
      </c>
      <c r="M258" s="0" t="str">
        <f aca="false">"17.23 mA*cm^{-2}"</f>
        <v>17.23 mA*cm^{-2}</v>
      </c>
      <c r="O258" s="0" t="s">
        <v>1048</v>
      </c>
    </row>
    <row r="259" customFormat="false" ht="13.8" hidden="false" customHeight="false" outlineLevel="0" collapsed="false">
      <c r="A259" s="0" t="s">
        <v>1049</v>
      </c>
      <c r="D259" s="0" t="s">
        <v>1050</v>
      </c>
      <c r="F259" s="0" t="s">
        <v>1051</v>
      </c>
      <c r="G259" s="0" t="n">
        <v>0</v>
      </c>
      <c r="H259" s="0" t="s">
        <v>1052</v>
      </c>
      <c r="J259" s="0" t="s">
        <v>1053</v>
      </c>
      <c r="K259" s="0" t="str">
        <f aca="false">"8.1 %"</f>
        <v>8.1 %</v>
      </c>
      <c r="O259" s="0" t="s">
        <v>1054</v>
      </c>
    </row>
    <row r="260" customFormat="false" ht="13.8" hidden="false" customHeight="false" outlineLevel="0" collapsed="false">
      <c r="A260" s="0" t="s">
        <v>1055</v>
      </c>
      <c r="C260" s="0" t="n">
        <v>1</v>
      </c>
      <c r="D260" s="0" t="s">
        <v>1056</v>
      </c>
      <c r="F260" s="0" t="s">
        <v>1057</v>
      </c>
      <c r="G260" s="0" t="n">
        <v>1</v>
      </c>
      <c r="H260" s="0" t="s">
        <v>33</v>
      </c>
      <c r="J260" s="0" t="s">
        <v>34</v>
      </c>
      <c r="K260" s="0" t="str">
        <f aca="false">"3.35 %"</f>
        <v>3.35 %</v>
      </c>
      <c r="L260" s="0" t="str">
        <f aca="false">"650 mV"</f>
        <v>650 mV</v>
      </c>
      <c r="M260" s="0" t="str">
        <f aca="false">"10.58 mA/cm^{2}"</f>
        <v>10.58 mA/cm^{2}</v>
      </c>
      <c r="O260" s="0" t="s">
        <v>1058</v>
      </c>
    </row>
    <row r="261" customFormat="false" ht="13.8" hidden="false" customHeight="false" outlineLevel="0" collapsed="false">
      <c r="A261" s="0" t="s">
        <v>1059</v>
      </c>
      <c r="D261" s="0" t="s">
        <v>16</v>
      </c>
      <c r="E261" s="0" t="s">
        <v>17</v>
      </c>
      <c r="F261" s="0" t="s">
        <v>116</v>
      </c>
      <c r="G261" s="0" t="n">
        <v>1</v>
      </c>
      <c r="H261" s="0" t="s">
        <v>33</v>
      </c>
      <c r="J261" s="0" t="s">
        <v>34</v>
      </c>
      <c r="K261" s="0" t="str">
        <f aca="false">"3.90 %"</f>
        <v>3.90 %</v>
      </c>
      <c r="O261" s="0" t="s">
        <v>1060</v>
      </c>
    </row>
    <row r="262" customFormat="false" ht="13.8" hidden="false" customHeight="false" outlineLevel="0" collapsed="false">
      <c r="A262" s="0" t="s">
        <v>1061</v>
      </c>
      <c r="D262" s="0" t="s">
        <v>16</v>
      </c>
      <c r="E262" s="0" t="s">
        <v>17</v>
      </c>
      <c r="F262" s="0" t="s">
        <v>116</v>
      </c>
      <c r="G262" s="0" t="n">
        <v>1</v>
      </c>
      <c r="H262" s="0" t="s">
        <v>76</v>
      </c>
      <c r="J262" s="0" t="s">
        <v>40</v>
      </c>
      <c r="L262" s="0" t="str">
        <f aca="false">"0.53 V"</f>
        <v>0.53 V</v>
      </c>
      <c r="O262" s="0" t="s">
        <v>1062</v>
      </c>
    </row>
    <row r="263" customFormat="false" ht="13.8" hidden="false" customHeight="false" outlineLevel="0" collapsed="false">
      <c r="A263" s="0" t="s">
        <v>1063</v>
      </c>
      <c r="D263" s="0" t="s">
        <v>1064</v>
      </c>
      <c r="F263" s="0" t="s">
        <v>1065</v>
      </c>
      <c r="G263" s="0" t="n">
        <v>1</v>
      </c>
      <c r="H263" s="0" t="s">
        <v>27</v>
      </c>
      <c r="J263" s="0" t="s">
        <v>28</v>
      </c>
      <c r="L263" s="0" t="str">
        <f aca="false">"0.89 V"</f>
        <v>0.89 V</v>
      </c>
      <c r="M263" s="0" t="str">
        <f aca="false">"9.24 mA/cm^{2}"</f>
        <v>9.24 mA/cm^{2}</v>
      </c>
      <c r="N263" s="0" t="str">
        <f aca="false">"0.73"</f>
        <v>0.73</v>
      </c>
      <c r="O263" s="0" t="s">
        <v>1066</v>
      </c>
    </row>
    <row r="264" customFormat="false" ht="13.8" hidden="false" customHeight="false" outlineLevel="0" collapsed="false">
      <c r="A264" s="0" t="s">
        <v>1063</v>
      </c>
      <c r="D264" s="0" t="s">
        <v>1067</v>
      </c>
      <c r="F264" s="0" t="s">
        <v>1068</v>
      </c>
      <c r="G264" s="0" t="n">
        <v>1</v>
      </c>
      <c r="H264" s="0" t="s">
        <v>27</v>
      </c>
      <c r="J264" s="0" t="s">
        <v>28</v>
      </c>
      <c r="K264" s="0" t="str">
        <f aca="false">"5.67 %"</f>
        <v>5.67 %</v>
      </c>
      <c r="L264" s="0" t="str">
        <f aca="false">"0.96 V"</f>
        <v>0.96 V</v>
      </c>
      <c r="N264" s="0" t="str">
        <f aca="false">"0.64"</f>
        <v>0.64</v>
      </c>
      <c r="O264" s="0" t="s">
        <v>1069</v>
      </c>
    </row>
    <row r="265" customFormat="false" ht="13.8" hidden="false" customHeight="false" outlineLevel="0" collapsed="false">
      <c r="A265" s="0" t="s">
        <v>1070</v>
      </c>
      <c r="D265" s="0" t="s">
        <v>1071</v>
      </c>
      <c r="E265" s="0" t="s">
        <v>1072</v>
      </c>
      <c r="F265" s="0" t="s">
        <v>1073</v>
      </c>
      <c r="G265" s="0" t="n">
        <v>1</v>
      </c>
      <c r="H265" s="0" t="s">
        <v>33</v>
      </c>
      <c r="J265" s="0" t="s">
        <v>34</v>
      </c>
      <c r="O265" s="0" t="s">
        <v>1074</v>
      </c>
    </row>
    <row r="266" customFormat="false" ht="13.8" hidden="false" customHeight="false" outlineLevel="0" collapsed="false">
      <c r="A266" s="0" t="s">
        <v>1070</v>
      </c>
      <c r="F266" s="0" t="s">
        <v>40</v>
      </c>
      <c r="G266" s="0" t="n">
        <v>1</v>
      </c>
      <c r="H266" s="0" t="s">
        <v>33</v>
      </c>
      <c r="J266" s="0" t="s">
        <v>34</v>
      </c>
      <c r="K266" s="0" t="str">
        <f aca="false">"2.4 %"</f>
        <v>2.4 %</v>
      </c>
      <c r="L266" s="0" t="str">
        <f aca="false">"~ 0.9 V"</f>
        <v>~ 0.9 V</v>
      </c>
      <c r="O266" s="0" t="s">
        <v>1075</v>
      </c>
    </row>
    <row r="267" customFormat="false" ht="13.8" hidden="false" customHeight="false" outlineLevel="0" collapsed="false">
      <c r="A267" s="0" t="s">
        <v>1076</v>
      </c>
      <c r="D267" s="0" t="s">
        <v>16</v>
      </c>
      <c r="E267" s="0" t="s">
        <v>17</v>
      </c>
      <c r="F267" s="0" t="s">
        <v>18</v>
      </c>
      <c r="G267" s="0" t="n">
        <v>1</v>
      </c>
      <c r="H267" s="0" t="s">
        <v>33</v>
      </c>
      <c r="J267" s="0" t="s">
        <v>34</v>
      </c>
      <c r="K267" s="0" t="str">
        <f aca="false">"6.45 %"</f>
        <v>6.45 %</v>
      </c>
      <c r="O267" s="0" t="s">
        <v>1077</v>
      </c>
    </row>
    <row r="268" customFormat="false" ht="13.8" hidden="false" customHeight="false" outlineLevel="0" collapsed="false">
      <c r="A268" s="0" t="s">
        <v>1076</v>
      </c>
      <c r="D268" s="0" t="s">
        <v>1078</v>
      </c>
      <c r="F268" s="0" t="s">
        <v>1079</v>
      </c>
      <c r="G268" s="0" t="n">
        <v>1</v>
      </c>
      <c r="H268" s="0" t="s">
        <v>33</v>
      </c>
      <c r="J268" s="0" t="s">
        <v>34</v>
      </c>
      <c r="K268" s="0" t="str">
        <f aca="false">"92 %"</f>
        <v>92 %</v>
      </c>
      <c r="O268" s="0" t="s">
        <v>1080</v>
      </c>
    </row>
    <row r="269" customFormat="false" ht="13.8" hidden="false" customHeight="false" outlineLevel="0" collapsed="false">
      <c r="A269" s="0" t="s">
        <v>1081</v>
      </c>
      <c r="D269" s="0" t="s">
        <v>201</v>
      </c>
      <c r="E269" s="0" t="s">
        <v>202</v>
      </c>
      <c r="F269" s="0" t="s">
        <v>422</v>
      </c>
      <c r="G269" s="0" t="n">
        <v>1</v>
      </c>
      <c r="H269" s="0" t="s">
        <v>27</v>
      </c>
      <c r="J269" s="0" t="s">
        <v>28</v>
      </c>
      <c r="K269" s="0" t="str">
        <f aca="false">"7.79 %"</f>
        <v>7.79 %</v>
      </c>
      <c r="O269" s="0" t="s">
        <v>1082</v>
      </c>
    </row>
    <row r="270" customFormat="false" ht="13.8" hidden="false" customHeight="false" outlineLevel="0" collapsed="false">
      <c r="A270" s="0" t="s">
        <v>1083</v>
      </c>
      <c r="D270" s="0" t="s">
        <v>85</v>
      </c>
      <c r="E270" s="0" t="s">
        <v>86</v>
      </c>
      <c r="F270" s="0" t="s">
        <v>87</v>
      </c>
      <c r="G270" s="0" t="n">
        <v>1</v>
      </c>
      <c r="H270" s="0" t="s">
        <v>27</v>
      </c>
      <c r="J270" s="0" t="s">
        <v>28</v>
      </c>
      <c r="K270" s="0" t="str">
        <f aca="false">"8.50 %"</f>
        <v>8.50 %</v>
      </c>
      <c r="O270" s="0" t="s">
        <v>1084</v>
      </c>
    </row>
    <row r="271" customFormat="false" ht="13.8" hidden="false" customHeight="false" outlineLevel="0" collapsed="false">
      <c r="A271" s="0" t="s">
        <v>1085</v>
      </c>
      <c r="D271" s="0" t="s">
        <v>1086</v>
      </c>
      <c r="F271" s="0" t="s">
        <v>40</v>
      </c>
      <c r="G271" s="0" t="n">
        <v>0</v>
      </c>
      <c r="H271" s="0" t="s">
        <v>1087</v>
      </c>
      <c r="J271" s="0" t="s">
        <v>40</v>
      </c>
      <c r="K271" s="0" t="str">
        <f aca="false">"5 %"</f>
        <v>5 %</v>
      </c>
      <c r="L271" s="0" t="str">
        <f aca="false">"â‰ˆ1.0 V"</f>
        <v>â‰ˆ1.0 V</v>
      </c>
      <c r="M271" s="0" t="str">
        <f aca="false">"â‰ˆ11.0 mA cm^{-2}"</f>
        <v>â‰ˆ11.0 mA cm^{-2}</v>
      </c>
      <c r="O271" s="0" t="s">
        <v>1088</v>
      </c>
    </row>
    <row r="272" customFormat="false" ht="13.8" hidden="false" customHeight="false" outlineLevel="0" collapsed="false">
      <c r="A272" s="0" t="s">
        <v>1089</v>
      </c>
      <c r="D272" s="0" t="s">
        <v>201</v>
      </c>
      <c r="E272" s="0" t="s">
        <v>202</v>
      </c>
      <c r="F272" s="0" t="s">
        <v>422</v>
      </c>
      <c r="G272" s="0" t="n">
        <v>0</v>
      </c>
      <c r="H272" s="0" t="s">
        <v>1090</v>
      </c>
      <c r="J272" s="0" t="s">
        <v>1091</v>
      </c>
      <c r="K272" s="0" t="str">
        <f aca="false">"11.1 %"</f>
        <v>11.1 %</v>
      </c>
      <c r="O272" s="0" t="s">
        <v>1092</v>
      </c>
    </row>
    <row r="273" customFormat="false" ht="13.8" hidden="false" customHeight="false" outlineLevel="0" collapsed="false">
      <c r="A273" s="0" t="s">
        <v>1093</v>
      </c>
      <c r="D273" s="0" t="s">
        <v>1094</v>
      </c>
      <c r="F273" s="0" t="s">
        <v>40</v>
      </c>
      <c r="G273" s="0" t="n">
        <v>0</v>
      </c>
      <c r="H273" s="0" t="s">
        <v>1095</v>
      </c>
      <c r="J273" s="0" t="s">
        <v>40</v>
      </c>
      <c r="K273" s="0" t="str">
        <f aca="false">"11.63 %"</f>
        <v>11.63 %</v>
      </c>
      <c r="L273" s="0" t="str">
        <f aca="false">"0.984 V"</f>
        <v>0.984 V</v>
      </c>
      <c r="M273" s="0" t="str">
        <f aca="false">"18.03 mA cm^{-2}"</f>
        <v>18.03 mA cm^{-2}</v>
      </c>
      <c r="O273" s="0" t="s">
        <v>1096</v>
      </c>
    </row>
    <row r="274" customFormat="false" ht="13.8" hidden="false" customHeight="false" outlineLevel="0" collapsed="false">
      <c r="A274" s="0" t="s">
        <v>1097</v>
      </c>
      <c r="D274" s="0" t="s">
        <v>1098</v>
      </c>
      <c r="E274" s="0" t="s">
        <v>1099</v>
      </c>
      <c r="F274" s="0" t="s">
        <v>1100</v>
      </c>
      <c r="G274" s="0" t="n">
        <v>0</v>
      </c>
      <c r="H274" s="0" t="s">
        <v>1101</v>
      </c>
      <c r="J274" s="0" t="s">
        <v>40</v>
      </c>
      <c r="K274" s="0" t="str">
        <f aca="false">"10.5 %"</f>
        <v>10.5 %</v>
      </c>
      <c r="M274" s="0" t="str">
        <f aca="false">"19.0 mA cm^{-2}"</f>
        <v>19.0 mA cm^{-2}</v>
      </c>
      <c r="O274" s="0" t="s">
        <v>1102</v>
      </c>
    </row>
    <row r="275" customFormat="false" ht="13.8" hidden="false" customHeight="false" outlineLevel="0" collapsed="false">
      <c r="A275" s="0" t="s">
        <v>1103</v>
      </c>
      <c r="D275" s="0" t="s">
        <v>1104</v>
      </c>
      <c r="E275" s="0" t="s">
        <v>1105</v>
      </c>
      <c r="F275" s="0" t="s">
        <v>1106</v>
      </c>
      <c r="G275" s="0" t="n">
        <v>1</v>
      </c>
      <c r="H275" s="0" t="s">
        <v>27</v>
      </c>
      <c r="J275" s="0" t="s">
        <v>28</v>
      </c>
      <c r="K275" s="0" t="str">
        <f aca="false">"7.2 %"</f>
        <v>7.2 %</v>
      </c>
      <c r="L275" s="0" t="str">
        <f aca="false">"0.87 V"</f>
        <v>0.87 V</v>
      </c>
      <c r="M275" s="0" t="str">
        <f aca="false">"11.4 mA cm^{-2}"</f>
        <v>11.4 mA cm^{-2}</v>
      </c>
      <c r="N275" s="0" t="str">
        <f aca="false">"73 %"</f>
        <v>73 %</v>
      </c>
      <c r="O275" s="0" t="s">
        <v>1107</v>
      </c>
    </row>
    <row r="276" customFormat="false" ht="13.8" hidden="false" customHeight="false" outlineLevel="0" collapsed="false">
      <c r="A276" s="0" t="s">
        <v>1108</v>
      </c>
      <c r="D276" s="0" t="s">
        <v>1109</v>
      </c>
      <c r="F276" s="0" t="s">
        <v>1110</v>
      </c>
      <c r="G276" s="0" t="n">
        <v>0</v>
      </c>
      <c r="H276" s="0" t="s">
        <v>1111</v>
      </c>
      <c r="J276" s="0" t="s">
        <v>40</v>
      </c>
      <c r="K276" s="0" t="str">
        <f aca="false">"6.2 %"</f>
        <v>6.2 %</v>
      </c>
      <c r="O276" s="0" t="s">
        <v>1112</v>
      </c>
    </row>
    <row r="277" customFormat="false" ht="13.8" hidden="false" customHeight="false" outlineLevel="0" collapsed="false">
      <c r="A277" s="0" t="s">
        <v>1108</v>
      </c>
      <c r="D277" s="0" t="s">
        <v>1113</v>
      </c>
      <c r="F277" s="0" t="s">
        <v>1110</v>
      </c>
      <c r="G277" s="0" t="n">
        <v>0</v>
      </c>
      <c r="H277" s="0" t="s">
        <v>1111</v>
      </c>
      <c r="J277" s="0" t="s">
        <v>40</v>
      </c>
      <c r="K277" s="0" t="str">
        <f aca="false">"11.7 %"</f>
        <v>11.7 %</v>
      </c>
      <c r="O277" s="0" t="s">
        <v>1114</v>
      </c>
    </row>
    <row r="278" customFormat="false" ht="13.8" hidden="false" customHeight="false" outlineLevel="0" collapsed="false">
      <c r="A278" s="0" t="s">
        <v>1115</v>
      </c>
      <c r="D278" s="0" t="s">
        <v>1116</v>
      </c>
      <c r="E278" s="0" t="s">
        <v>1117</v>
      </c>
      <c r="F278" s="0" t="s">
        <v>1118</v>
      </c>
      <c r="G278" s="0" t="n">
        <v>0</v>
      </c>
      <c r="H278" s="0" t="s">
        <v>163</v>
      </c>
      <c r="I278" s="0" t="s">
        <v>164</v>
      </c>
      <c r="J278" s="0" t="s">
        <v>165</v>
      </c>
      <c r="K278" s="0" t="str">
        <f aca="false">"9.7 %"</f>
        <v>9.7 %</v>
      </c>
      <c r="L278" s="0" t="str">
        <f aca="false">"1.0 V"</f>
        <v>1.0 V</v>
      </c>
      <c r="M278" s="0" t="str">
        <f aca="false">"16.0 mA cm^{-2}"</f>
        <v>16.0 mA cm^{-2}</v>
      </c>
      <c r="N278" s="0" t="str">
        <f aca="false">"58 %"</f>
        <v>58 %</v>
      </c>
      <c r="O278" s="0" t="s">
        <v>1119</v>
      </c>
    </row>
    <row r="279" customFormat="false" ht="13.8" hidden="false" customHeight="false" outlineLevel="0" collapsed="false">
      <c r="A279" s="0" t="s">
        <v>1120</v>
      </c>
      <c r="D279" s="0" t="s">
        <v>201</v>
      </c>
      <c r="E279" s="0" t="s">
        <v>202</v>
      </c>
      <c r="F279" s="0" t="s">
        <v>422</v>
      </c>
      <c r="G279" s="0" t="n">
        <v>0</v>
      </c>
      <c r="H279" s="0" t="s">
        <v>1121</v>
      </c>
      <c r="I279" s="0" t="s">
        <v>225</v>
      </c>
      <c r="J279" s="0" t="s">
        <v>1122</v>
      </c>
      <c r="K279" s="0" t="str">
        <f aca="false">"5.9 %"</f>
        <v>5.9 %</v>
      </c>
      <c r="L279" s="0" t="str">
        <f aca="false">"0.82 V"</f>
        <v>0.82 V</v>
      </c>
      <c r="M279" s="0" t="str">
        <f aca="false">"15.7 mA cm^{-2}"</f>
        <v>15.7 mA cm^{-2}</v>
      </c>
      <c r="O279" s="0" t="s">
        <v>1123</v>
      </c>
    </row>
    <row r="280" customFormat="false" ht="13.8" hidden="false" customHeight="false" outlineLevel="0" collapsed="false">
      <c r="A280" s="0" t="s">
        <v>1120</v>
      </c>
      <c r="D280" s="0" t="s">
        <v>1124</v>
      </c>
      <c r="F280" s="0" t="s">
        <v>1125</v>
      </c>
      <c r="G280" s="0" t="n">
        <v>0</v>
      </c>
      <c r="H280" s="0" t="s">
        <v>1121</v>
      </c>
      <c r="I280" s="0" t="s">
        <v>225</v>
      </c>
      <c r="J280" s="0" t="s">
        <v>1122</v>
      </c>
      <c r="K280" s="0" t="str">
        <f aca="false">"7.2 %"</f>
        <v>7.2 %</v>
      </c>
      <c r="N280" s="0" t="str">
        <f aca="false">"56 %"</f>
        <v>56 %</v>
      </c>
      <c r="O280" s="0" t="s">
        <v>1126</v>
      </c>
    </row>
    <row r="281" customFormat="false" ht="13.8" hidden="false" customHeight="false" outlineLevel="0" collapsed="false">
      <c r="A281" s="0" t="s">
        <v>1127</v>
      </c>
      <c r="D281" s="0" t="s">
        <v>16</v>
      </c>
      <c r="E281" s="0" t="s">
        <v>17</v>
      </c>
      <c r="F281" s="0" t="s">
        <v>116</v>
      </c>
      <c r="G281" s="0" t="n">
        <v>1</v>
      </c>
      <c r="H281" s="0" t="s">
        <v>33</v>
      </c>
      <c r="J281" s="0" t="s">
        <v>34</v>
      </c>
      <c r="K281" s="0" t="str">
        <f aca="false">"0.25 %"</f>
        <v>0.25 %</v>
      </c>
      <c r="O281" s="0" t="s">
        <v>1128</v>
      </c>
    </row>
    <row r="282" customFormat="false" ht="13.8" hidden="false" customHeight="false" outlineLevel="0" collapsed="false">
      <c r="A282" s="0" t="s">
        <v>1129</v>
      </c>
      <c r="D282" s="0" t="s">
        <v>1130</v>
      </c>
      <c r="E282" s="0" t="s">
        <v>1131</v>
      </c>
      <c r="F282" s="0" t="s">
        <v>1132</v>
      </c>
      <c r="G282" s="0" t="n">
        <v>1</v>
      </c>
      <c r="H282" s="0" t="s">
        <v>27</v>
      </c>
      <c r="J282" s="0" t="s">
        <v>28</v>
      </c>
      <c r="K282" s="0" t="str">
        <f aca="false">"9 %"</f>
        <v>9 %</v>
      </c>
      <c r="L282" s="0" t="str">
        <f aca="false">"0.96 V"</f>
        <v>0.96 V</v>
      </c>
      <c r="O282" s="0" t="s">
        <v>1133</v>
      </c>
    </row>
    <row r="283" customFormat="false" ht="13.8" hidden="false" customHeight="false" outlineLevel="0" collapsed="false">
      <c r="A283" s="0" t="s">
        <v>1134</v>
      </c>
      <c r="D283" s="0" t="s">
        <v>16</v>
      </c>
      <c r="E283" s="0" t="s">
        <v>17</v>
      </c>
      <c r="F283" s="0" t="s">
        <v>116</v>
      </c>
      <c r="G283" s="0" t="n">
        <v>0</v>
      </c>
      <c r="H283" s="0" t="s">
        <v>1135</v>
      </c>
      <c r="J283" s="0" t="s">
        <v>40</v>
      </c>
      <c r="K283" s="0" t="str">
        <f aca="false">"1.39 %"</f>
        <v>1.39 %</v>
      </c>
      <c r="O283" s="0" t="s">
        <v>1136</v>
      </c>
    </row>
    <row r="284" customFormat="false" ht="13.8" hidden="false" customHeight="false" outlineLevel="0" collapsed="false">
      <c r="A284" s="0" t="s">
        <v>1137</v>
      </c>
      <c r="D284" s="0" t="s">
        <v>1031</v>
      </c>
      <c r="E284" s="0" t="s">
        <v>1032</v>
      </c>
      <c r="F284" s="0" t="s">
        <v>1138</v>
      </c>
      <c r="G284" s="0" t="n">
        <v>1</v>
      </c>
      <c r="H284" s="0" t="s">
        <v>33</v>
      </c>
      <c r="J284" s="0" t="s">
        <v>34</v>
      </c>
      <c r="K284" s="0" t="str">
        <f aca="false">"3.4 %"</f>
        <v>3.4 %</v>
      </c>
      <c r="O284" s="0" t="s">
        <v>1139</v>
      </c>
    </row>
    <row r="285" customFormat="false" ht="13.8" hidden="false" customHeight="false" outlineLevel="0" collapsed="false">
      <c r="A285" s="0" t="s">
        <v>1140</v>
      </c>
      <c r="D285" s="0" t="s">
        <v>599</v>
      </c>
      <c r="E285" s="0" t="s">
        <v>600</v>
      </c>
      <c r="F285" s="0" t="s">
        <v>601</v>
      </c>
      <c r="G285" s="0" t="n">
        <v>0</v>
      </c>
      <c r="H285" s="0" t="s">
        <v>1141</v>
      </c>
      <c r="J285" s="0" t="s">
        <v>1142</v>
      </c>
      <c r="O285" s="0" t="s">
        <v>1143</v>
      </c>
    </row>
    <row r="286" customFormat="false" ht="13.8" hidden="false" customHeight="false" outlineLevel="0" collapsed="false">
      <c r="A286" s="0" t="s">
        <v>1140</v>
      </c>
      <c r="D286" s="0" t="s">
        <v>599</v>
      </c>
      <c r="E286" s="0" t="s">
        <v>600</v>
      </c>
      <c r="F286" s="0" t="s">
        <v>601</v>
      </c>
      <c r="G286" s="0" t="n">
        <v>0</v>
      </c>
      <c r="H286" s="0" t="s">
        <v>1144</v>
      </c>
      <c r="J286" s="0" t="s">
        <v>1145</v>
      </c>
      <c r="K286" s="0" t="str">
        <f aca="false">"13.18 %"</f>
        <v>13.18 %</v>
      </c>
      <c r="L286" s="0" t="str">
        <f aca="false">"0.90 and 0.86 V"</f>
        <v>0.90 and 0.86 V</v>
      </c>
      <c r="O286" s="0" t="s">
        <v>1146</v>
      </c>
    </row>
    <row r="287" customFormat="false" ht="13.8" hidden="false" customHeight="false" outlineLevel="0" collapsed="false">
      <c r="A287" s="0" t="s">
        <v>1147</v>
      </c>
      <c r="D287" s="0" t="s">
        <v>1148</v>
      </c>
      <c r="F287" s="0" t="s">
        <v>1149</v>
      </c>
      <c r="G287" s="0" t="n">
        <v>1</v>
      </c>
      <c r="H287" s="0" t="s">
        <v>27</v>
      </c>
      <c r="J287" s="0" t="s">
        <v>28</v>
      </c>
      <c r="K287" s="0" t="str">
        <f aca="false">"9.17 %"</f>
        <v>9.17 %</v>
      </c>
      <c r="O287" s="0" t="s">
        <v>1150</v>
      </c>
    </row>
    <row r="288" customFormat="false" ht="13.8" hidden="false" customHeight="false" outlineLevel="0" collapsed="false">
      <c r="A288" s="0" t="s">
        <v>1151</v>
      </c>
      <c r="D288" s="0" t="s">
        <v>201</v>
      </c>
      <c r="E288" s="0" t="s">
        <v>202</v>
      </c>
      <c r="F288" s="0" t="s">
        <v>422</v>
      </c>
      <c r="G288" s="0" t="n">
        <v>1</v>
      </c>
      <c r="H288" s="0" t="s">
        <v>27</v>
      </c>
      <c r="J288" s="0" t="s">
        <v>28</v>
      </c>
      <c r="K288" s="0" t="str">
        <f aca="false">"4.07 %"</f>
        <v>4.07 %</v>
      </c>
      <c r="O288" s="0" t="s">
        <v>1152</v>
      </c>
    </row>
    <row r="289" customFormat="false" ht="13.8" hidden="false" customHeight="false" outlineLevel="0" collapsed="false">
      <c r="A289" s="0" t="s">
        <v>1153</v>
      </c>
      <c r="D289" s="0" t="s">
        <v>1154</v>
      </c>
      <c r="F289" s="0" t="s">
        <v>40</v>
      </c>
      <c r="G289" s="0" t="n">
        <v>1</v>
      </c>
      <c r="H289" s="0" t="s">
        <v>33</v>
      </c>
      <c r="J289" s="0" t="s">
        <v>60</v>
      </c>
      <c r="K289" s="0" t="str">
        <f aca="false">"~3 %"</f>
        <v>~3 %</v>
      </c>
      <c r="L289" s="0" t="str">
        <f aca="false">"0.71 V"</f>
        <v>0.71 V</v>
      </c>
      <c r="M289" s="0" t="str">
        <f aca="false">"7.63 mA cm^{-2}"</f>
        <v>7.63 mA cm^{-2}</v>
      </c>
      <c r="N289" s="0" t="str">
        <f aca="false">"53.74 %"</f>
        <v>53.74 %</v>
      </c>
      <c r="O289" s="0" t="s">
        <v>1155</v>
      </c>
    </row>
    <row r="290" customFormat="false" ht="13.8" hidden="false" customHeight="false" outlineLevel="0" collapsed="false">
      <c r="A290" s="0" t="s">
        <v>1156</v>
      </c>
      <c r="D290" s="0" t="s">
        <v>128</v>
      </c>
      <c r="F290" s="0" t="s">
        <v>130</v>
      </c>
      <c r="G290" s="0" t="n">
        <v>1</v>
      </c>
      <c r="H290" s="0" t="s">
        <v>76</v>
      </c>
      <c r="J290" s="0" t="s">
        <v>77</v>
      </c>
      <c r="K290" s="0" t="str">
        <f aca="false">"0.33 %"</f>
        <v>0.33 %</v>
      </c>
      <c r="O290" s="0" t="s">
        <v>1157</v>
      </c>
    </row>
    <row r="291" customFormat="false" ht="13.8" hidden="false" customHeight="false" outlineLevel="0" collapsed="false">
      <c r="A291" s="0" t="s">
        <v>1156</v>
      </c>
      <c r="D291" s="0" t="s">
        <v>124</v>
      </c>
      <c r="F291" s="0" t="s">
        <v>427</v>
      </c>
      <c r="G291" s="0" t="n">
        <v>1</v>
      </c>
      <c r="H291" s="0" t="s">
        <v>76</v>
      </c>
      <c r="J291" s="0" t="s">
        <v>77</v>
      </c>
      <c r="K291" s="0" t="str">
        <f aca="false">"1.24 %"</f>
        <v>1.24 %</v>
      </c>
      <c r="O291" s="0" t="s">
        <v>1158</v>
      </c>
    </row>
    <row r="292" customFormat="false" ht="13.8" hidden="false" customHeight="false" outlineLevel="0" collapsed="false">
      <c r="A292" s="0" t="s">
        <v>1159</v>
      </c>
      <c r="D292" s="0" t="s">
        <v>1160</v>
      </c>
      <c r="E292" s="0" t="s">
        <v>1161</v>
      </c>
      <c r="F292" s="0" t="s">
        <v>1162</v>
      </c>
      <c r="G292" s="0" t="n">
        <v>1</v>
      </c>
      <c r="H292" s="0" t="s">
        <v>33</v>
      </c>
      <c r="J292" s="0" t="s">
        <v>34</v>
      </c>
      <c r="K292" s="0" t="str">
        <f aca="false">"0.21 %"</f>
        <v>0.21 %</v>
      </c>
      <c r="O292" s="0" t="s">
        <v>1163</v>
      </c>
    </row>
    <row r="293" customFormat="false" ht="13.8" hidden="false" customHeight="false" outlineLevel="0" collapsed="false">
      <c r="A293" s="0" t="s">
        <v>1164</v>
      </c>
      <c r="D293" s="0" t="s">
        <v>1165</v>
      </c>
      <c r="F293" s="0" t="s">
        <v>1166</v>
      </c>
      <c r="G293" s="0" t="n">
        <v>1</v>
      </c>
      <c r="H293" s="0" t="s">
        <v>76</v>
      </c>
      <c r="J293" s="0" t="s">
        <v>77</v>
      </c>
      <c r="O293" s="0" t="s">
        <v>1167</v>
      </c>
    </row>
    <row r="294" customFormat="false" ht="13.8" hidden="false" customHeight="false" outlineLevel="0" collapsed="false">
      <c r="A294" s="0" t="s">
        <v>1164</v>
      </c>
      <c r="D294" s="0" t="s">
        <v>1168</v>
      </c>
      <c r="E294" s="0" t="s">
        <v>1169</v>
      </c>
      <c r="F294" s="0" t="s">
        <v>1170</v>
      </c>
      <c r="G294" s="0" t="n">
        <v>1</v>
      </c>
      <c r="H294" s="0" t="s">
        <v>76</v>
      </c>
      <c r="J294" s="0" t="s">
        <v>77</v>
      </c>
      <c r="K294" s="0" t="str">
        <f aca="false">"3.45 %"</f>
        <v>3.45 %</v>
      </c>
      <c r="N294" s="0" t="str">
        <f aca="false">"61 %"</f>
        <v>61 %</v>
      </c>
      <c r="O294" s="0" t="s">
        <v>1171</v>
      </c>
    </row>
    <row r="295" customFormat="false" ht="13.8" hidden="false" customHeight="false" outlineLevel="0" collapsed="false">
      <c r="A295" s="0" t="s">
        <v>1172</v>
      </c>
      <c r="D295" s="0" t="s">
        <v>1173</v>
      </c>
      <c r="F295" s="0" t="s">
        <v>1174</v>
      </c>
      <c r="G295" s="0" t="n">
        <v>1</v>
      </c>
      <c r="H295" s="0" t="s">
        <v>27</v>
      </c>
      <c r="J295" s="0" t="s">
        <v>28</v>
      </c>
      <c r="K295" s="0" t="str">
        <f aca="false">"9.34 %"</f>
        <v>9.34 %</v>
      </c>
      <c r="O295" s="0" t="s">
        <v>1175</v>
      </c>
    </row>
    <row r="296" customFormat="false" ht="13.8" hidden="false" customHeight="false" outlineLevel="0" collapsed="false">
      <c r="A296" s="0" t="s">
        <v>1176</v>
      </c>
      <c r="D296" s="0" t="s">
        <v>403</v>
      </c>
      <c r="E296" s="0" t="s">
        <v>404</v>
      </c>
      <c r="F296" s="0" t="s">
        <v>405</v>
      </c>
      <c r="G296" s="0" t="n">
        <v>0</v>
      </c>
      <c r="H296" s="0" t="s">
        <v>1177</v>
      </c>
      <c r="J296" s="0" t="s">
        <v>40</v>
      </c>
      <c r="K296" s="0" t="str">
        <f aca="false">"5.37 %"</f>
        <v>5.37 %</v>
      </c>
      <c r="O296" s="0" t="s">
        <v>1178</v>
      </c>
    </row>
    <row r="297" customFormat="false" ht="13.8" hidden="false" customHeight="false" outlineLevel="0" collapsed="false">
      <c r="A297" s="0" t="s">
        <v>1179</v>
      </c>
      <c r="D297" s="0" t="s">
        <v>1180</v>
      </c>
      <c r="F297" s="0" t="s">
        <v>1181</v>
      </c>
      <c r="G297" s="0" t="n">
        <v>1</v>
      </c>
      <c r="H297" s="0" t="s">
        <v>33</v>
      </c>
      <c r="J297" s="0" t="s">
        <v>34</v>
      </c>
      <c r="L297" s="0" t="str">
        <f aca="false">"0.70 V"</f>
        <v>0.70 V</v>
      </c>
      <c r="M297" s="0" t="str">
        <f aca="false">"6.97 mA/cm^{2}"</f>
        <v>6.97 mA/cm^{2}</v>
      </c>
      <c r="O297" s="0" t="s">
        <v>1182</v>
      </c>
    </row>
    <row r="298" customFormat="false" ht="13.8" hidden="false" customHeight="false" outlineLevel="0" collapsed="false">
      <c r="A298" s="0" t="s">
        <v>1183</v>
      </c>
      <c r="D298" s="0" t="s">
        <v>1184</v>
      </c>
      <c r="E298" s="0" t="s">
        <v>110</v>
      </c>
      <c r="F298" s="0" t="s">
        <v>1185</v>
      </c>
      <c r="G298" s="0" t="n">
        <v>1</v>
      </c>
      <c r="H298" s="0" t="s">
        <v>152</v>
      </c>
      <c r="J298" s="0" t="s">
        <v>40</v>
      </c>
      <c r="K298" s="0" t="str">
        <f aca="false">"3.51 %"</f>
        <v>3.51 %</v>
      </c>
      <c r="O298" s="0" t="s">
        <v>1186</v>
      </c>
    </row>
    <row r="299" customFormat="false" ht="13.8" hidden="false" customHeight="false" outlineLevel="0" collapsed="false">
      <c r="A299" s="0" t="s">
        <v>1187</v>
      </c>
      <c r="D299" s="0" t="s">
        <v>1188</v>
      </c>
      <c r="F299" s="0" t="s">
        <v>1189</v>
      </c>
      <c r="G299" s="0" t="n">
        <v>1</v>
      </c>
      <c r="H299" s="0" t="s">
        <v>27</v>
      </c>
      <c r="J299" s="0" t="s">
        <v>28</v>
      </c>
      <c r="K299" s="0" t="str">
        <f aca="false">"3.44 %"</f>
        <v>3.44 %</v>
      </c>
      <c r="L299" s="0" t="str">
        <f aca="false">"0.82 V"</f>
        <v>0.82 V</v>
      </c>
      <c r="M299" s="0" t="str">
        <f aca="false">"9.66 mA/cm^{2}"</f>
        <v>9.66 mA/cm^{2}</v>
      </c>
      <c r="N299" s="0" t="str">
        <f aca="false">"0.44"</f>
        <v>0.44</v>
      </c>
      <c r="O299" s="0" t="s">
        <v>1190</v>
      </c>
    </row>
    <row r="300" customFormat="false" ht="13.8" hidden="false" customHeight="false" outlineLevel="0" collapsed="false">
      <c r="A300" s="0" t="s">
        <v>1191</v>
      </c>
      <c r="D300" s="0" t="s">
        <v>446</v>
      </c>
      <c r="E300" s="0" t="s">
        <v>447</v>
      </c>
      <c r="F300" s="0" t="s">
        <v>1192</v>
      </c>
      <c r="G300" s="0" t="n">
        <v>1</v>
      </c>
      <c r="H300" s="0" t="s">
        <v>27</v>
      </c>
      <c r="J300" s="0" t="s">
        <v>28</v>
      </c>
      <c r="K300" s="0" t="str">
        <f aca="false">"1.86 %"</f>
        <v>1.86 %</v>
      </c>
      <c r="L300" s="0" t="str">
        <f aca="false">"0.567 V"</f>
        <v>0.567 V</v>
      </c>
      <c r="M300" s="0" t="str">
        <f aca="false">"10.03 mA cm^{-2}"</f>
        <v>10.03 mA cm^{-2}</v>
      </c>
      <c r="O300" s="0" t="s">
        <v>1193</v>
      </c>
    </row>
    <row r="301" customFormat="false" ht="13.8" hidden="false" customHeight="false" outlineLevel="0" collapsed="false">
      <c r="A301" s="0" t="s">
        <v>1194</v>
      </c>
      <c r="B301" s="0" t="n">
        <v>1</v>
      </c>
      <c r="D301" s="0" t="s">
        <v>16</v>
      </c>
      <c r="E301" s="0" t="s">
        <v>17</v>
      </c>
      <c r="F301" s="0" t="s">
        <v>116</v>
      </c>
      <c r="G301" s="0" t="n">
        <v>1</v>
      </c>
      <c r="H301" s="0" t="s">
        <v>33</v>
      </c>
      <c r="J301" s="0" t="s">
        <v>1195</v>
      </c>
      <c r="K301" s="0" t="str">
        <f aca="false">"3.33 %"</f>
        <v>3.33 %</v>
      </c>
      <c r="L301" s="0" t="str">
        <f aca="false">"0.61 V"</f>
        <v>0.61 V</v>
      </c>
      <c r="M301" s="0" t="str">
        <f aca="false">"8.94 mA/cm^{2}"</f>
        <v>8.94 mA/cm^{2}</v>
      </c>
      <c r="N301" s="0" t="str">
        <f aca="false">"61.1 %"</f>
        <v>61.1 %</v>
      </c>
      <c r="O301" s="0" t="s">
        <v>1196</v>
      </c>
    </row>
    <row r="302" customFormat="false" ht="13.8" hidden="false" customHeight="false" outlineLevel="0" collapsed="false">
      <c r="A302" s="0" t="s">
        <v>1197</v>
      </c>
      <c r="B302" s="0" t="n">
        <v>1</v>
      </c>
      <c r="D302" s="0" t="s">
        <v>1198</v>
      </c>
      <c r="E302" s="4" t="s">
        <v>1199</v>
      </c>
      <c r="F302" s="0" t="s">
        <v>1200</v>
      </c>
      <c r="G302" s="0" t="n">
        <v>1</v>
      </c>
      <c r="H302" s="0" t="s">
        <v>66</v>
      </c>
      <c r="J302" s="4" t="s">
        <v>67</v>
      </c>
      <c r="K302" s="0" t="str">
        <f aca="false">"3.08 %"</f>
        <v>3.08 %</v>
      </c>
      <c r="M302" s="15" t="str">
        <f aca="false">"10.3 mA/cm^{2}"</f>
        <v>10.3 mA/cm^{2}</v>
      </c>
      <c r="O302" s="0" t="s">
        <v>1201</v>
      </c>
    </row>
    <row r="303" customFormat="false" ht="13.8" hidden="false" customHeight="false" outlineLevel="0" collapsed="false">
      <c r="A303" s="0" t="s">
        <v>1197</v>
      </c>
      <c r="B303" s="0" t="n">
        <v>1</v>
      </c>
      <c r="D303" s="4" t="s">
        <v>1198</v>
      </c>
      <c r="E303" s="27" t="s">
        <v>1199</v>
      </c>
      <c r="F303" s="4" t="s">
        <v>1200</v>
      </c>
      <c r="G303" s="0" t="n">
        <v>1</v>
      </c>
      <c r="H303" s="4" t="s">
        <v>575</v>
      </c>
      <c r="J303" s="4" t="s">
        <v>576</v>
      </c>
      <c r="K303" s="28" t="n">
        <v>0.0209</v>
      </c>
      <c r="M303" s="4" t="s">
        <v>1202</v>
      </c>
      <c r="O303" s="0" t="s">
        <v>1203</v>
      </c>
    </row>
    <row r="304" customFormat="false" ht="13.8" hidden="false" customHeight="false" outlineLevel="0" collapsed="false">
      <c r="A304" s="0" t="s">
        <v>1204</v>
      </c>
      <c r="B304" s="0" t="n">
        <v>1</v>
      </c>
      <c r="D304" s="0" t="s">
        <v>109</v>
      </c>
      <c r="E304" s="0" t="s">
        <v>110</v>
      </c>
      <c r="F304" s="0" t="s">
        <v>1205</v>
      </c>
      <c r="G304" s="0" t="n">
        <v>1</v>
      </c>
      <c r="H304" s="0" t="s">
        <v>27</v>
      </c>
      <c r="J304" s="0" t="s">
        <v>28</v>
      </c>
      <c r="K304" s="0" t="str">
        <f aca="false">"6.45 %"</f>
        <v>6.45 %</v>
      </c>
      <c r="M304" s="0" t="str">
        <f aca="false">"13.6 mA/cm^{2}"</f>
        <v>13.6 mA/cm^{2}</v>
      </c>
      <c r="O304" s="0" t="s">
        <v>1206</v>
      </c>
    </row>
    <row r="305" customFormat="false" ht="13.8" hidden="false" customHeight="false" outlineLevel="0" collapsed="false">
      <c r="A305" s="0" t="s">
        <v>1207</v>
      </c>
      <c r="B305" s="0" t="n">
        <v>1</v>
      </c>
      <c r="D305" s="4" t="s">
        <v>1208</v>
      </c>
      <c r="E305" s="0" t="s">
        <v>17</v>
      </c>
      <c r="F305" s="4" t="s">
        <v>1209</v>
      </c>
      <c r="G305" s="0" t="n">
        <v>1</v>
      </c>
      <c r="H305" s="0" t="s">
        <v>33</v>
      </c>
      <c r="J305" s="0" t="s">
        <v>40</v>
      </c>
      <c r="K305" s="0" t="str">
        <f aca="false">"2.2 %"</f>
        <v>2.2 %</v>
      </c>
      <c r="O305" s="0" t="s">
        <v>1210</v>
      </c>
    </row>
    <row r="306" customFormat="false" ht="13.8" hidden="false" customHeight="false" outlineLevel="0" collapsed="false">
      <c r="A306" s="0" t="s">
        <v>1211</v>
      </c>
      <c r="B306" s="0" t="n">
        <v>1</v>
      </c>
      <c r="D306" s="0" t="s">
        <v>1212</v>
      </c>
      <c r="E306" s="0" t="s">
        <v>1213</v>
      </c>
      <c r="F306" s="0" t="s">
        <v>1214</v>
      </c>
      <c r="G306" s="0" t="n">
        <v>1</v>
      </c>
      <c r="H306" s="0" t="s">
        <v>27</v>
      </c>
      <c r="J306" s="0" t="s">
        <v>28</v>
      </c>
      <c r="K306" s="0" t="str">
        <f aca="false">"4.2 %"</f>
        <v>4.2 %</v>
      </c>
      <c r="L306" s="0" t="str">
        <f aca="false">"0.84 V"</f>
        <v>0.84 V</v>
      </c>
      <c r="O306" s="0" t="s">
        <v>1215</v>
      </c>
    </row>
    <row r="307" customFormat="false" ht="13.8" hidden="false" customHeight="false" outlineLevel="0" collapsed="false">
      <c r="A307" s="0" t="s">
        <v>1216</v>
      </c>
      <c r="B307" s="0" t="n">
        <v>1</v>
      </c>
      <c r="D307" s="0" t="s">
        <v>16</v>
      </c>
      <c r="E307" s="0" t="s">
        <v>17</v>
      </c>
      <c r="F307" s="0" t="s">
        <v>18</v>
      </c>
      <c r="G307" s="0" t="n">
        <v>1</v>
      </c>
      <c r="H307" s="0" t="s">
        <v>33</v>
      </c>
      <c r="J307" s="0" t="s">
        <v>504</v>
      </c>
      <c r="K307" s="0" t="str">
        <f aca="false">"2.75 %"</f>
        <v>2.75 %</v>
      </c>
      <c r="O307" s="0" t="s">
        <v>1217</v>
      </c>
    </row>
    <row r="308" customFormat="false" ht="13.8" hidden="false" customHeight="false" outlineLevel="0" collapsed="false">
      <c r="A308" s="0" t="s">
        <v>1218</v>
      </c>
      <c r="B308" s="0" t="n">
        <v>1</v>
      </c>
      <c r="D308" s="0" t="s">
        <v>208</v>
      </c>
      <c r="E308" s="0" t="s">
        <v>17</v>
      </c>
      <c r="F308" s="0" t="s">
        <v>209</v>
      </c>
      <c r="G308" s="0" t="n">
        <v>1</v>
      </c>
      <c r="H308" s="0" t="s">
        <v>33</v>
      </c>
      <c r="J308" s="0" t="s">
        <v>34</v>
      </c>
      <c r="K308" s="0" t="str">
        <f aca="false">"2.8 %"</f>
        <v>2.8 %</v>
      </c>
      <c r="O308" s="0" t="s">
        <v>1219</v>
      </c>
    </row>
    <row r="309" customFormat="false" ht="13.8" hidden="false" customHeight="false" outlineLevel="0" collapsed="false">
      <c r="A309" s="0" t="s">
        <v>1220</v>
      </c>
      <c r="B309" s="0" t="n">
        <v>1</v>
      </c>
      <c r="D309" s="0" t="s">
        <v>1221</v>
      </c>
      <c r="E309" s="4" t="s">
        <v>1222</v>
      </c>
      <c r="F309" s="0" t="s">
        <v>1223</v>
      </c>
      <c r="G309" s="4" t="n">
        <v>1</v>
      </c>
      <c r="H309" s="4" t="s">
        <v>195</v>
      </c>
      <c r="I309" s="4"/>
      <c r="J309" s="4" t="s">
        <v>28</v>
      </c>
      <c r="K309" s="0" t="str">
        <f aca="false">"5.26 %"</f>
        <v>5.26 %</v>
      </c>
      <c r="L309" s="15" t="s">
        <v>1224</v>
      </c>
      <c r="O309" s="0" t="s">
        <v>1225</v>
      </c>
    </row>
    <row r="310" customFormat="false" ht="13.8" hidden="false" customHeight="false" outlineLevel="0" collapsed="false">
      <c r="A310" s="0" t="s">
        <v>1226</v>
      </c>
      <c r="B310" s="0" t="n">
        <v>1</v>
      </c>
      <c r="D310" s="4" t="s">
        <v>128</v>
      </c>
      <c r="E310" s="0" t="s">
        <v>1227</v>
      </c>
      <c r="F310" s="4" t="s">
        <v>130</v>
      </c>
      <c r="G310" s="0" t="n">
        <v>1</v>
      </c>
      <c r="H310" s="0" t="s">
        <v>27</v>
      </c>
      <c r="J310" s="0" t="s">
        <v>1228</v>
      </c>
      <c r="K310" s="0" t="str">
        <f aca="false">"4.75 %"</f>
        <v>4.75 %</v>
      </c>
      <c r="O310" s="0" t="s">
        <v>1229</v>
      </c>
    </row>
    <row r="311" customFormat="false" ht="13.8" hidden="false" customHeight="false" outlineLevel="0" collapsed="false">
      <c r="A311" s="0" t="s">
        <v>1230</v>
      </c>
      <c r="B311" s="0" t="n">
        <v>1</v>
      </c>
      <c r="D311" s="0" t="s">
        <v>1231</v>
      </c>
      <c r="E311" s="0" t="s">
        <v>1232</v>
      </c>
      <c r="F311" s="0" t="s">
        <v>1233</v>
      </c>
      <c r="G311" s="0" t="n">
        <v>0</v>
      </c>
      <c r="H311" s="4" t="s">
        <v>1234</v>
      </c>
      <c r="I311" s="0" t="s">
        <v>1235</v>
      </c>
      <c r="J311" s="0" t="s">
        <v>1236</v>
      </c>
      <c r="K311" s="15" t="str">
        <f aca="false">"8.10 %"</f>
        <v>8.10 %</v>
      </c>
      <c r="L311" s="0" t="str">
        <f aca="false">"1.20 V"</f>
        <v>1.20 V</v>
      </c>
      <c r="O311" s="0" t="s">
        <v>1237</v>
      </c>
    </row>
    <row r="312" customFormat="false" ht="13.8" hidden="false" customHeight="false" outlineLevel="0" collapsed="false">
      <c r="A312" s="0" t="s">
        <v>1238</v>
      </c>
      <c r="C312" s="0" t="n">
        <v>1</v>
      </c>
      <c r="D312" s="0" t="s">
        <v>1239</v>
      </c>
      <c r="F312" s="0" t="s">
        <v>1240</v>
      </c>
      <c r="G312" s="0" t="n">
        <v>1</v>
      </c>
      <c r="H312" s="0" t="s">
        <v>33</v>
      </c>
      <c r="J312" s="0" t="s">
        <v>34</v>
      </c>
      <c r="K312" s="0" t="str">
        <f aca="false">"3.16 %"</f>
        <v>3.16 %</v>
      </c>
      <c r="M312" s="0" t="str">
        <f aca="false">"7.11 mA cm^{-2}"</f>
        <v>7.11 mA cm^{-2}</v>
      </c>
      <c r="N312" s="0" t="str">
        <f aca="false">"47 %"</f>
        <v>47 %</v>
      </c>
      <c r="O312" s="0" t="s">
        <v>1241</v>
      </c>
    </row>
    <row r="313" customFormat="false" ht="13.8" hidden="false" customHeight="false" outlineLevel="0" collapsed="false">
      <c r="A313" s="0" t="s">
        <v>1238</v>
      </c>
      <c r="C313" s="0" t="n">
        <v>1</v>
      </c>
      <c r="D313" s="0" t="s">
        <v>16</v>
      </c>
      <c r="E313" s="0" t="s">
        <v>17</v>
      </c>
      <c r="F313" s="0" t="s">
        <v>1242</v>
      </c>
      <c r="G313" s="0" t="n">
        <v>1</v>
      </c>
      <c r="H313" s="0" t="s">
        <v>33</v>
      </c>
      <c r="J313" s="0" t="s">
        <v>34</v>
      </c>
      <c r="K313" s="0" t="str">
        <f aca="false">"3.11 %"</f>
        <v>3.11 %</v>
      </c>
      <c r="M313" s="0" t="str">
        <f aca="false">"9.45 mA cm^{-2}"</f>
        <v>9.45 mA cm^{-2}</v>
      </c>
      <c r="N313" s="0" t="str">
        <f aca="false">"53 %"</f>
        <v>53 %</v>
      </c>
      <c r="O313" s="0" t="s">
        <v>1243</v>
      </c>
    </row>
    <row r="314" customFormat="false" ht="13.8" hidden="false" customHeight="false" outlineLevel="0" collapsed="false">
      <c r="A314" s="0" t="s">
        <v>1238</v>
      </c>
      <c r="C314" s="0" t="n">
        <v>1</v>
      </c>
      <c r="D314" s="0" t="s">
        <v>1244</v>
      </c>
      <c r="F314" s="0" t="s">
        <v>1245</v>
      </c>
      <c r="G314" s="0" t="n">
        <v>1</v>
      </c>
      <c r="H314" s="0" t="s">
        <v>33</v>
      </c>
      <c r="J314" s="0" t="s">
        <v>34</v>
      </c>
      <c r="M314" s="0" t="str">
        <f aca="false">"9.32 mA cm^{-2}"</f>
        <v>9.32 mA cm^{-2}</v>
      </c>
      <c r="N314" s="0" t="str">
        <f aca="false">"54 %"</f>
        <v>54 %</v>
      </c>
      <c r="O314" s="0" t="s">
        <v>1246</v>
      </c>
    </row>
    <row r="315" customFormat="false" ht="13.8" hidden="false" customHeight="false" outlineLevel="0" collapsed="false">
      <c r="A315" s="0" t="s">
        <v>1247</v>
      </c>
      <c r="B315" s="0" t="n">
        <v>1</v>
      </c>
      <c r="D315" s="4" t="s">
        <v>1248</v>
      </c>
      <c r="E315" s="0" t="s">
        <v>1249</v>
      </c>
      <c r="F315" s="4" t="s">
        <v>1250</v>
      </c>
      <c r="G315" s="0" t="n">
        <v>0</v>
      </c>
      <c r="H315" s="4" t="s">
        <v>163</v>
      </c>
      <c r="I315" s="0" t="s">
        <v>164</v>
      </c>
      <c r="J315" s="4" t="s">
        <v>165</v>
      </c>
      <c r="K315" s="0" t="str">
        <f aca="false">"7.09 %"</f>
        <v>7.09 %</v>
      </c>
      <c r="O315" s="0" t="s">
        <v>1251</v>
      </c>
    </row>
    <row r="316" customFormat="false" ht="13.8" hidden="false" customHeight="false" outlineLevel="0" collapsed="false">
      <c r="A316" s="0" t="s">
        <v>1247</v>
      </c>
      <c r="B316" s="0" t="n">
        <v>1</v>
      </c>
      <c r="D316" s="27" t="s">
        <v>1252</v>
      </c>
      <c r="E316" s="0" t="s">
        <v>1253</v>
      </c>
      <c r="F316" s="27" t="s">
        <v>1254</v>
      </c>
      <c r="G316" s="0" t="n">
        <v>0</v>
      </c>
      <c r="H316" s="27" t="s">
        <v>163</v>
      </c>
      <c r="I316" s="0" t="s">
        <v>164</v>
      </c>
      <c r="J316" s="27" t="s">
        <v>165</v>
      </c>
      <c r="K316" s="14" t="n">
        <v>0.1</v>
      </c>
    </row>
    <row r="317" customFormat="false" ht="13.8" hidden="false" customHeight="false" outlineLevel="0" collapsed="false">
      <c r="A317" s="0" t="s">
        <v>1255</v>
      </c>
      <c r="B317" s="0" t="n">
        <v>1</v>
      </c>
      <c r="D317" s="0" t="s">
        <v>1256</v>
      </c>
      <c r="E317" s="0" t="s">
        <v>1257</v>
      </c>
      <c r="F317" s="0" t="s">
        <v>1258</v>
      </c>
      <c r="G317" s="0" t="n">
        <v>1</v>
      </c>
      <c r="H317" s="0" t="s">
        <v>27</v>
      </c>
      <c r="J317" s="0" t="s">
        <v>28</v>
      </c>
      <c r="K317" s="15" t="str">
        <f aca="false">"1.70 %"</f>
        <v>1.70 %</v>
      </c>
      <c r="L317" s="15" t="str">
        <f aca="false">"0.77 V"</f>
        <v>0.77 V</v>
      </c>
      <c r="M317" s="15" t="str">
        <f aca="false">"5.50 mA cm^{-2}"</f>
        <v>5.50 mA cm^{-2}</v>
      </c>
      <c r="O317" s="0" t="s">
        <v>1259</v>
      </c>
    </row>
    <row r="318" customFormat="false" ht="13.8" hidden="false" customHeight="false" outlineLevel="0" collapsed="false">
      <c r="A318" s="0" t="s">
        <v>1255</v>
      </c>
      <c r="B318" s="0" t="n">
        <v>1</v>
      </c>
      <c r="D318" s="4" t="s">
        <v>1260</v>
      </c>
      <c r="E318" s="4" t="s">
        <v>1261</v>
      </c>
      <c r="F318" s="4" t="s">
        <v>1262</v>
      </c>
      <c r="G318" s="0" t="n">
        <v>1</v>
      </c>
      <c r="H318" s="0" t="s">
        <v>27</v>
      </c>
      <c r="J318" s="0" t="s">
        <v>28</v>
      </c>
      <c r="O318" s="0" t="s">
        <v>1263</v>
      </c>
    </row>
    <row r="319" customFormat="false" ht="13.8" hidden="false" customHeight="false" outlineLevel="0" collapsed="false">
      <c r="A319" s="0" t="s">
        <v>1264</v>
      </c>
      <c r="B319" s="0" t="n">
        <v>1</v>
      </c>
      <c r="D319" s="0" t="s">
        <v>208</v>
      </c>
      <c r="E319" s="0" t="s">
        <v>17</v>
      </c>
      <c r="F319" s="0" t="s">
        <v>18</v>
      </c>
      <c r="G319" s="0" t="n">
        <v>1</v>
      </c>
      <c r="H319" s="0" t="s">
        <v>33</v>
      </c>
      <c r="J319" s="4" t="s">
        <v>1265</v>
      </c>
      <c r="K319" s="0" t="str">
        <f aca="false">"3.39 %"</f>
        <v>3.39 %</v>
      </c>
      <c r="O319" s="0" t="s">
        <v>1266</v>
      </c>
    </row>
    <row r="320" customFormat="false" ht="13.8" hidden="false" customHeight="false" outlineLevel="0" collapsed="false">
      <c r="A320" s="0" t="s">
        <v>1267</v>
      </c>
      <c r="B320" s="0" t="n">
        <v>1</v>
      </c>
      <c r="D320" s="4" t="s">
        <v>85</v>
      </c>
      <c r="E320" s="4" t="s">
        <v>86</v>
      </c>
      <c r="F320" s="4" t="s">
        <v>87</v>
      </c>
      <c r="G320" s="0" t="n">
        <v>1</v>
      </c>
      <c r="H320" s="0" t="s">
        <v>27</v>
      </c>
      <c r="J320" s="0" t="s">
        <v>28</v>
      </c>
      <c r="K320" s="0" t="str">
        <f aca="false">"8.43 %"</f>
        <v>8.43 %</v>
      </c>
      <c r="O320" s="0" t="s">
        <v>1268</v>
      </c>
    </row>
    <row r="321" customFormat="false" ht="13.8" hidden="false" customHeight="false" outlineLevel="0" collapsed="false">
      <c r="A321" s="0" t="s">
        <v>1267</v>
      </c>
      <c r="B321" s="0" t="n">
        <v>1</v>
      </c>
      <c r="D321" s="4" t="s">
        <v>16</v>
      </c>
      <c r="E321" s="4" t="s">
        <v>17</v>
      </c>
      <c r="F321" s="4" t="s">
        <v>116</v>
      </c>
      <c r="G321" s="0" t="n">
        <v>1</v>
      </c>
      <c r="H321" s="0" t="s">
        <v>27</v>
      </c>
      <c r="J321" s="0" t="s">
        <v>28</v>
      </c>
      <c r="K321" s="0" t="str">
        <f aca="false">"3.04 %"</f>
        <v>3.04 %</v>
      </c>
      <c r="O321" s="0" t="s">
        <v>1269</v>
      </c>
    </row>
    <row r="322" customFormat="false" ht="13.8" hidden="false" customHeight="false" outlineLevel="0" collapsed="false">
      <c r="A322" s="0" t="s">
        <v>1270</v>
      </c>
      <c r="B322" s="0" t="n">
        <v>1</v>
      </c>
      <c r="D322" s="4" t="s">
        <v>1271</v>
      </c>
      <c r="E322" s="27" t="s">
        <v>1272</v>
      </c>
      <c r="F322" s="4" t="s">
        <v>1273</v>
      </c>
      <c r="G322" s="0" t="n">
        <v>1</v>
      </c>
      <c r="H322" s="0" t="s">
        <v>27</v>
      </c>
      <c r="J322" s="0" t="s">
        <v>1274</v>
      </c>
      <c r="K322" s="0" t="str">
        <f aca="false">"9.10 %"</f>
        <v>9.10 %</v>
      </c>
      <c r="O322" s="0" t="s">
        <v>1275</v>
      </c>
    </row>
    <row r="323" customFormat="false" ht="13.8" hidden="false" customHeight="false" outlineLevel="0" collapsed="false">
      <c r="A323" s="0" t="s">
        <v>1276</v>
      </c>
      <c r="B323" s="0" t="n">
        <v>1</v>
      </c>
      <c r="D323" s="0" t="s">
        <v>1277</v>
      </c>
      <c r="E323" s="4" t="s">
        <v>1278</v>
      </c>
      <c r="F323" s="0" t="s">
        <v>1279</v>
      </c>
      <c r="G323" s="0" t="n">
        <v>1</v>
      </c>
      <c r="H323" s="0" t="s">
        <v>33</v>
      </c>
      <c r="J323" s="0" t="s">
        <v>60</v>
      </c>
      <c r="K323" s="0" t="str">
        <f aca="false">"4.2 %"</f>
        <v>4.2 %</v>
      </c>
      <c r="L323" s="0" t="str">
        <f aca="false">"1 V"</f>
        <v>1 V</v>
      </c>
      <c r="O323" s="0" t="s">
        <v>1280</v>
      </c>
    </row>
    <row r="324" customFormat="false" ht="13.8" hidden="false" customHeight="false" outlineLevel="0" collapsed="false">
      <c r="A324" s="0" t="s">
        <v>1281</v>
      </c>
      <c r="B324" s="0" t="n">
        <v>1</v>
      </c>
      <c r="D324" s="0" t="s">
        <v>1282</v>
      </c>
      <c r="E324" s="27" t="s">
        <v>1283</v>
      </c>
      <c r="F324" s="0" t="s">
        <v>1284</v>
      </c>
      <c r="G324" s="0" t="n">
        <v>1</v>
      </c>
      <c r="H324" s="0" t="s">
        <v>27</v>
      </c>
      <c r="J324" s="0" t="s">
        <v>28</v>
      </c>
      <c r="K324" s="0" t="str">
        <f aca="false">"2.40 %"</f>
        <v>2.40 %</v>
      </c>
      <c r="L324" s="0" t="str">
        <f aca="false">"0.59 V"</f>
        <v>0.59 V</v>
      </c>
      <c r="O324" s="0" t="s">
        <v>1285</v>
      </c>
    </row>
    <row r="325" customFormat="false" ht="13.8" hidden="false" customHeight="false" outlineLevel="0" collapsed="false">
      <c r="A325" s="0" t="s">
        <v>1286</v>
      </c>
      <c r="B325" s="0" t="n">
        <v>1</v>
      </c>
      <c r="D325" s="0" t="s">
        <v>1287</v>
      </c>
      <c r="E325" s="27" t="s">
        <v>1288</v>
      </c>
      <c r="F325" s="4" t="s">
        <v>1289</v>
      </c>
      <c r="G325" s="0" t="n">
        <v>1</v>
      </c>
      <c r="H325" s="4" t="s">
        <v>76</v>
      </c>
      <c r="J325" s="4" t="s">
        <v>77</v>
      </c>
      <c r="K325" s="0" t="str">
        <f aca="false">"4.02 %"</f>
        <v>4.02 %</v>
      </c>
      <c r="L325" s="0" t="str">
        <f aca="false">"0.94 V"</f>
        <v>0.94 V</v>
      </c>
      <c r="O325" s="0" t="s">
        <v>1290</v>
      </c>
    </row>
    <row r="326" customFormat="false" ht="13.8" hidden="false" customHeight="false" outlineLevel="0" collapsed="false">
      <c r="A326" s="0" t="s">
        <v>1291</v>
      </c>
      <c r="B326" s="0" t="n">
        <v>1</v>
      </c>
      <c r="D326" s="4" t="s">
        <v>1292</v>
      </c>
      <c r="E326" s="4" t="s">
        <v>1293</v>
      </c>
      <c r="F326" s="4" t="s">
        <v>1294</v>
      </c>
      <c r="G326" s="0" t="n">
        <v>1</v>
      </c>
      <c r="H326" s="0" t="s">
        <v>76</v>
      </c>
      <c r="J326" s="0" t="s">
        <v>40</v>
      </c>
      <c r="K326" s="0" t="str">
        <f aca="false">"4.20 %"</f>
        <v>4.20 %</v>
      </c>
      <c r="O326" s="0" t="s">
        <v>1295</v>
      </c>
    </row>
    <row r="327" customFormat="false" ht="13.8" hidden="false" customHeight="false" outlineLevel="0" collapsed="false">
      <c r="A327" s="0" t="s">
        <v>1291</v>
      </c>
      <c r="B327" s="0" t="n">
        <v>1</v>
      </c>
      <c r="D327" s="0" t="s">
        <v>1296</v>
      </c>
      <c r="E327" s="27" t="s">
        <v>1297</v>
      </c>
      <c r="F327" s="0" t="s">
        <v>1298</v>
      </c>
      <c r="G327" s="0" t="n">
        <v>1</v>
      </c>
      <c r="H327" s="0" t="s">
        <v>76</v>
      </c>
      <c r="J327" s="0" t="s">
        <v>77</v>
      </c>
      <c r="K327" s="9" t="n">
        <v>0.0425</v>
      </c>
    </row>
    <row r="328" customFormat="false" ht="13.8" hidden="false" customHeight="false" outlineLevel="0" collapsed="false">
      <c r="A328" s="0" t="s">
        <v>1299</v>
      </c>
      <c r="B328" s="0" t="n">
        <v>1</v>
      </c>
      <c r="D328" s="4" t="s">
        <v>1300</v>
      </c>
      <c r="E328" s="27" t="s">
        <v>1301</v>
      </c>
      <c r="F328" s="4" t="s">
        <v>1302</v>
      </c>
      <c r="G328" s="0" t="n">
        <v>1</v>
      </c>
      <c r="H328" s="0" t="s">
        <v>27</v>
      </c>
      <c r="J328" s="0" t="s">
        <v>28</v>
      </c>
      <c r="K328" s="0" t="str">
        <f aca="false">"8.11 %"</f>
        <v>8.11 %</v>
      </c>
      <c r="O328" s="0" t="s">
        <v>1303</v>
      </c>
    </row>
    <row r="329" customFormat="false" ht="13.8" hidden="false" customHeight="false" outlineLevel="0" collapsed="false">
      <c r="A329" s="0" t="s">
        <v>1304</v>
      </c>
      <c r="B329" s="0" t="n">
        <v>1</v>
      </c>
      <c r="D329" s="0" t="s">
        <v>1305</v>
      </c>
      <c r="E329" s="27" t="s">
        <v>1306</v>
      </c>
      <c r="F329" s="0" t="s">
        <v>1307</v>
      </c>
      <c r="G329" s="0" t="n">
        <v>1</v>
      </c>
      <c r="H329" s="0" t="s">
        <v>27</v>
      </c>
      <c r="J329" s="0" t="s">
        <v>1308</v>
      </c>
      <c r="K329" s="15" t="str">
        <f aca="false">"5.52 %"</f>
        <v>5.52 %</v>
      </c>
      <c r="L329" s="0" t="str">
        <f aca="false">"0.95 V"</f>
        <v>0.95 V</v>
      </c>
      <c r="M329" s="15" t="str">
        <f aca="false">"11.43 mA cm^{-2}"</f>
        <v>11.43 mA cm^{-2}</v>
      </c>
      <c r="N329" s="0" t="str">
        <f aca="false">"72.1 %"</f>
        <v>72.1 %</v>
      </c>
      <c r="O329" s="0" t="s">
        <v>1309</v>
      </c>
    </row>
    <row r="330" customFormat="false" ht="13.8" hidden="false" customHeight="false" outlineLevel="0" collapsed="false">
      <c r="A330" s="0" t="s">
        <v>1310</v>
      </c>
      <c r="B330" s="0" t="n">
        <v>1</v>
      </c>
      <c r="D330" s="4" t="s">
        <v>1311</v>
      </c>
      <c r="E330" s="27" t="s">
        <v>1312</v>
      </c>
      <c r="F330" s="4" t="s">
        <v>1313</v>
      </c>
      <c r="G330" s="0" t="n">
        <v>1</v>
      </c>
      <c r="H330" s="0" t="s">
        <v>758</v>
      </c>
      <c r="J330" s="0" t="s">
        <v>1314</v>
      </c>
      <c r="K330" s="15" t="str">
        <f aca="false">"1.6 %"</f>
        <v>1.6 %</v>
      </c>
      <c r="L330" s="0" t="str">
        <f aca="false">"0.84 V"</f>
        <v>0.84 V</v>
      </c>
      <c r="O330" s="0" t="s">
        <v>1315</v>
      </c>
    </row>
    <row r="331" customFormat="false" ht="13.8" hidden="false" customHeight="false" outlineLevel="0" collapsed="false">
      <c r="A331" s="0" t="s">
        <v>1316</v>
      </c>
      <c r="B331" s="0" t="n">
        <v>1</v>
      </c>
      <c r="D331" s="0" t="s">
        <v>1317</v>
      </c>
      <c r="E331" s="27" t="s">
        <v>1318</v>
      </c>
      <c r="F331" s="0" t="s">
        <v>1319</v>
      </c>
      <c r="G331" s="0" t="n">
        <v>1</v>
      </c>
      <c r="H331" s="0" t="s">
        <v>33</v>
      </c>
      <c r="J331" s="4" t="s">
        <v>1320</v>
      </c>
      <c r="K331" s="0" t="str">
        <f aca="false">"2.14 %"</f>
        <v>2.14 %</v>
      </c>
      <c r="L331" s="0" t="str">
        <f aca="false">"0.99 V"</f>
        <v>0.99 V</v>
      </c>
      <c r="M331" s="0" t="str">
        <f aca="false">"4.24 mA/cm^{2}"</f>
        <v>4.24 mA/cm^{2}</v>
      </c>
      <c r="O331" s="0" t="s">
        <v>1321</v>
      </c>
    </row>
    <row r="332" customFormat="false" ht="13.8" hidden="false" customHeight="false" outlineLevel="0" collapsed="false">
      <c r="A332" s="0" t="s">
        <v>1322</v>
      </c>
      <c r="B332" s="0" t="n">
        <v>1</v>
      </c>
      <c r="D332" s="0" t="s">
        <v>16</v>
      </c>
      <c r="E332" s="0" t="s">
        <v>17</v>
      </c>
      <c r="F332" s="4" t="s">
        <v>1323</v>
      </c>
      <c r="G332" s="0" t="n">
        <v>1</v>
      </c>
      <c r="H332" s="0" t="s">
        <v>76</v>
      </c>
      <c r="J332" s="4" t="s">
        <v>1324</v>
      </c>
      <c r="K332" s="0" t="str">
        <f aca="false">"3.46±0.07 %"</f>
        <v>3.46±0.07 %</v>
      </c>
      <c r="L332" s="0" t="str">
        <f aca="false">"0.61±0.01 V"</f>
        <v>0.61±0.01 V</v>
      </c>
      <c r="M332" s="0" t="str">
        <f aca="false">"9.24±0.09 mA/cm^{2}"</f>
        <v>9.24±0.09 mA/cm^{2}</v>
      </c>
      <c r="N332" s="0" t="str">
        <f aca="false">"0.60±0.01"</f>
        <v>0.60±0.01</v>
      </c>
      <c r="O332" s="0" t="s">
        <v>1325</v>
      </c>
    </row>
    <row r="333" customFormat="false" ht="13.8" hidden="false" customHeight="false" outlineLevel="0" collapsed="false">
      <c r="A333" s="0" t="s">
        <v>1326</v>
      </c>
      <c r="B333" s="0" t="n">
        <v>1</v>
      </c>
      <c r="D333" s="4" t="s">
        <v>124</v>
      </c>
      <c r="E333" s="27" t="s">
        <v>1327</v>
      </c>
      <c r="F333" s="4" t="s">
        <v>427</v>
      </c>
      <c r="G333" s="0" t="n">
        <v>1</v>
      </c>
      <c r="H333" s="0" t="s">
        <v>27</v>
      </c>
      <c r="J333" s="0" t="s">
        <v>28</v>
      </c>
      <c r="K333" s="0" t="str">
        <f aca="false">"3.17 %"</f>
        <v>3.17 %</v>
      </c>
      <c r="L333" s="0" t="str">
        <f aca="false">"0.86V"</f>
        <v>0.86V</v>
      </c>
      <c r="O333" s="0" t="s">
        <v>1328</v>
      </c>
    </row>
    <row r="334" customFormat="false" ht="13.8" hidden="false" customHeight="false" outlineLevel="0" collapsed="false">
      <c r="A334" s="0" t="s">
        <v>1329</v>
      </c>
      <c r="B334" s="0" t="n">
        <v>1</v>
      </c>
      <c r="D334" s="0" t="s">
        <v>1330</v>
      </c>
      <c r="E334" s="0" t="s">
        <v>17</v>
      </c>
      <c r="F334" s="4" t="s">
        <v>1331</v>
      </c>
      <c r="G334" s="0" t="n">
        <v>1</v>
      </c>
      <c r="H334" s="0" t="s">
        <v>33</v>
      </c>
      <c r="J334" s="4" t="s">
        <v>1332</v>
      </c>
      <c r="K334" s="0" t="str">
        <f aca="false">"3.71 %"</f>
        <v>3.71 %</v>
      </c>
      <c r="O334" s="0" t="s">
        <v>1333</v>
      </c>
    </row>
    <row r="335" customFormat="false" ht="13.8" hidden="false" customHeight="false" outlineLevel="0" collapsed="false">
      <c r="A335" s="0" t="s">
        <v>1334</v>
      </c>
      <c r="B335" s="0" t="n">
        <v>1</v>
      </c>
      <c r="D335" s="4" t="s">
        <v>109</v>
      </c>
      <c r="E335" s="0" t="s">
        <v>110</v>
      </c>
      <c r="F335" s="4" t="s">
        <v>111</v>
      </c>
      <c r="G335" s="0" t="n">
        <v>1</v>
      </c>
      <c r="H335" s="0" t="s">
        <v>66</v>
      </c>
      <c r="J335" s="0" t="s">
        <v>40</v>
      </c>
      <c r="K335" s="0" t="str">
        <f aca="false">"4.55 %"</f>
        <v>4.55 %</v>
      </c>
      <c r="O335" s="0" t="s">
        <v>1335</v>
      </c>
    </row>
    <row r="336" customFormat="false" ht="13.8" hidden="false" customHeight="false" outlineLevel="0" collapsed="false">
      <c r="A336" s="0" t="s">
        <v>1336</v>
      </c>
      <c r="B336" s="0" t="n">
        <v>1</v>
      </c>
      <c r="D336" s="4" t="s">
        <v>109</v>
      </c>
      <c r="E336" s="0" t="s">
        <v>110</v>
      </c>
      <c r="F336" s="4" t="s">
        <v>1337</v>
      </c>
      <c r="G336" s="0" t="n">
        <v>1</v>
      </c>
      <c r="H336" s="0" t="s">
        <v>27</v>
      </c>
      <c r="J336" s="4" t="s">
        <v>1338</v>
      </c>
      <c r="K336" s="0" t="str">
        <f aca="false">"3.65 %"</f>
        <v>3.65 %</v>
      </c>
      <c r="O336" s="0" t="s">
        <v>1339</v>
      </c>
    </row>
    <row r="337" customFormat="false" ht="13.8" hidden="false" customHeight="false" outlineLevel="0" collapsed="false">
      <c r="A337" s="0" t="s">
        <v>1340</v>
      </c>
      <c r="B337" s="0" t="n">
        <v>1</v>
      </c>
      <c r="D337" s="0" t="s">
        <v>1341</v>
      </c>
      <c r="E337" s="0" t="s">
        <v>1342</v>
      </c>
      <c r="F337" s="0" t="s">
        <v>1343</v>
      </c>
      <c r="G337" s="0" t="n">
        <v>1</v>
      </c>
      <c r="H337" s="0" t="s">
        <v>27</v>
      </c>
      <c r="J337" s="0" t="s">
        <v>28</v>
      </c>
      <c r="K337" s="0" t="str">
        <f aca="false">"9.72 %"</f>
        <v>9.72 %</v>
      </c>
      <c r="O337" s="0" t="s">
        <v>1344</v>
      </c>
    </row>
    <row r="338" customFormat="false" ht="13.8" hidden="false" customHeight="false" outlineLevel="0" collapsed="false">
      <c r="A338" s="0" t="s">
        <v>1345</v>
      </c>
      <c r="B338" s="0" t="n">
        <v>1</v>
      </c>
      <c r="D338" s="0" t="s">
        <v>1346</v>
      </c>
      <c r="E338" s="0" t="s">
        <v>110</v>
      </c>
      <c r="F338" s="4" t="s">
        <v>1347</v>
      </c>
      <c r="G338" s="0" t="n">
        <v>1</v>
      </c>
      <c r="H338" s="0" t="s">
        <v>66</v>
      </c>
      <c r="J338" s="4" t="s">
        <v>1348</v>
      </c>
      <c r="K338" s="23" t="s">
        <v>1349</v>
      </c>
      <c r="O338" s="0" t="s">
        <v>1350</v>
      </c>
    </row>
    <row r="339" customFormat="false" ht="13.8" hidden="false" customHeight="false" outlineLevel="0" collapsed="false">
      <c r="A339" s="0" t="s">
        <v>1345</v>
      </c>
      <c r="B339" s="0" t="n">
        <v>1</v>
      </c>
      <c r="D339" s="0" t="s">
        <v>16</v>
      </c>
      <c r="E339" s="0" t="s">
        <v>17</v>
      </c>
      <c r="F339" s="27" t="s">
        <v>1351</v>
      </c>
      <c r="G339" s="0" t="n">
        <v>1</v>
      </c>
      <c r="H339" s="0" t="s">
        <v>33</v>
      </c>
      <c r="J339" s="4" t="s">
        <v>1352</v>
      </c>
      <c r="K339" s="23" t="s">
        <v>1353</v>
      </c>
    </row>
    <row r="340" customFormat="false" ht="13.8" hidden="false" customHeight="false" outlineLevel="0" collapsed="false">
      <c r="A340" s="0" t="s">
        <v>1354</v>
      </c>
      <c r="B340" s="0" t="n">
        <v>1</v>
      </c>
      <c r="D340" s="0" t="s">
        <v>31</v>
      </c>
      <c r="E340" s="0" t="s">
        <v>17</v>
      </c>
      <c r="F340" s="0" t="s">
        <v>1355</v>
      </c>
      <c r="G340" s="0" t="n">
        <v>1</v>
      </c>
      <c r="H340" s="0" t="s">
        <v>33</v>
      </c>
      <c r="J340" s="0" t="s">
        <v>1332</v>
      </c>
      <c r="K340" s="0" t="str">
        <f aca="false">"1.11 %"</f>
        <v>1.11 %</v>
      </c>
      <c r="O340" s="0" t="s">
        <v>1356</v>
      </c>
    </row>
    <row r="341" customFormat="false" ht="13.8" hidden="false" customHeight="false" outlineLevel="0" collapsed="false">
      <c r="A341" s="0" t="s">
        <v>1357</v>
      </c>
      <c r="B341" s="0" t="n">
        <v>1</v>
      </c>
      <c r="D341" s="4" t="s">
        <v>1358</v>
      </c>
      <c r="E341" s="0" t="s">
        <v>1359</v>
      </c>
      <c r="F341" s="4" t="s">
        <v>1360</v>
      </c>
      <c r="G341" s="0" t="n">
        <v>1</v>
      </c>
      <c r="H341" s="0" t="s">
        <v>27</v>
      </c>
      <c r="J341" s="4" t="s">
        <v>1361</v>
      </c>
      <c r="K341" s="0" t="str">
        <f aca="false">"3.3 %"</f>
        <v>3.3 %</v>
      </c>
      <c r="O341" s="0" t="s">
        <v>1362</v>
      </c>
    </row>
    <row r="342" customFormat="false" ht="13.8" hidden="false" customHeight="false" outlineLevel="0" collapsed="false">
      <c r="A342" s="0" t="s">
        <v>1363</v>
      </c>
      <c r="B342" s="0" t="n">
        <v>1</v>
      </c>
      <c r="D342" s="0" t="s">
        <v>1364</v>
      </c>
      <c r="E342" s="4" t="s">
        <v>1365</v>
      </c>
      <c r="F342" s="0" t="s">
        <v>1366</v>
      </c>
      <c r="G342" s="0" t="n">
        <v>0</v>
      </c>
      <c r="H342" s="4" t="s">
        <v>1367</v>
      </c>
      <c r="I342" s="0" t="s">
        <v>1368</v>
      </c>
      <c r="J342" s="4" t="s">
        <v>1369</v>
      </c>
      <c r="K342" s="0" t="str">
        <f aca="false">"2.01 %"</f>
        <v>2.01 %</v>
      </c>
      <c r="L342" s="0" t="str">
        <f aca="false">"1.30 V"</f>
        <v>1.30 V</v>
      </c>
      <c r="O342" s="0" t="s">
        <v>1370</v>
      </c>
    </row>
    <row r="343" customFormat="false" ht="13.8" hidden="false" customHeight="false" outlineLevel="0" collapsed="false">
      <c r="A343" s="0" t="s">
        <v>1371</v>
      </c>
      <c r="B343" s="0" t="n">
        <v>1</v>
      </c>
      <c r="D343" s="4" t="s">
        <v>201</v>
      </c>
      <c r="E343" s="4" t="s">
        <v>202</v>
      </c>
      <c r="F343" s="4" t="s">
        <v>1372</v>
      </c>
      <c r="G343" s="0" t="n">
        <v>1</v>
      </c>
      <c r="H343" s="0" t="s">
        <v>27</v>
      </c>
      <c r="J343" s="4" t="s">
        <v>1338</v>
      </c>
      <c r="K343" s="0" t="str">
        <f aca="false">"8.85 %"</f>
        <v>8.85 %</v>
      </c>
      <c r="O343" s="0" t="s">
        <v>1373</v>
      </c>
    </row>
    <row r="344" customFormat="false" ht="13.8" hidden="false" customHeight="false" outlineLevel="0" collapsed="false">
      <c r="A344" s="0" t="s">
        <v>1371</v>
      </c>
      <c r="B344" s="0" t="n">
        <v>1</v>
      </c>
      <c r="D344" s="0" t="s">
        <v>16</v>
      </c>
      <c r="E344" s="0" t="s">
        <v>17</v>
      </c>
      <c r="F344" s="0" t="s">
        <v>1351</v>
      </c>
      <c r="G344" s="0" t="n">
        <v>1</v>
      </c>
      <c r="H344" s="0" t="s">
        <v>76</v>
      </c>
      <c r="J344" s="27" t="s">
        <v>1374</v>
      </c>
      <c r="K344" s="9" t="n">
        <v>0.0406</v>
      </c>
    </row>
    <row r="345" customFormat="false" ht="13.8" hidden="false" customHeight="false" outlineLevel="0" collapsed="false">
      <c r="A345" s="0" t="s">
        <v>1375</v>
      </c>
      <c r="B345" s="0" t="n">
        <v>1</v>
      </c>
      <c r="D345" s="0" t="s">
        <v>1376</v>
      </c>
      <c r="E345" s="4" t="s">
        <v>1377</v>
      </c>
      <c r="F345" s="0" t="s">
        <v>1378</v>
      </c>
      <c r="G345" s="27" t="n">
        <v>0</v>
      </c>
      <c r="H345" s="4" t="s">
        <v>163</v>
      </c>
      <c r="I345" s="4" t="s">
        <v>164</v>
      </c>
      <c r="J345" s="4" t="s">
        <v>165</v>
      </c>
      <c r="K345" s="0" t="str">
        <f aca="false">"5.8 %"</f>
        <v>5.8 %</v>
      </c>
      <c r="L345" s="0" t="str">
        <f aca="false">"0.74 V"</f>
        <v>0.74 V</v>
      </c>
      <c r="M345" s="0" t="str">
        <f aca="false">"15.7 mA cm^{-2}"</f>
        <v>15.7 mA cm^{-2}</v>
      </c>
      <c r="N345" s="0" t="str">
        <f aca="false">"49.8 %"</f>
        <v>49.8 %</v>
      </c>
      <c r="O345" s="0" t="s">
        <v>1379</v>
      </c>
    </row>
    <row r="346" customFormat="false" ht="13.8" hidden="false" customHeight="false" outlineLevel="0" collapsed="false">
      <c r="A346" s="0" t="s">
        <v>1375</v>
      </c>
      <c r="B346" s="0" t="n">
        <v>1</v>
      </c>
      <c r="D346" s="0" t="s">
        <v>1380</v>
      </c>
      <c r="E346" s="27" t="s">
        <v>1381</v>
      </c>
      <c r="F346" s="0" t="s">
        <v>1382</v>
      </c>
      <c r="G346" s="0" t="n">
        <v>0</v>
      </c>
      <c r="H346" s="0" t="s">
        <v>163</v>
      </c>
      <c r="I346" s="0" t="s">
        <v>164</v>
      </c>
      <c r="J346" s="27" t="s">
        <v>165</v>
      </c>
      <c r="K346" s="29" t="n">
        <v>0.104</v>
      </c>
      <c r="L346" s="0" t="s">
        <v>1383</v>
      </c>
      <c r="M346" s="0" t="s">
        <v>1384</v>
      </c>
      <c r="N346" s="29" t="n">
        <v>0.602</v>
      </c>
    </row>
    <row r="347" customFormat="false" ht="13.8" hidden="false" customHeight="false" outlineLevel="0" collapsed="false">
      <c r="A347" s="0" t="s">
        <v>1385</v>
      </c>
      <c r="B347" s="0" t="n">
        <v>1</v>
      </c>
      <c r="D347" s="4" t="s">
        <v>1386</v>
      </c>
      <c r="E347" s="30" t="s">
        <v>1387</v>
      </c>
      <c r="F347" s="4" t="s">
        <v>1388</v>
      </c>
      <c r="G347" s="0" t="n">
        <v>0</v>
      </c>
      <c r="H347" s="4" t="s">
        <v>1389</v>
      </c>
      <c r="I347" s="0" t="s">
        <v>1390</v>
      </c>
      <c r="J347" s="4" t="s">
        <v>1391</v>
      </c>
      <c r="K347" s="0" t="str">
        <f aca="false">"12.53 %"</f>
        <v>12.53 %</v>
      </c>
      <c r="O347" s="0" t="s">
        <v>1392</v>
      </c>
    </row>
    <row r="348" customFormat="false" ht="13.8" hidden="false" customHeight="false" outlineLevel="0" collapsed="false">
      <c r="A348" s="0" t="s">
        <v>1385</v>
      </c>
      <c r="B348" s="0" t="n">
        <v>1</v>
      </c>
      <c r="D348" s="0" t="s">
        <v>1386</v>
      </c>
      <c r="E348" s="30" t="s">
        <v>1387</v>
      </c>
      <c r="F348" s="0" t="s">
        <v>1388</v>
      </c>
      <c r="G348" s="0" t="n">
        <v>0</v>
      </c>
      <c r="H348" s="0" t="s">
        <v>1393</v>
      </c>
      <c r="I348" s="0" t="s">
        <v>1394</v>
      </c>
      <c r="J348" s="0" t="s">
        <v>1395</v>
      </c>
      <c r="K348" s="0" t="str">
        <f aca="false">"12.53 %"</f>
        <v>12.53 %</v>
      </c>
    </row>
    <row r="349" customFormat="false" ht="13.8" hidden="false" customHeight="false" outlineLevel="0" collapsed="false">
      <c r="A349" s="0" t="s">
        <v>1396</v>
      </c>
      <c r="B349" s="0" t="n">
        <v>1</v>
      </c>
      <c r="D349" s="0" t="s">
        <v>1397</v>
      </c>
      <c r="E349" s="0" t="s">
        <v>1398</v>
      </c>
      <c r="F349" s="0" t="s">
        <v>1399</v>
      </c>
      <c r="G349" s="0" t="n">
        <v>0</v>
      </c>
      <c r="H349" s="4" t="s">
        <v>1400</v>
      </c>
      <c r="I349" s="0" t="s">
        <v>1401</v>
      </c>
      <c r="J349" s="4" t="s">
        <v>1402</v>
      </c>
      <c r="K349" s="0" t="str">
        <f aca="false">"11.05 %"</f>
        <v>11.05 %</v>
      </c>
      <c r="L349" s="15" t="str">
        <f aca="false">"0.95-0.96 V"</f>
        <v>0.95-0.96 V</v>
      </c>
      <c r="O349" s="0" t="s">
        <v>1403</v>
      </c>
    </row>
    <row r="350" customFormat="false" ht="13.8" hidden="false" customHeight="false" outlineLevel="0" collapsed="false">
      <c r="A350" s="0" t="s">
        <v>1396</v>
      </c>
      <c r="B350" s="0" t="n">
        <v>1</v>
      </c>
      <c r="D350" s="0" t="s">
        <v>1397</v>
      </c>
      <c r="E350" s="0" t="s">
        <v>1398</v>
      </c>
      <c r="F350" s="0" t="s">
        <v>1399</v>
      </c>
      <c r="G350" s="0" t="n">
        <v>0</v>
      </c>
      <c r="H350" s="0" t="s">
        <v>163</v>
      </c>
      <c r="I350" s="0" t="s">
        <v>164</v>
      </c>
      <c r="J350" s="27" t="s">
        <v>165</v>
      </c>
      <c r="K350" s="9" t="str">
        <f aca="false">"10.60 %"</f>
        <v>10.60 %</v>
      </c>
      <c r="L350" s="15" t="str">
        <f aca="false">"0.95-0.96 V"</f>
        <v>0.95-0.96 V</v>
      </c>
    </row>
    <row r="351" customFormat="false" ht="13.8" hidden="false" customHeight="false" outlineLevel="0" collapsed="false">
      <c r="A351" s="0" t="s">
        <v>1404</v>
      </c>
      <c r="B351" s="0" t="n">
        <v>1</v>
      </c>
      <c r="D351" s="4" t="s">
        <v>63</v>
      </c>
      <c r="E351" s="4" t="s">
        <v>64</v>
      </c>
      <c r="F351" s="4" t="s">
        <v>65</v>
      </c>
      <c r="G351" s="0" t="n">
        <v>1</v>
      </c>
      <c r="H351" s="4" t="s">
        <v>66</v>
      </c>
      <c r="I351" s="4"/>
      <c r="J351" s="4" t="s">
        <v>67</v>
      </c>
      <c r="K351" s="0" t="str">
        <f aca="false">"7.42 %"</f>
        <v>7.42 %</v>
      </c>
      <c r="O351" s="0" t="s">
        <v>1405</v>
      </c>
    </row>
    <row r="352" customFormat="false" ht="13.8" hidden="false" customHeight="false" outlineLevel="0" collapsed="false">
      <c r="A352" s="0" t="s">
        <v>1404</v>
      </c>
      <c r="B352" s="0" t="n">
        <v>1</v>
      </c>
      <c r="D352" s="4" t="s">
        <v>243</v>
      </c>
      <c r="E352" s="4" t="s">
        <v>244</v>
      </c>
      <c r="F352" s="4" t="s">
        <v>245</v>
      </c>
      <c r="G352" s="0" t="n">
        <v>1</v>
      </c>
      <c r="H352" s="4" t="s">
        <v>66</v>
      </c>
      <c r="I352" s="4"/>
      <c r="J352" s="4" t="s">
        <v>67</v>
      </c>
      <c r="K352" s="0" t="str">
        <f aca="false">"6.29 %"</f>
        <v>6.29 %</v>
      </c>
      <c r="O352" s="0" t="s">
        <v>1406</v>
      </c>
    </row>
    <row r="353" customFormat="false" ht="13.8" hidden="false" customHeight="false" outlineLevel="0" collapsed="false">
      <c r="A353" s="0" t="s">
        <v>1404</v>
      </c>
      <c r="B353" s="0" t="n">
        <v>1</v>
      </c>
      <c r="D353" s="0" t="s">
        <v>16</v>
      </c>
      <c r="E353" s="0" t="s">
        <v>17</v>
      </c>
      <c r="F353" s="0" t="s">
        <v>116</v>
      </c>
      <c r="G353" s="0" t="n">
        <v>1</v>
      </c>
      <c r="H353" s="27" t="s">
        <v>33</v>
      </c>
      <c r="J353" s="27" t="s">
        <v>34</v>
      </c>
      <c r="K353" s="9" t="n">
        <v>0.0388</v>
      </c>
    </row>
    <row r="354" customFormat="false" ht="13.8" hidden="false" customHeight="false" outlineLevel="0" collapsed="false">
      <c r="A354" s="0" t="s">
        <v>1407</v>
      </c>
      <c r="B354" s="0" t="n">
        <v>1</v>
      </c>
      <c r="D354" s="0" t="s">
        <v>1408</v>
      </c>
      <c r="E354" s="0" t="s">
        <v>1409</v>
      </c>
      <c r="F354" s="0" t="s">
        <v>1410</v>
      </c>
      <c r="G354" s="0" t="n">
        <v>1</v>
      </c>
      <c r="H354" s="0" t="s">
        <v>76</v>
      </c>
      <c r="J354" s="0" t="s">
        <v>77</v>
      </c>
      <c r="K354" s="0" t="str">
        <f aca="false">"2.40 %"</f>
        <v>2.40 %</v>
      </c>
      <c r="O354" s="0" t="s">
        <v>1411</v>
      </c>
    </row>
    <row r="355" customFormat="false" ht="13.8" hidden="false" customHeight="false" outlineLevel="0" collapsed="false">
      <c r="A355" s="0" t="s">
        <v>1407</v>
      </c>
      <c r="B355" s="0" t="n">
        <v>1</v>
      </c>
      <c r="D355" s="0" t="s">
        <v>1412</v>
      </c>
      <c r="E355" s="0" t="s">
        <v>1413</v>
      </c>
      <c r="F355" s="0" t="s">
        <v>1414</v>
      </c>
      <c r="G355" s="0" t="n">
        <v>1</v>
      </c>
      <c r="H355" s="0" t="s">
        <v>76</v>
      </c>
      <c r="J355" s="0" t="s">
        <v>77</v>
      </c>
      <c r="K355" s="9" t="str">
        <f aca="false">"0.85"</f>
        <v>0.85</v>
      </c>
    </row>
    <row r="356" customFormat="false" ht="13.8" hidden="false" customHeight="false" outlineLevel="0" collapsed="false">
      <c r="A356" s="0" t="s">
        <v>1415</v>
      </c>
      <c r="B356" s="0" t="n">
        <v>1</v>
      </c>
      <c r="D356" s="0" t="s">
        <v>1416</v>
      </c>
      <c r="E356" s="0" t="s">
        <v>1417</v>
      </c>
      <c r="F356" s="0" t="s">
        <v>1418</v>
      </c>
      <c r="G356" s="0" t="n">
        <v>0</v>
      </c>
      <c r="H356" s="0" t="s">
        <v>1419</v>
      </c>
      <c r="I356" s="0" t="s">
        <v>164</v>
      </c>
      <c r="J356" s="0" t="s">
        <v>40</v>
      </c>
      <c r="K356" s="0" t="str">
        <f aca="false">"11.47 %"</f>
        <v>11.47 %</v>
      </c>
      <c r="L356" s="0" t="str">
        <f aca="false">"0.91 V"</f>
        <v>0.91 V</v>
      </c>
      <c r="M356" s="15" t="str">
        <f aca="false">"15.62 mA cm^{-2}"</f>
        <v>15.62 mA cm^{-2}</v>
      </c>
      <c r="O356" s="0" t="s">
        <v>1420</v>
      </c>
    </row>
    <row r="357" customFormat="false" ht="13.8" hidden="false" customHeight="false" outlineLevel="0" collapsed="false">
      <c r="A357" s="0" t="s">
        <v>1421</v>
      </c>
      <c r="B357" s="0" t="n">
        <v>1</v>
      </c>
      <c r="D357" s="0" t="s">
        <v>201</v>
      </c>
      <c r="E357" s="0" t="s">
        <v>202</v>
      </c>
      <c r="F357" s="0" t="s">
        <v>422</v>
      </c>
      <c r="G357" s="0" t="n">
        <v>1</v>
      </c>
      <c r="H357" s="0" t="s">
        <v>27</v>
      </c>
      <c r="J357" s="0" t="s">
        <v>28</v>
      </c>
      <c r="K357" s="0" t="str">
        <f aca="false">"8.95 %"</f>
        <v>8.95 %</v>
      </c>
      <c r="O357" s="0" t="s">
        <v>1422</v>
      </c>
    </row>
    <row r="358" customFormat="false" ht="13.8" hidden="false" customHeight="false" outlineLevel="0" collapsed="false">
      <c r="A358" s="0" t="s">
        <v>1423</v>
      </c>
      <c r="B358" s="0" t="n">
        <v>1</v>
      </c>
      <c r="D358" s="0" t="s">
        <v>16</v>
      </c>
      <c r="E358" s="0" t="s">
        <v>17</v>
      </c>
      <c r="F358" s="0" t="s">
        <v>18</v>
      </c>
      <c r="G358" s="0" t="n">
        <v>1</v>
      </c>
      <c r="H358" s="0" t="s">
        <v>76</v>
      </c>
      <c r="J358" s="4" t="s">
        <v>1324</v>
      </c>
      <c r="K358" s="0" t="str">
        <f aca="false">"4.16 %"</f>
        <v>4.16 %</v>
      </c>
      <c r="N358" s="0" t="str">
        <f aca="false">"70 %"</f>
        <v>70 %</v>
      </c>
      <c r="O358" s="0" t="s">
        <v>1424</v>
      </c>
    </row>
    <row r="359" customFormat="false" ht="13.8" hidden="false" customHeight="false" outlineLevel="0" collapsed="false">
      <c r="A359" s="0" t="s">
        <v>1425</v>
      </c>
      <c r="B359" s="0" t="n">
        <v>1</v>
      </c>
      <c r="D359" s="0" t="s">
        <v>1426</v>
      </c>
      <c r="E359" s="0" t="s">
        <v>1427</v>
      </c>
      <c r="F359" s="4" t="s">
        <v>1428</v>
      </c>
      <c r="G359" s="0" t="n">
        <v>0</v>
      </c>
      <c r="H359" s="4" t="s">
        <v>1429</v>
      </c>
      <c r="I359" s="0" t="s">
        <v>1430</v>
      </c>
      <c r="J359" s="4" t="s">
        <v>1431</v>
      </c>
      <c r="K359" s="23" t="s">
        <v>1432</v>
      </c>
      <c r="O359" s="0" t="s">
        <v>1433</v>
      </c>
    </row>
    <row r="360" customFormat="false" ht="13.8" hidden="false" customHeight="false" outlineLevel="0" collapsed="false">
      <c r="A360" s="0" t="s">
        <v>1434</v>
      </c>
      <c r="B360" s="0" t="n">
        <v>1</v>
      </c>
      <c r="D360" s="0" t="s">
        <v>85</v>
      </c>
      <c r="E360" s="0" t="s">
        <v>86</v>
      </c>
      <c r="F360" s="0" t="s">
        <v>1038</v>
      </c>
      <c r="G360" s="0" t="n">
        <v>1</v>
      </c>
      <c r="H360" s="0" t="s">
        <v>27</v>
      </c>
      <c r="J360" s="0" t="s">
        <v>28</v>
      </c>
      <c r="K360" s="0" t="str">
        <f aca="false">"10.71 %"</f>
        <v>10.71 %</v>
      </c>
      <c r="O360" s="0" t="s">
        <v>1435</v>
      </c>
    </row>
    <row r="361" customFormat="false" ht="13.8" hidden="false" customHeight="false" outlineLevel="0" collapsed="false">
      <c r="A361" s="0" t="s">
        <v>1436</v>
      </c>
      <c r="B361" s="0" t="n">
        <v>1</v>
      </c>
      <c r="D361" s="0" t="s">
        <v>1437</v>
      </c>
      <c r="E361" s="0" t="s">
        <v>1438</v>
      </c>
      <c r="F361" s="0" t="s">
        <v>1439</v>
      </c>
      <c r="G361" s="0" t="n">
        <v>1</v>
      </c>
      <c r="H361" s="0" t="s">
        <v>27</v>
      </c>
      <c r="J361" s="0" t="s">
        <v>40</v>
      </c>
      <c r="K361" s="0" t="str">
        <f aca="false">"8 %"</f>
        <v>8 %</v>
      </c>
      <c r="O361" s="0" t="s">
        <v>1440</v>
      </c>
    </row>
    <row r="362" customFormat="false" ht="13.8" hidden="false" customHeight="false" outlineLevel="0" collapsed="false">
      <c r="A362" s="0" t="s">
        <v>1441</v>
      </c>
      <c r="B362" s="0" t="n">
        <v>1</v>
      </c>
      <c r="D362" s="0" t="s">
        <v>85</v>
      </c>
      <c r="E362" s="0" t="s">
        <v>86</v>
      </c>
      <c r="F362" s="0" t="s">
        <v>87</v>
      </c>
      <c r="G362" s="0" t="n">
        <v>1</v>
      </c>
      <c r="H362" s="0" t="s">
        <v>27</v>
      </c>
      <c r="J362" s="0" t="s">
        <v>28</v>
      </c>
      <c r="K362" s="0" t="str">
        <f aca="false">"7.32 %"</f>
        <v>7.32 %</v>
      </c>
      <c r="O362" s="0" t="s">
        <v>1442</v>
      </c>
    </row>
    <row r="363" customFormat="false" ht="13.8" hidden="false" customHeight="false" outlineLevel="0" collapsed="false">
      <c r="A363" s="0" t="s">
        <v>1443</v>
      </c>
      <c r="B363" s="0" t="n">
        <v>1</v>
      </c>
      <c r="D363" s="4" t="s">
        <v>599</v>
      </c>
      <c r="E363" s="4" t="s">
        <v>600</v>
      </c>
      <c r="F363" s="4" t="s">
        <v>601</v>
      </c>
      <c r="G363" s="0" t="n">
        <v>0</v>
      </c>
      <c r="H363" s="4" t="s">
        <v>1444</v>
      </c>
      <c r="I363" s="27" t="s">
        <v>225</v>
      </c>
      <c r="J363" s="4" t="s">
        <v>1445</v>
      </c>
      <c r="K363" s="3" t="n">
        <v>0.0379</v>
      </c>
      <c r="O363" s="0" t="s">
        <v>1446</v>
      </c>
    </row>
    <row r="364" customFormat="false" ht="15" hidden="false" customHeight="true" outlineLevel="0" collapsed="false">
      <c r="A364" s="0" t="s">
        <v>1447</v>
      </c>
      <c r="B364" s="0" t="n">
        <v>1</v>
      </c>
      <c r="D364" s="0" t="s">
        <v>201</v>
      </c>
      <c r="E364" s="0" t="s">
        <v>202</v>
      </c>
      <c r="F364" s="0" t="s">
        <v>422</v>
      </c>
      <c r="G364" s="0" t="n">
        <v>0</v>
      </c>
      <c r="H364" s="4" t="s">
        <v>1448</v>
      </c>
      <c r="I364" s="26" t="s">
        <v>1449</v>
      </c>
      <c r="J364" s="4" t="s">
        <v>1450</v>
      </c>
      <c r="K364" s="0" t="str">
        <f aca="false">"2.52"</f>
        <v>2.52</v>
      </c>
      <c r="O364" s="0" t="s">
        <v>1451</v>
      </c>
    </row>
    <row r="365" customFormat="false" ht="13.8" hidden="false" customHeight="false" outlineLevel="0" collapsed="false">
      <c r="A365" s="0" t="s">
        <v>1452</v>
      </c>
      <c r="C365" s="0" t="n">
        <v>1</v>
      </c>
      <c r="D365" s="0" t="s">
        <v>1453</v>
      </c>
      <c r="F365" s="0" t="s">
        <v>1454</v>
      </c>
      <c r="G365" s="0" t="n">
        <v>0</v>
      </c>
      <c r="H365" s="0" t="s">
        <v>1121</v>
      </c>
      <c r="I365" s="0" t="s">
        <v>225</v>
      </c>
      <c r="J365" s="0" t="s">
        <v>1122</v>
      </c>
      <c r="K365" s="0" t="str">
        <f aca="false">"8.05 %"</f>
        <v>8.05 %</v>
      </c>
      <c r="O365" s="0" t="s">
        <v>1455</v>
      </c>
    </row>
    <row r="366" customFormat="false" ht="13.8" hidden="false" customHeight="false" outlineLevel="0" collapsed="false">
      <c r="A366" s="0" t="s">
        <v>1456</v>
      </c>
      <c r="B366" s="0" t="n">
        <v>1</v>
      </c>
      <c r="D366" s="0" t="s">
        <v>16</v>
      </c>
      <c r="E366" s="0" t="s">
        <v>17</v>
      </c>
      <c r="F366" s="0" t="s">
        <v>18</v>
      </c>
      <c r="G366" s="0" t="n">
        <v>1</v>
      </c>
      <c r="H366" s="0" t="s">
        <v>1457</v>
      </c>
      <c r="J366" s="0" t="s">
        <v>40</v>
      </c>
      <c r="K366" s="0" t="str">
        <f aca="false">"6.69 %"</f>
        <v>6.69 %</v>
      </c>
      <c r="O366" s="0" t="s">
        <v>1458</v>
      </c>
    </row>
    <row r="367" customFormat="false" ht="13.8" hidden="false" customHeight="false" outlineLevel="0" collapsed="false">
      <c r="A367" s="0" t="s">
        <v>1459</v>
      </c>
      <c r="B367" s="0" t="n">
        <v>1</v>
      </c>
      <c r="D367" s="0" t="s">
        <v>16</v>
      </c>
      <c r="E367" s="0" t="s">
        <v>17</v>
      </c>
      <c r="F367" s="0" t="s">
        <v>116</v>
      </c>
      <c r="G367" s="0" t="n">
        <v>1</v>
      </c>
      <c r="H367" s="0" t="s">
        <v>33</v>
      </c>
      <c r="J367" s="0" t="s">
        <v>34</v>
      </c>
      <c r="K367" s="0" t="str">
        <f aca="false">"1.4 %"</f>
        <v>1.4 %</v>
      </c>
      <c r="O367" s="0" t="s">
        <v>1460</v>
      </c>
    </row>
    <row r="368" customFormat="false" ht="13.8" hidden="false" customHeight="false" outlineLevel="0" collapsed="false">
      <c r="A368" s="0" t="s">
        <v>1461</v>
      </c>
      <c r="B368" s="0" t="n">
        <v>1</v>
      </c>
      <c r="D368" s="4" t="s">
        <v>1462</v>
      </c>
      <c r="E368" s="0" t="s">
        <v>1463</v>
      </c>
      <c r="F368" s="4" t="s">
        <v>1464</v>
      </c>
      <c r="G368" s="4" t="n">
        <v>1</v>
      </c>
      <c r="H368" s="4" t="s">
        <v>195</v>
      </c>
      <c r="J368" s="4" t="s">
        <v>28</v>
      </c>
      <c r="K368" s="28" t="n">
        <v>0.0327</v>
      </c>
      <c r="L368" s="0" t="str">
        <f aca="false">"0.79 V"</f>
        <v>0.79 V</v>
      </c>
      <c r="O368" s="0" t="s">
        <v>1465</v>
      </c>
    </row>
    <row r="369" customFormat="false" ht="13.8" hidden="false" customHeight="false" outlineLevel="0" collapsed="false">
      <c r="A369" s="0" t="s">
        <v>1461</v>
      </c>
      <c r="B369" s="0" t="n">
        <v>1</v>
      </c>
      <c r="D369" s="4" t="s">
        <v>1466</v>
      </c>
      <c r="E369" s="0" t="s">
        <v>1467</v>
      </c>
      <c r="F369" s="4" t="s">
        <v>1468</v>
      </c>
      <c r="G369" s="4" t="n">
        <v>1</v>
      </c>
      <c r="H369" s="4" t="s">
        <v>195</v>
      </c>
      <c r="J369" s="4" t="s">
        <v>28</v>
      </c>
      <c r="O369" s="0" t="s">
        <v>1469</v>
      </c>
    </row>
    <row r="370" customFormat="false" ht="13.8" hidden="false" customHeight="false" outlineLevel="0" collapsed="false">
      <c r="A370" s="0" t="s">
        <v>1470</v>
      </c>
      <c r="B370" s="0" t="n">
        <v>1</v>
      </c>
      <c r="D370" s="4" t="s">
        <v>599</v>
      </c>
      <c r="E370" s="0" t="s">
        <v>600</v>
      </c>
      <c r="F370" s="4" t="s">
        <v>1471</v>
      </c>
      <c r="G370" s="0" t="n">
        <v>0</v>
      </c>
      <c r="H370" s="4" t="s">
        <v>1472</v>
      </c>
      <c r="I370" s="0" t="s">
        <v>1473</v>
      </c>
      <c r="J370" s="4" t="s">
        <v>1474</v>
      </c>
      <c r="K370" s="0" t="str">
        <f aca="false">"&gt; 10 %"</f>
        <v>&gt; 10 %</v>
      </c>
      <c r="O370" s="0" t="s">
        <v>1475</v>
      </c>
    </row>
    <row r="371" customFormat="false" ht="13.8" hidden="false" customHeight="false" outlineLevel="0" collapsed="false">
      <c r="A371" s="0" t="s">
        <v>1476</v>
      </c>
      <c r="B371" s="0" t="n">
        <v>1</v>
      </c>
      <c r="D371" s="0" t="s">
        <v>1477</v>
      </c>
      <c r="E371" s="4" t="s">
        <v>1478</v>
      </c>
      <c r="F371" s="0" t="s">
        <v>1479</v>
      </c>
      <c r="G371" s="0" t="n">
        <v>1</v>
      </c>
      <c r="H371" s="0" t="s">
        <v>27</v>
      </c>
      <c r="J371" s="0" t="s">
        <v>28</v>
      </c>
      <c r="K371" s="0" t="str">
        <f aca="false">"4.5 %"</f>
        <v>4.5 %</v>
      </c>
      <c r="O371" s="0" t="s">
        <v>1480</v>
      </c>
    </row>
    <row r="372" customFormat="false" ht="13.8" hidden="false" customHeight="false" outlineLevel="0" collapsed="false">
      <c r="A372" s="0" t="s">
        <v>1481</v>
      </c>
      <c r="B372" s="0" t="n">
        <v>1</v>
      </c>
      <c r="D372" s="0" t="s">
        <v>1482</v>
      </c>
      <c r="E372" s="0" t="s">
        <v>1483</v>
      </c>
      <c r="F372" s="4" t="s">
        <v>1484</v>
      </c>
      <c r="G372" s="0" t="n">
        <v>1</v>
      </c>
      <c r="H372" s="0" t="s">
        <v>66</v>
      </c>
      <c r="J372" s="0" t="s">
        <v>67</v>
      </c>
      <c r="K372" s="0" t="str">
        <f aca="false">"2.45 %"</f>
        <v>2.45 %</v>
      </c>
      <c r="L372" s="0" t="str">
        <f aca="false">"0.93 V"</f>
        <v>0.93 V</v>
      </c>
      <c r="O372" s="0" t="s">
        <v>1485</v>
      </c>
    </row>
    <row r="373" customFormat="false" ht="13.8" hidden="false" customHeight="false" outlineLevel="0" collapsed="false">
      <c r="A373" s="0" t="s">
        <v>1486</v>
      </c>
      <c r="B373" s="0" t="n">
        <v>1</v>
      </c>
      <c r="D373" s="0" t="s">
        <v>1487</v>
      </c>
      <c r="E373" s="0" t="s">
        <v>1488</v>
      </c>
      <c r="F373" s="0" t="s">
        <v>1489</v>
      </c>
      <c r="G373" s="0" t="n">
        <v>1</v>
      </c>
      <c r="H373" s="0" t="s">
        <v>33</v>
      </c>
      <c r="J373" s="0" t="s">
        <v>34</v>
      </c>
      <c r="K373" s="28" t="n">
        <v>0.0119</v>
      </c>
      <c r="L373" s="0" t="str">
        <f aca="false">"0.68-0.70 V"</f>
        <v>0.68-0.70 V</v>
      </c>
      <c r="M373" s="15" t="s">
        <v>1490</v>
      </c>
      <c r="N373" s="31" t="str">
        <f aca="false">"56.0 %"</f>
        <v>56.0 %</v>
      </c>
      <c r="O373" s="0" t="s">
        <v>1491</v>
      </c>
    </row>
    <row r="374" customFormat="false" ht="13.8" hidden="false" customHeight="false" outlineLevel="0" collapsed="false">
      <c r="A374" s="0" t="s">
        <v>1492</v>
      </c>
      <c r="B374" s="0" t="n">
        <v>1</v>
      </c>
      <c r="D374" s="0" t="s">
        <v>16</v>
      </c>
      <c r="E374" s="0" t="s">
        <v>17</v>
      </c>
      <c r="F374" s="0" t="s">
        <v>116</v>
      </c>
      <c r="G374" s="0" t="n">
        <v>1</v>
      </c>
      <c r="H374" s="0" t="s">
        <v>33</v>
      </c>
      <c r="J374" s="0" t="s">
        <v>34</v>
      </c>
      <c r="K374" s="3" t="n">
        <v>0.0149</v>
      </c>
      <c r="O374" s="0" t="s">
        <v>1493</v>
      </c>
    </row>
    <row r="375" customFormat="false" ht="13.8" hidden="false" customHeight="false" outlineLevel="0" collapsed="false">
      <c r="A375" s="0" t="s">
        <v>1494</v>
      </c>
      <c r="B375" s="0" t="n">
        <v>1</v>
      </c>
      <c r="D375" s="4" t="s">
        <v>63</v>
      </c>
      <c r="E375" s="0" t="s">
        <v>64</v>
      </c>
      <c r="F375" s="4" t="s">
        <v>65</v>
      </c>
      <c r="G375" s="0" t="n">
        <v>1</v>
      </c>
      <c r="H375" s="0" t="s">
        <v>27</v>
      </c>
      <c r="J375" s="0" t="s">
        <v>28</v>
      </c>
      <c r="K375" s="0" t="str">
        <f aca="false">"7.26 %"</f>
        <v>7.26 %</v>
      </c>
      <c r="O375" s="0" t="s">
        <v>1495</v>
      </c>
    </row>
    <row r="376" customFormat="false" ht="13.8" hidden="false" customHeight="false" outlineLevel="0" collapsed="false">
      <c r="A376" s="0" t="s">
        <v>1496</v>
      </c>
      <c r="B376" s="0" t="n">
        <v>1</v>
      </c>
      <c r="D376" s="4" t="s">
        <v>1497</v>
      </c>
      <c r="E376" s="0" t="s">
        <v>1498</v>
      </c>
      <c r="F376" s="4" t="s">
        <v>1499</v>
      </c>
      <c r="G376" s="0" t="n">
        <v>1</v>
      </c>
      <c r="H376" s="0" t="s">
        <v>27</v>
      </c>
      <c r="J376" s="0" t="s">
        <v>28</v>
      </c>
      <c r="K376" s="0" t="str">
        <f aca="false">"3.03 %"</f>
        <v>3.03 %</v>
      </c>
      <c r="L376" s="0" t="str">
        <f aca="false">"0.86 and 0.88 V"</f>
        <v>0.86 and 0.88 V</v>
      </c>
      <c r="O376" s="0" t="s">
        <v>1500</v>
      </c>
    </row>
    <row r="377" customFormat="false" ht="13.8" hidden="false" customHeight="false" outlineLevel="0" collapsed="false">
      <c r="A377" s="0" t="s">
        <v>1501</v>
      </c>
      <c r="B377" s="0" t="n">
        <v>1</v>
      </c>
      <c r="D377" s="0" t="s">
        <v>16</v>
      </c>
      <c r="E377" s="0" t="s">
        <v>17</v>
      </c>
      <c r="F377" s="0" t="s">
        <v>116</v>
      </c>
      <c r="G377" s="0" t="n">
        <v>1</v>
      </c>
      <c r="H377" s="0" t="s">
        <v>33</v>
      </c>
      <c r="J377" s="0" t="s">
        <v>34</v>
      </c>
      <c r="K377" s="0" t="str">
        <f aca="false">"3.25 %"</f>
        <v>3.25 %</v>
      </c>
      <c r="O377" s="0" t="s">
        <v>1502</v>
      </c>
    </row>
    <row r="378" customFormat="false" ht="13.8" hidden="false" customHeight="false" outlineLevel="0" collapsed="false">
      <c r="A378" s="0" t="s">
        <v>1503</v>
      </c>
      <c r="B378" s="0" t="n">
        <v>1</v>
      </c>
      <c r="D378" s="0" t="s">
        <v>1504</v>
      </c>
      <c r="E378" s="0" t="s">
        <v>1505</v>
      </c>
      <c r="F378" s="0" t="s">
        <v>1506</v>
      </c>
      <c r="G378" s="0" t="n">
        <v>1</v>
      </c>
      <c r="H378" s="0" t="s">
        <v>27</v>
      </c>
      <c r="J378" s="0" t="s">
        <v>28</v>
      </c>
      <c r="K378" s="0" t="str">
        <f aca="false">"5.61 %"</f>
        <v>5.61 %</v>
      </c>
      <c r="O378" s="0" t="s">
        <v>1507</v>
      </c>
    </row>
    <row r="379" customFormat="false" ht="13.8" hidden="false" customHeight="false" outlineLevel="0" collapsed="false">
      <c r="A379" s="0" t="s">
        <v>1508</v>
      </c>
      <c r="B379" s="0" t="n">
        <v>1</v>
      </c>
      <c r="D379" s="27" t="s">
        <v>63</v>
      </c>
      <c r="E379" s="4" t="s">
        <v>64</v>
      </c>
      <c r="F379" s="27" t="s">
        <v>65</v>
      </c>
      <c r="G379" s="0" t="n">
        <v>0</v>
      </c>
      <c r="H379" s="4" t="s">
        <v>1509</v>
      </c>
      <c r="I379" s="4" t="s">
        <v>1510</v>
      </c>
      <c r="J379" s="4" t="s">
        <v>1511</v>
      </c>
      <c r="K379" s="0" t="str">
        <f aca="false">"1.20 %"</f>
        <v>1.20 %</v>
      </c>
      <c r="L379" s="0" t="str">
        <f aca="false">"0.76 V"</f>
        <v>0.76 V</v>
      </c>
      <c r="O379" s="0" t="s">
        <v>1512</v>
      </c>
    </row>
    <row r="380" customFormat="false" ht="13.8" hidden="false" customHeight="false" outlineLevel="0" collapsed="false">
      <c r="A380" s="0" t="s">
        <v>1508</v>
      </c>
      <c r="B380" s="0" t="n">
        <v>1</v>
      </c>
      <c r="D380" s="27" t="s">
        <v>63</v>
      </c>
      <c r="E380" s="0" t="s">
        <v>64</v>
      </c>
      <c r="F380" s="27" t="s">
        <v>65</v>
      </c>
      <c r="G380" s="0" t="n">
        <v>0</v>
      </c>
      <c r="H380" s="0" t="s">
        <v>1513</v>
      </c>
      <c r="I380" s="0" t="s">
        <v>1514</v>
      </c>
      <c r="J380" s="0" t="s">
        <v>1515</v>
      </c>
      <c r="K380" s="9" t="n">
        <v>0.0314</v>
      </c>
      <c r="L380" s="0" t="s">
        <v>1516</v>
      </c>
    </row>
    <row r="381" customFormat="false" ht="13.8" hidden="false" customHeight="false" outlineLevel="0" collapsed="false">
      <c r="A381" s="0" t="s">
        <v>1517</v>
      </c>
      <c r="B381" s="0" t="n">
        <v>1</v>
      </c>
      <c r="D381" s="0" t="s">
        <v>85</v>
      </c>
      <c r="E381" s="0" t="s">
        <v>86</v>
      </c>
      <c r="F381" s="4" t="s">
        <v>87</v>
      </c>
      <c r="G381" s="0" t="n">
        <v>1</v>
      </c>
      <c r="H381" s="0" t="s">
        <v>27</v>
      </c>
      <c r="J381" s="0" t="s">
        <v>456</v>
      </c>
      <c r="K381" s="0" t="str">
        <f aca="false">"8.0 %"</f>
        <v>8.0 %</v>
      </c>
      <c r="O381" s="0" t="s">
        <v>1518</v>
      </c>
    </row>
    <row r="382" customFormat="false" ht="13.8" hidden="false" customHeight="false" outlineLevel="0" collapsed="false">
      <c r="A382" s="0" t="s">
        <v>1519</v>
      </c>
      <c r="B382" s="0" t="n">
        <v>1</v>
      </c>
      <c r="D382" s="0" t="s">
        <v>16</v>
      </c>
      <c r="E382" s="0" t="s">
        <v>17</v>
      </c>
      <c r="F382" s="0" t="s">
        <v>18</v>
      </c>
      <c r="G382" s="0" t="n">
        <v>1</v>
      </c>
      <c r="H382" s="0" t="s">
        <v>33</v>
      </c>
      <c r="J382" s="0" t="s">
        <v>178</v>
      </c>
      <c r="K382" s="0" t="str">
        <f aca="false">"3.2 %"</f>
        <v>3.2 %</v>
      </c>
      <c r="O382" s="0" t="s">
        <v>1520</v>
      </c>
    </row>
    <row r="383" customFormat="false" ht="13.8" hidden="false" customHeight="false" outlineLevel="0" collapsed="false">
      <c r="A383" s="0" t="s">
        <v>1521</v>
      </c>
      <c r="B383" s="0" t="n">
        <v>1</v>
      </c>
      <c r="D383" s="4" t="s">
        <v>1522</v>
      </c>
      <c r="E383" s="0" t="s">
        <v>1523</v>
      </c>
      <c r="F383" s="4" t="s">
        <v>1524</v>
      </c>
      <c r="G383" s="0" t="n">
        <v>0</v>
      </c>
      <c r="H383" s="4" t="s">
        <v>1525</v>
      </c>
      <c r="I383" s="0" t="s">
        <v>164</v>
      </c>
      <c r="J383" s="4" t="s">
        <v>165</v>
      </c>
      <c r="K383" s="0" t="str">
        <f aca="false">"1.55 %"</f>
        <v>1.55 %</v>
      </c>
      <c r="L383" s="0" t="str">
        <f aca="false">"0.95 V"</f>
        <v>0.95 V</v>
      </c>
      <c r="M383" s="0" t="str">
        <f aca="false">"5.6 mA cm^{-2}"</f>
        <v>5.6 mA cm^{-2}</v>
      </c>
      <c r="N383" s="0" t="str">
        <f aca="false">"0.29"</f>
        <v>0.29</v>
      </c>
      <c r="O383" s="0" t="s">
        <v>1526</v>
      </c>
    </row>
    <row r="384" customFormat="false" ht="13.8" hidden="false" customHeight="false" outlineLevel="0" collapsed="false">
      <c r="A384" s="0" t="s">
        <v>1521</v>
      </c>
      <c r="B384" s="0" t="n">
        <v>1</v>
      </c>
      <c r="D384" s="27" t="s">
        <v>1527</v>
      </c>
      <c r="E384" s="0" t="s">
        <v>1528</v>
      </c>
      <c r="F384" s="27" t="s">
        <v>1529</v>
      </c>
      <c r="G384" s="0" t="n">
        <v>0</v>
      </c>
      <c r="H384" s="0" t="s">
        <v>1525</v>
      </c>
      <c r="I384" s="0" t="s">
        <v>164</v>
      </c>
      <c r="J384" s="0" t="s">
        <v>165</v>
      </c>
      <c r="K384" s="9" t="n">
        <v>0.0728</v>
      </c>
      <c r="L384" s="0" t="s">
        <v>1530</v>
      </c>
      <c r="M384" s="0" t="s">
        <v>1531</v>
      </c>
      <c r="N384" s="0" t="str">
        <f aca="false">"0.47"</f>
        <v>0.47</v>
      </c>
    </row>
    <row r="385" customFormat="false" ht="13.8" hidden="false" customHeight="false" outlineLevel="0" collapsed="false">
      <c r="A385" s="0" t="s">
        <v>1532</v>
      </c>
      <c r="B385" s="0" t="n">
        <v>1</v>
      </c>
      <c r="D385" s="0" t="s">
        <v>201</v>
      </c>
      <c r="E385" s="0" t="s">
        <v>202</v>
      </c>
      <c r="F385" s="0" t="s">
        <v>422</v>
      </c>
      <c r="G385" s="0" t="n">
        <v>0</v>
      </c>
      <c r="H385" s="4" t="s">
        <v>1533</v>
      </c>
      <c r="I385" s="0" t="s">
        <v>1534</v>
      </c>
      <c r="J385" s="4" t="s">
        <v>1535</v>
      </c>
      <c r="K385" s="0" t="str">
        <f aca="false">"3.41 %"</f>
        <v>3.41 %</v>
      </c>
      <c r="O385" s="0" t="s">
        <v>1536</v>
      </c>
    </row>
    <row r="386" customFormat="false" ht="13.8" hidden="false" customHeight="false" outlineLevel="0" collapsed="false">
      <c r="A386" s="0" t="s">
        <v>1532</v>
      </c>
      <c r="B386" s="0" t="n">
        <v>1</v>
      </c>
      <c r="D386" s="0" t="s">
        <v>201</v>
      </c>
      <c r="E386" s="0" t="s">
        <v>202</v>
      </c>
      <c r="F386" s="0" t="s">
        <v>422</v>
      </c>
      <c r="G386" s="0" t="n">
        <v>0</v>
      </c>
      <c r="H386" s="0" t="s">
        <v>1537</v>
      </c>
      <c r="I386" s="0" t="s">
        <v>1538</v>
      </c>
      <c r="J386" s="0" t="s">
        <v>1539</v>
      </c>
      <c r="K386" s="9" t="n">
        <v>0.0412</v>
      </c>
    </row>
    <row r="387" customFormat="false" ht="13.8" hidden="false" customHeight="false" outlineLevel="0" collapsed="false">
      <c r="A387" s="0" t="s">
        <v>1540</v>
      </c>
      <c r="B387" s="0" t="n">
        <v>1</v>
      </c>
      <c r="D387" s="4" t="s">
        <v>16</v>
      </c>
      <c r="E387" s="4" t="s">
        <v>17</v>
      </c>
      <c r="F387" s="4" t="s">
        <v>116</v>
      </c>
      <c r="G387" s="0" t="n">
        <v>1</v>
      </c>
      <c r="H387" s="0" t="s">
        <v>33</v>
      </c>
      <c r="J387" s="0" t="s">
        <v>40</v>
      </c>
      <c r="K387" s="0" t="str">
        <f aca="false">"~2.5 %"</f>
        <v>~2.5 %</v>
      </c>
      <c r="O387" s="0" t="s">
        <v>1541</v>
      </c>
    </row>
    <row r="388" customFormat="false" ht="13.8" hidden="false" customHeight="false" outlineLevel="0" collapsed="false">
      <c r="A388" s="0" t="s">
        <v>1542</v>
      </c>
      <c r="B388" s="0" t="n">
        <v>1</v>
      </c>
      <c r="D388" s="0" t="s">
        <v>201</v>
      </c>
      <c r="E388" s="0" t="s">
        <v>202</v>
      </c>
      <c r="F388" s="0" t="s">
        <v>422</v>
      </c>
      <c r="G388" s="0" t="n">
        <v>0</v>
      </c>
      <c r="H388" s="4" t="s">
        <v>1543</v>
      </c>
      <c r="I388" s="0" t="s">
        <v>1544</v>
      </c>
      <c r="J388" s="4" t="s">
        <v>1545</v>
      </c>
      <c r="K388" s="0" t="str">
        <f aca="false">"4.94 %"</f>
        <v>4.94 %</v>
      </c>
      <c r="O388" s="0" t="s">
        <v>1546</v>
      </c>
    </row>
    <row r="389" customFormat="false" ht="13.8" hidden="false" customHeight="false" outlineLevel="0" collapsed="false">
      <c r="A389" s="0" t="s">
        <v>1542</v>
      </c>
      <c r="B389" s="0" t="n">
        <v>1</v>
      </c>
      <c r="D389" s="0" t="s">
        <v>201</v>
      </c>
      <c r="E389" s="0" t="s">
        <v>202</v>
      </c>
      <c r="F389" s="0" t="s">
        <v>422</v>
      </c>
      <c r="G389" s="0" t="n">
        <v>0</v>
      </c>
      <c r="H389" s="27" t="s">
        <v>1547</v>
      </c>
      <c r="I389" s="0" t="s">
        <v>793</v>
      </c>
      <c r="J389" s="27" t="s">
        <v>1548</v>
      </c>
      <c r="K389" s="9" t="n">
        <v>0.0388</v>
      </c>
    </row>
    <row r="390" customFormat="false" ht="13.8" hidden="false" customHeight="false" outlineLevel="0" collapsed="false">
      <c r="A390" s="0" t="s">
        <v>1549</v>
      </c>
      <c r="B390" s="0" t="n">
        <v>1</v>
      </c>
      <c r="D390" s="0" t="s">
        <v>1550</v>
      </c>
      <c r="E390" s="0" t="s">
        <v>1551</v>
      </c>
      <c r="F390" s="0" t="s">
        <v>1552</v>
      </c>
      <c r="G390" s="0" t="n">
        <v>1</v>
      </c>
      <c r="H390" s="0" t="s">
        <v>27</v>
      </c>
      <c r="J390" s="0" t="s">
        <v>28</v>
      </c>
      <c r="K390" s="0" t="str">
        <f aca="false">"7.54 %"</f>
        <v>7.54 %</v>
      </c>
      <c r="L390" s="0" t="str">
        <f aca="false">"0.65 V"</f>
        <v>0.65 V</v>
      </c>
      <c r="M390" s="0" t="str">
        <f aca="false">"16.12 mA/cm^{2}"</f>
        <v>16.12 mA/cm^{2}</v>
      </c>
      <c r="N390" s="0" t="str">
        <f aca="false">"0.72"</f>
        <v>0.72</v>
      </c>
      <c r="O390" s="0" t="s">
        <v>1553</v>
      </c>
    </row>
    <row r="391" customFormat="false" ht="13.8" hidden="false" customHeight="false" outlineLevel="0" collapsed="false">
      <c r="A391" s="0" t="s">
        <v>1554</v>
      </c>
      <c r="B391" s="0" t="n">
        <v>1</v>
      </c>
      <c r="D391" s="4" t="s">
        <v>16</v>
      </c>
      <c r="E391" s="27" t="s">
        <v>17</v>
      </c>
      <c r="F391" s="4" t="s">
        <v>116</v>
      </c>
      <c r="G391" s="0" t="n">
        <v>1</v>
      </c>
      <c r="H391" s="0" t="s">
        <v>575</v>
      </c>
      <c r="J391" s="0" t="s">
        <v>1555</v>
      </c>
      <c r="K391" s="0" t="str">
        <f aca="false">"3.49 %"</f>
        <v>3.49 %</v>
      </c>
      <c r="L391" s="0" t="str">
        <f aca="false">"0.58 V"</f>
        <v>0.58 V</v>
      </c>
      <c r="O391" s="0" t="s">
        <v>1556</v>
      </c>
    </row>
    <row r="392" customFormat="false" ht="13.8" hidden="false" customHeight="false" outlineLevel="0" collapsed="false">
      <c r="A392" s="0" t="s">
        <v>1554</v>
      </c>
      <c r="B392" s="0" t="n">
        <v>1</v>
      </c>
      <c r="D392" s="0" t="s">
        <v>16</v>
      </c>
      <c r="E392" s="27" t="s">
        <v>17</v>
      </c>
      <c r="F392" s="0" t="s">
        <v>116</v>
      </c>
      <c r="G392" s="0" t="n">
        <v>1</v>
      </c>
      <c r="H392" s="0" t="s">
        <v>1557</v>
      </c>
      <c r="J392" s="0" t="s">
        <v>1558</v>
      </c>
      <c r="K392" s="9" t="n">
        <v>0.0439</v>
      </c>
      <c r="L392" s="0" t="s">
        <v>1559</v>
      </c>
    </row>
    <row r="393" customFormat="false" ht="13.8" hidden="false" customHeight="false" outlineLevel="0" collapsed="false">
      <c r="A393" s="0" t="s">
        <v>1560</v>
      </c>
      <c r="C393" s="0" t="n">
        <v>1</v>
      </c>
      <c r="D393" s="0" t="s">
        <v>1561</v>
      </c>
      <c r="E393" s="0" t="s">
        <v>1562</v>
      </c>
      <c r="F393" s="0" t="s">
        <v>1563</v>
      </c>
      <c r="G393" s="0" t="n">
        <v>0</v>
      </c>
      <c r="H393" s="0" t="s">
        <v>1564</v>
      </c>
      <c r="I393" s="0" t="s">
        <v>1562</v>
      </c>
      <c r="J393" s="0" t="s">
        <v>1563</v>
      </c>
      <c r="K393" s="0" t="str">
        <f aca="false">"0.4 %"</f>
        <v>0.4 %</v>
      </c>
      <c r="O393" s="0" t="s">
        <v>1565</v>
      </c>
    </row>
    <row r="394" customFormat="false" ht="15.75" hidden="false" customHeight="false" outlineLevel="0" collapsed="false">
      <c r="A394" s="0" t="s">
        <v>1566</v>
      </c>
      <c r="B394" s="0" t="n">
        <v>1</v>
      </c>
      <c r="D394" s="0" t="s">
        <v>16</v>
      </c>
      <c r="E394" s="0" t="s">
        <v>17</v>
      </c>
      <c r="F394" s="0" t="s">
        <v>18</v>
      </c>
      <c r="G394" s="0" t="n">
        <v>1</v>
      </c>
      <c r="H394" s="4" t="s">
        <v>1567</v>
      </c>
      <c r="I394" s="16" t="s">
        <v>1568</v>
      </c>
      <c r="J394" s="4" t="s">
        <v>1569</v>
      </c>
      <c r="K394" s="0" t="str">
        <f aca="false">"3.75 %"</f>
        <v>3.75 %</v>
      </c>
      <c r="O394" s="0" t="s">
        <v>1570</v>
      </c>
    </row>
    <row r="395" customFormat="false" ht="13.8" hidden="false" customHeight="false" outlineLevel="0" collapsed="false">
      <c r="A395" s="0" t="s">
        <v>1571</v>
      </c>
      <c r="B395" s="0" t="n">
        <v>1</v>
      </c>
      <c r="D395" s="0" t="s">
        <v>208</v>
      </c>
      <c r="E395" s="0" t="s">
        <v>17</v>
      </c>
      <c r="F395" s="4" t="s">
        <v>1323</v>
      </c>
      <c r="G395" s="0" t="n">
        <v>1</v>
      </c>
      <c r="H395" s="0" t="s">
        <v>33</v>
      </c>
      <c r="J395" s="0" t="s">
        <v>1572</v>
      </c>
      <c r="K395" s="0" t="str">
        <f aca="false">"3.65 %"</f>
        <v>3.65 %</v>
      </c>
      <c r="O395" s="0" t="s">
        <v>1573</v>
      </c>
    </row>
    <row r="396" customFormat="false" ht="13.8" hidden="false" customHeight="false" outlineLevel="0" collapsed="false">
      <c r="A396" s="0" t="s">
        <v>1574</v>
      </c>
      <c r="B396" s="0" t="n">
        <v>1</v>
      </c>
      <c r="D396" s="0" t="s">
        <v>1575</v>
      </c>
      <c r="E396" s="0" t="s">
        <v>1576</v>
      </c>
      <c r="F396" s="4" t="s">
        <v>1577</v>
      </c>
      <c r="G396" s="0" t="n">
        <v>1</v>
      </c>
      <c r="H396" s="0" t="s">
        <v>27</v>
      </c>
      <c r="J396" s="0" t="s">
        <v>28</v>
      </c>
      <c r="K396" s="0" t="str">
        <f aca="false">"5.19 %"</f>
        <v>5.19 %</v>
      </c>
      <c r="L396" s="4" t="s">
        <v>1383</v>
      </c>
      <c r="O396" s="0" t="s">
        <v>1578</v>
      </c>
    </row>
    <row r="397" customFormat="false" ht="13.8" hidden="false" customHeight="false" outlineLevel="0" collapsed="false">
      <c r="A397" s="0" t="s">
        <v>1574</v>
      </c>
      <c r="B397" s="0" t="n">
        <v>1</v>
      </c>
      <c r="D397" s="0" t="s">
        <v>1579</v>
      </c>
      <c r="E397" s="0" t="s">
        <v>1580</v>
      </c>
      <c r="F397" s="0" t="s">
        <v>1581</v>
      </c>
      <c r="G397" s="0" t="n">
        <v>1</v>
      </c>
      <c r="H397" s="0" t="s">
        <v>27</v>
      </c>
      <c r="J397" s="0" t="s">
        <v>28</v>
      </c>
      <c r="K397" s="9" t="n">
        <v>0.0472</v>
      </c>
      <c r="L397" s="0" t="s">
        <v>1582</v>
      </c>
    </row>
    <row r="398" customFormat="false" ht="13.8" hidden="false" customHeight="false" outlineLevel="0" collapsed="false">
      <c r="A398" s="0" t="s">
        <v>1583</v>
      </c>
      <c r="B398" s="0" t="n">
        <v>1</v>
      </c>
      <c r="D398" s="4" t="s">
        <v>1584</v>
      </c>
      <c r="E398" s="4" t="s">
        <v>1585</v>
      </c>
      <c r="F398" s="4" t="s">
        <v>1586</v>
      </c>
      <c r="G398" s="0" t="n">
        <v>0</v>
      </c>
      <c r="H398" s="4" t="s">
        <v>1587</v>
      </c>
      <c r="I398" s="27" t="s">
        <v>1588</v>
      </c>
      <c r="J398" s="4" t="s">
        <v>1589</v>
      </c>
      <c r="K398" s="0" t="str">
        <f aca="false">"6.80 %"</f>
        <v>6.80 %</v>
      </c>
      <c r="O398" s="0" t="s">
        <v>1590</v>
      </c>
    </row>
    <row r="399" customFormat="false" ht="13.8" hidden="false" customHeight="false" outlineLevel="0" collapsed="false">
      <c r="A399" s="0" t="s">
        <v>1591</v>
      </c>
      <c r="B399" s="0" t="n">
        <v>1</v>
      </c>
      <c r="D399" s="4" t="s">
        <v>1592</v>
      </c>
      <c r="E399" s="0" t="s">
        <v>1593</v>
      </c>
      <c r="F399" s="4" t="s">
        <v>1594</v>
      </c>
      <c r="G399" s="0" t="n">
        <v>1</v>
      </c>
      <c r="H399" s="0" t="s">
        <v>27</v>
      </c>
      <c r="J399" s="0" t="s">
        <v>28</v>
      </c>
      <c r="K399" s="0" t="str">
        <f aca="false">"3.72 %"</f>
        <v>3.72 %</v>
      </c>
      <c r="O399" s="0" t="s">
        <v>1595</v>
      </c>
    </row>
    <row r="400" customFormat="false" ht="13.8" hidden="false" customHeight="false" outlineLevel="0" collapsed="false">
      <c r="A400" s="0" t="s">
        <v>1591</v>
      </c>
      <c r="B400" s="0" t="n">
        <v>1</v>
      </c>
      <c r="D400" s="0" t="s">
        <v>1596</v>
      </c>
      <c r="E400" s="0" t="s">
        <v>1597</v>
      </c>
      <c r="F400" s="27" t="s">
        <v>1598</v>
      </c>
      <c r="G400" s="0" t="n">
        <v>1</v>
      </c>
      <c r="H400" s="0" t="s">
        <v>27</v>
      </c>
      <c r="J400" s="0" t="s">
        <v>28</v>
      </c>
      <c r="K400" s="9" t="n">
        <v>0.0123</v>
      </c>
    </row>
    <row r="401" customFormat="false" ht="13.8" hidden="false" customHeight="false" outlineLevel="0" collapsed="false">
      <c r="A401" s="0" t="s">
        <v>1599</v>
      </c>
      <c r="B401" s="0" t="n">
        <v>1</v>
      </c>
      <c r="D401" s="4" t="s">
        <v>1600</v>
      </c>
      <c r="E401" s="0" t="s">
        <v>1601</v>
      </c>
      <c r="F401" s="4" t="s">
        <v>1602</v>
      </c>
      <c r="G401" s="0" t="n">
        <v>1</v>
      </c>
      <c r="H401" s="0" t="s">
        <v>27</v>
      </c>
      <c r="J401" s="0" t="s">
        <v>40</v>
      </c>
      <c r="K401" s="0" t="str">
        <f aca="false">"7.75 %"</f>
        <v>7.75 %</v>
      </c>
      <c r="L401" s="0" t="str">
        <f aca="false">"0.76 V"</f>
        <v>0.76 V</v>
      </c>
      <c r="M401" s="0" t="str">
        <f aca="false">"14.36 mA cm^{-2}"</f>
        <v>14.36 mA cm^{-2}</v>
      </c>
      <c r="N401" s="0" t="str">
        <f aca="false">"71.0 %"</f>
        <v>71.0 %</v>
      </c>
      <c r="O401" s="0" t="s">
        <v>1603</v>
      </c>
    </row>
    <row r="402" customFormat="false" ht="13.8" hidden="false" customHeight="false" outlineLevel="0" collapsed="false">
      <c r="A402" s="0" t="s">
        <v>1604</v>
      </c>
      <c r="B402" s="0" t="n">
        <v>1</v>
      </c>
      <c r="D402" s="4" t="s">
        <v>128</v>
      </c>
      <c r="E402" s="0" t="s">
        <v>1605</v>
      </c>
      <c r="F402" s="4" t="s">
        <v>130</v>
      </c>
      <c r="G402" s="0" t="n">
        <v>1</v>
      </c>
      <c r="H402" s="0" t="s">
        <v>27</v>
      </c>
      <c r="J402" s="0" t="s">
        <v>28</v>
      </c>
      <c r="K402" s="0" t="str">
        <f aca="false">"5.24 %"</f>
        <v>5.24 %</v>
      </c>
      <c r="O402" s="0" t="s">
        <v>1606</v>
      </c>
    </row>
    <row r="403" customFormat="false" ht="13.8" hidden="false" customHeight="false" outlineLevel="0" collapsed="false">
      <c r="A403" s="0" t="s">
        <v>1604</v>
      </c>
      <c r="B403" s="0" t="n">
        <v>1</v>
      </c>
      <c r="D403" s="4" t="s">
        <v>124</v>
      </c>
      <c r="E403" s="0" t="s">
        <v>1607</v>
      </c>
      <c r="F403" s="4" t="s">
        <v>427</v>
      </c>
      <c r="G403" s="0" t="n">
        <v>1</v>
      </c>
      <c r="H403" s="0" t="s">
        <v>27</v>
      </c>
      <c r="J403" s="0" t="s">
        <v>28</v>
      </c>
      <c r="K403" s="0" t="str">
        <f aca="false">"4.36 %"</f>
        <v>4.36 %</v>
      </c>
      <c r="O403" s="0" t="s">
        <v>1608</v>
      </c>
    </row>
    <row r="404" customFormat="false" ht="13.8" hidden="false" customHeight="false" outlineLevel="0" collapsed="false">
      <c r="A404" s="0" t="s">
        <v>1609</v>
      </c>
      <c r="B404" s="0" t="n">
        <v>1</v>
      </c>
      <c r="D404" s="0" t="s">
        <v>1610</v>
      </c>
      <c r="E404" s="0" t="s">
        <v>1611</v>
      </c>
      <c r="F404" s="0" t="s">
        <v>1612</v>
      </c>
      <c r="G404" s="0" t="n">
        <v>1</v>
      </c>
      <c r="H404" s="0" t="s">
        <v>27</v>
      </c>
      <c r="J404" s="0" t="s">
        <v>28</v>
      </c>
      <c r="K404" s="0" t="str">
        <f aca="false">"6 %"</f>
        <v>6 %</v>
      </c>
      <c r="O404" s="0" t="s">
        <v>1613</v>
      </c>
    </row>
    <row r="405" customFormat="false" ht="13.8" hidden="false" customHeight="false" outlineLevel="0" collapsed="false">
      <c r="A405" s="0" t="s">
        <v>1614</v>
      </c>
      <c r="B405" s="0" t="n">
        <v>1</v>
      </c>
      <c r="D405" s="4" t="s">
        <v>1615</v>
      </c>
      <c r="E405" s="0" t="s">
        <v>1616</v>
      </c>
      <c r="F405" s="4" t="s">
        <v>1617</v>
      </c>
      <c r="G405" s="0" t="n">
        <v>1</v>
      </c>
      <c r="H405" s="0" t="s">
        <v>27</v>
      </c>
      <c r="J405" s="4" t="s">
        <v>1361</v>
      </c>
      <c r="K405" s="28" t="str">
        <f aca="false">"0.67-1.67 %"</f>
        <v>0.67-1.67 %</v>
      </c>
      <c r="O405" s="0" t="s">
        <v>1618</v>
      </c>
    </row>
    <row r="406" customFormat="false" ht="13.8" hidden="false" customHeight="false" outlineLevel="0" collapsed="false">
      <c r="A406" s="0" t="s">
        <v>1619</v>
      </c>
      <c r="B406" s="0" t="n">
        <v>1</v>
      </c>
      <c r="D406" s="0" t="s">
        <v>1620</v>
      </c>
      <c r="E406" s="0" t="s">
        <v>202</v>
      </c>
      <c r="F406" s="0" t="s">
        <v>1621</v>
      </c>
      <c r="G406" s="0" t="n">
        <v>1</v>
      </c>
      <c r="H406" s="0" t="s">
        <v>27</v>
      </c>
      <c r="J406" s="0" t="s">
        <v>28</v>
      </c>
      <c r="K406" s="0" t="str">
        <f aca="false">"9.23 %"</f>
        <v>9.23 %</v>
      </c>
      <c r="O406" s="0" t="s">
        <v>1622</v>
      </c>
    </row>
    <row r="407" customFormat="false" ht="13.8" hidden="false" customHeight="false" outlineLevel="0" collapsed="false">
      <c r="A407" s="0" t="s">
        <v>1623</v>
      </c>
      <c r="B407" s="0" t="n">
        <v>1</v>
      </c>
      <c r="D407" s="0" t="s">
        <v>16</v>
      </c>
      <c r="E407" s="0" t="s">
        <v>17</v>
      </c>
      <c r="F407" s="0" t="s">
        <v>116</v>
      </c>
      <c r="G407" s="0" t="n">
        <v>1</v>
      </c>
      <c r="H407" s="0" t="s">
        <v>33</v>
      </c>
      <c r="J407" s="0" t="s">
        <v>34</v>
      </c>
      <c r="K407" s="0" t="str">
        <f aca="false">"3.25 %"</f>
        <v>3.25 %</v>
      </c>
      <c r="O407" s="0" t="s">
        <v>1624</v>
      </c>
    </row>
    <row r="408" customFormat="false" ht="13.8" hidden="false" customHeight="false" outlineLevel="0" collapsed="false">
      <c r="A408" s="0" t="s">
        <v>1625</v>
      </c>
      <c r="B408" s="0" t="n">
        <v>1</v>
      </c>
      <c r="D408" s="4" t="s">
        <v>128</v>
      </c>
      <c r="E408" s="0" t="s">
        <v>1626</v>
      </c>
      <c r="F408" s="4" t="s">
        <v>130</v>
      </c>
      <c r="G408" s="0" t="n">
        <v>1</v>
      </c>
      <c r="H408" s="0" t="s">
        <v>27</v>
      </c>
      <c r="J408" s="0" t="s">
        <v>28</v>
      </c>
      <c r="K408" s="0" t="str">
        <f aca="false">"1.42 %"</f>
        <v>1.42 %</v>
      </c>
      <c r="L408" s="0" t="str">
        <f aca="false">"0.89 V"</f>
        <v>0.89 V</v>
      </c>
      <c r="M408" s="4" t="str">
        <f aca="false">"3.0 mA cm^{-2}"</f>
        <v>3.0 mA cm^{-2}</v>
      </c>
      <c r="N408" s="15" t="str">
        <f aca="false">"0.53"</f>
        <v>0.53</v>
      </c>
      <c r="O408" s="0" t="s">
        <v>1627</v>
      </c>
    </row>
    <row r="409" customFormat="false" ht="13.8" hidden="false" customHeight="false" outlineLevel="0" collapsed="false">
      <c r="A409" s="0" t="s">
        <v>1625</v>
      </c>
      <c r="B409" s="0" t="n">
        <v>1</v>
      </c>
      <c r="D409" s="4" t="s">
        <v>124</v>
      </c>
      <c r="E409" s="0" t="s">
        <v>1628</v>
      </c>
      <c r="F409" s="4" t="s">
        <v>427</v>
      </c>
      <c r="G409" s="0" t="n">
        <v>1</v>
      </c>
      <c r="H409" s="0" t="s">
        <v>27</v>
      </c>
      <c r="J409" s="0" t="s">
        <v>28</v>
      </c>
      <c r="K409" s="0" t="str">
        <f aca="false">"2.23 %"</f>
        <v>2.23 %</v>
      </c>
      <c r="L409" s="15" t="s">
        <v>431</v>
      </c>
      <c r="M409" s="4" t="str">
        <f aca="false">"4.4 mA cm^{-2}"</f>
        <v>4.4 mA cm^{-2}</v>
      </c>
      <c r="N409" s="0" t="str">
        <f aca="false">"0.53"</f>
        <v>0.53</v>
      </c>
      <c r="O409" s="0" t="s">
        <v>1629</v>
      </c>
    </row>
    <row r="410" customFormat="false" ht="13.8" hidden="false" customHeight="false" outlineLevel="0" collapsed="false">
      <c r="A410" s="0" t="s">
        <v>1630</v>
      </c>
      <c r="B410" s="0" t="n">
        <v>1</v>
      </c>
      <c r="D410" s="0" t="s">
        <v>16</v>
      </c>
      <c r="E410" s="0" t="s">
        <v>17</v>
      </c>
      <c r="F410" s="0" t="s">
        <v>116</v>
      </c>
      <c r="G410" s="0" t="n">
        <v>0</v>
      </c>
      <c r="H410" s="0" t="s">
        <v>1631</v>
      </c>
      <c r="I410" s="0" t="s">
        <v>1632</v>
      </c>
      <c r="J410" s="4" t="s">
        <v>1633</v>
      </c>
      <c r="K410" s="0" t="str">
        <f aca="false">"0.26 %"</f>
        <v>0.26 %</v>
      </c>
      <c r="L410" s="0" t="str">
        <f aca="false">"0.70 V"</f>
        <v>0.70 V</v>
      </c>
      <c r="M410" s="0" t="str">
        <f aca="false">"1.20 mA/cm^{2}"</f>
        <v>1.20 mA/cm^{2}</v>
      </c>
      <c r="N410" s="0" t="str">
        <f aca="false">"0.30"</f>
        <v>0.30</v>
      </c>
      <c r="O410" s="0" t="s">
        <v>1634</v>
      </c>
    </row>
    <row r="411" customFormat="false" ht="13.8" hidden="false" customHeight="false" outlineLevel="0" collapsed="false">
      <c r="A411" s="0" t="s">
        <v>1635</v>
      </c>
      <c r="B411" s="0" t="n">
        <v>1</v>
      </c>
      <c r="D411" s="0" t="s">
        <v>1550</v>
      </c>
      <c r="E411" s="0" t="s">
        <v>1636</v>
      </c>
      <c r="F411" s="0" t="s">
        <v>1552</v>
      </c>
      <c r="G411" s="0" t="n">
        <v>0</v>
      </c>
      <c r="H411" s="4" t="s">
        <v>1637</v>
      </c>
      <c r="I411" s="0" t="s">
        <v>1638</v>
      </c>
      <c r="J411" s="4" t="s">
        <v>1639</v>
      </c>
      <c r="K411" s="0" t="str">
        <f aca="false">"6.44 %"</f>
        <v>6.44 %</v>
      </c>
      <c r="O411" s="0" t="s">
        <v>1640</v>
      </c>
    </row>
    <row r="412" customFormat="false" ht="13.8" hidden="false" customHeight="false" outlineLevel="0" collapsed="false">
      <c r="A412" s="0" t="s">
        <v>1635</v>
      </c>
      <c r="B412" s="0" t="n">
        <v>1</v>
      </c>
      <c r="D412" s="0" t="s">
        <v>1550</v>
      </c>
      <c r="E412" s="0" t="s">
        <v>1636</v>
      </c>
      <c r="F412" s="0" t="s">
        <v>1552</v>
      </c>
      <c r="G412" s="0" t="n">
        <v>0</v>
      </c>
      <c r="H412" s="4" t="s">
        <v>1641</v>
      </c>
      <c r="I412" s="0" t="s">
        <v>1642</v>
      </c>
      <c r="J412" s="4" t="s">
        <v>1643</v>
      </c>
      <c r="K412" s="0" t="str">
        <f aca="false">"6.89 %"</f>
        <v>6.89 %</v>
      </c>
      <c r="O412" s="0" t="s">
        <v>1644</v>
      </c>
    </row>
    <row r="413" customFormat="false" ht="13.8" hidden="false" customHeight="false" outlineLevel="0" collapsed="false">
      <c r="A413" s="0" t="s">
        <v>1645</v>
      </c>
      <c r="B413" s="0" t="n">
        <v>1</v>
      </c>
      <c r="D413" s="0" t="s">
        <v>1646</v>
      </c>
      <c r="E413" s="0" t="s">
        <v>1647</v>
      </c>
      <c r="F413" s="0" t="s">
        <v>1648</v>
      </c>
      <c r="G413" s="0" t="n">
        <v>1</v>
      </c>
      <c r="H413" s="0" t="s">
        <v>27</v>
      </c>
      <c r="J413" s="0" t="s">
        <v>1228</v>
      </c>
      <c r="K413" s="0" t="str">
        <f aca="false">"4.37 %"</f>
        <v>4.37 %</v>
      </c>
      <c r="M413" s="15" t="s">
        <v>1649</v>
      </c>
      <c r="N413" s="0" t="str">
        <f aca="false">"70.0 %"</f>
        <v>70.0 %</v>
      </c>
      <c r="O413" s="0" t="s">
        <v>1650</v>
      </c>
    </row>
    <row r="414" customFormat="false" ht="13.8" hidden="false" customHeight="false" outlineLevel="0" collapsed="false">
      <c r="A414" s="0" t="s">
        <v>1651</v>
      </c>
      <c r="B414" s="0" t="n">
        <v>1</v>
      </c>
      <c r="D414" s="0" t="s">
        <v>624</v>
      </c>
      <c r="E414" s="0" t="s">
        <v>600</v>
      </c>
      <c r="F414" s="0" t="s">
        <v>625</v>
      </c>
      <c r="G414" s="0" t="n">
        <v>0</v>
      </c>
      <c r="H414" s="0" t="s">
        <v>1652</v>
      </c>
      <c r="I414" s="0" t="s">
        <v>1653</v>
      </c>
      <c r="J414" s="0" t="s">
        <v>1654</v>
      </c>
      <c r="K414" s="0" t="str">
        <f aca="false">"4.4 %"</f>
        <v>4.4 %</v>
      </c>
      <c r="L414" s="0" t="str">
        <f aca="false">"0.87 V"</f>
        <v>0.87 V</v>
      </c>
      <c r="N414" s="0" t="str">
        <f aca="false">"60 %"</f>
        <v>60 %</v>
      </c>
      <c r="O414" s="0" t="s">
        <v>1655</v>
      </c>
    </row>
    <row r="415" customFormat="false" ht="13.8" hidden="false" customHeight="false" outlineLevel="0" collapsed="false">
      <c r="A415" s="0" t="s">
        <v>1656</v>
      </c>
      <c r="B415" s="0" t="n">
        <v>1</v>
      </c>
      <c r="D415" s="4" t="s">
        <v>16</v>
      </c>
      <c r="E415" s="0" t="s">
        <v>17</v>
      </c>
      <c r="F415" s="4" t="s">
        <v>1323</v>
      </c>
      <c r="G415" s="0" t="n">
        <v>1</v>
      </c>
      <c r="H415" s="0" t="s">
        <v>33</v>
      </c>
      <c r="J415" s="4" t="s">
        <v>1657</v>
      </c>
      <c r="K415" s="0" t="str">
        <f aca="false">"5.01 %"</f>
        <v>5.01 %</v>
      </c>
      <c r="O415" s="0" t="s">
        <v>1658</v>
      </c>
    </row>
    <row r="416" customFormat="false" ht="13.8" hidden="false" customHeight="false" outlineLevel="0" collapsed="false">
      <c r="A416" s="0" t="s">
        <v>1659</v>
      </c>
      <c r="B416" s="0" t="n">
        <v>1</v>
      </c>
      <c r="D416" s="0" t="s">
        <v>403</v>
      </c>
      <c r="E416" s="0" t="s">
        <v>404</v>
      </c>
      <c r="F416" s="0" t="s">
        <v>1660</v>
      </c>
      <c r="G416" s="0" t="n">
        <v>1</v>
      </c>
      <c r="H416" s="0" t="s">
        <v>27</v>
      </c>
      <c r="J416" s="4" t="s">
        <v>1661</v>
      </c>
      <c r="K416" s="0" t="str">
        <f aca="false">"6.77 %"</f>
        <v>6.77 %</v>
      </c>
      <c r="L416" s="0" t="str">
        <f aca="false">"0.79 V"</f>
        <v>0.79 V</v>
      </c>
      <c r="M416" s="0" t="str">
        <f aca="false">"13.63 mA cm^{-2}"</f>
        <v>13.63 mA cm^{-2}</v>
      </c>
      <c r="N416" s="0" t="str">
        <f aca="false">"62.9 %"</f>
        <v>62.9 %</v>
      </c>
      <c r="O416" s="0" t="s">
        <v>1662</v>
      </c>
    </row>
    <row r="417" customFormat="false" ht="13.8" hidden="false" customHeight="false" outlineLevel="0" collapsed="false">
      <c r="A417" s="0" t="s">
        <v>1663</v>
      </c>
      <c r="B417" s="0" t="n">
        <v>1</v>
      </c>
      <c r="D417" s="4" t="s">
        <v>16</v>
      </c>
      <c r="E417" s="4" t="s">
        <v>17</v>
      </c>
      <c r="F417" s="4" t="s">
        <v>116</v>
      </c>
      <c r="G417" s="0" t="n">
        <v>1</v>
      </c>
      <c r="H417" s="0" t="s">
        <v>76</v>
      </c>
      <c r="J417" s="0" t="s">
        <v>77</v>
      </c>
      <c r="K417" s="0" t="str">
        <f aca="false">"3.10 %"</f>
        <v>3.10 %</v>
      </c>
      <c r="O417" s="0" t="s">
        <v>1664</v>
      </c>
    </row>
    <row r="418" customFormat="false" ht="13.8" hidden="false" customHeight="false" outlineLevel="0" collapsed="false">
      <c r="A418" s="0" t="s">
        <v>1663</v>
      </c>
      <c r="B418" s="0" t="n">
        <v>1</v>
      </c>
      <c r="D418" s="4" t="s">
        <v>109</v>
      </c>
      <c r="E418" s="4" t="s">
        <v>110</v>
      </c>
      <c r="F418" s="4" t="s">
        <v>111</v>
      </c>
      <c r="G418" s="0" t="n">
        <v>1</v>
      </c>
      <c r="H418" s="0" t="s">
        <v>27</v>
      </c>
      <c r="J418" s="0" t="s">
        <v>28</v>
      </c>
      <c r="K418" s="0" t="str">
        <f aca="false">"5.52 %"</f>
        <v>5.52 %</v>
      </c>
      <c r="O418" s="0" t="s">
        <v>1665</v>
      </c>
    </row>
    <row r="419" customFormat="false" ht="13.8" hidden="false" customHeight="false" outlineLevel="0" collapsed="false">
      <c r="A419" s="0" t="s">
        <v>1666</v>
      </c>
      <c r="B419" s="0" t="n">
        <v>1</v>
      </c>
      <c r="D419" s="0" t="s">
        <v>302</v>
      </c>
      <c r="E419" s="0" t="s">
        <v>202</v>
      </c>
      <c r="F419" s="0" t="s">
        <v>303</v>
      </c>
      <c r="G419" s="0" t="n">
        <v>1</v>
      </c>
      <c r="H419" s="0" t="s">
        <v>27</v>
      </c>
      <c r="J419" s="0" t="s">
        <v>28</v>
      </c>
      <c r="K419" s="0" t="str">
        <f aca="false">"9.97 %"</f>
        <v>9.97 %</v>
      </c>
      <c r="O419" s="0" t="s">
        <v>1667</v>
      </c>
    </row>
    <row r="420" customFormat="false" ht="13.8" hidden="false" customHeight="false" outlineLevel="0" collapsed="false">
      <c r="A420" s="0" t="s">
        <v>1668</v>
      </c>
      <c r="B420" s="0" t="n">
        <v>1</v>
      </c>
      <c r="D420" s="0" t="s">
        <v>1669</v>
      </c>
      <c r="E420" s="0" t="s">
        <v>1670</v>
      </c>
      <c r="F420" s="4" t="s">
        <v>1671</v>
      </c>
      <c r="G420" s="0" t="n">
        <v>1</v>
      </c>
      <c r="H420" s="0" t="s">
        <v>27</v>
      </c>
      <c r="J420" s="0" t="s">
        <v>28</v>
      </c>
      <c r="K420" s="0" t="str">
        <f aca="false">"1.89 %"</f>
        <v>1.89 %</v>
      </c>
      <c r="O420" s="0" t="s">
        <v>1672</v>
      </c>
    </row>
    <row r="421" customFormat="false" ht="13.8" hidden="false" customHeight="false" outlineLevel="0" collapsed="false">
      <c r="A421" s="0" t="s">
        <v>1673</v>
      </c>
      <c r="B421" s="0" t="n">
        <v>1</v>
      </c>
      <c r="D421" s="0" t="s">
        <v>201</v>
      </c>
      <c r="E421" s="0" t="s">
        <v>202</v>
      </c>
      <c r="F421" s="0" t="s">
        <v>422</v>
      </c>
      <c r="G421" s="0" t="n">
        <v>0</v>
      </c>
      <c r="H421" s="4" t="s">
        <v>1674</v>
      </c>
      <c r="I421" s="0" t="s">
        <v>1675</v>
      </c>
      <c r="J421" s="4" t="s">
        <v>1676</v>
      </c>
      <c r="K421" s="0" t="str">
        <f aca="false">"6.2 %"</f>
        <v>6.2 %</v>
      </c>
      <c r="O421" s="0" t="s">
        <v>1677</v>
      </c>
    </row>
    <row r="422" customFormat="false" ht="13.8" hidden="false" customHeight="false" outlineLevel="0" collapsed="false">
      <c r="A422" s="0" t="s">
        <v>1678</v>
      </c>
      <c r="B422" s="0" t="n">
        <v>1</v>
      </c>
      <c r="D422" s="0" t="s">
        <v>1679</v>
      </c>
      <c r="E422" s="0" t="s">
        <v>1680</v>
      </c>
      <c r="F422" s="0" t="s">
        <v>1681</v>
      </c>
      <c r="G422" s="0" t="n">
        <v>0</v>
      </c>
      <c r="H422" s="4" t="s">
        <v>1682</v>
      </c>
      <c r="I422" s="0" t="s">
        <v>1683</v>
      </c>
      <c r="J422" s="0" t="s">
        <v>40</v>
      </c>
      <c r="K422" s="0" t="str">
        <f aca="false">"0.71 %"</f>
        <v>0.71 %</v>
      </c>
      <c r="M422" s="15" t="str">
        <f aca="false">"2.2 mA cm^{-2}"</f>
        <v>2.2 mA cm^{-2}</v>
      </c>
      <c r="N422" s="15" t="str">
        <f aca="false">"42.4 %"</f>
        <v>42.4 %</v>
      </c>
      <c r="O422" s="0" t="s">
        <v>1684</v>
      </c>
    </row>
    <row r="423" customFormat="false" ht="13.8" hidden="false" customHeight="false" outlineLevel="0" collapsed="false">
      <c r="A423" s="0" t="s">
        <v>1678</v>
      </c>
      <c r="B423" s="0" t="n">
        <v>1</v>
      </c>
      <c r="D423" s="0" t="s">
        <v>599</v>
      </c>
      <c r="E423" s="0" t="s">
        <v>600</v>
      </c>
      <c r="F423" s="0" t="s">
        <v>601</v>
      </c>
      <c r="G423" s="0" t="n">
        <v>0</v>
      </c>
      <c r="H423" s="4" t="s">
        <v>1682</v>
      </c>
      <c r="I423" s="0" t="s">
        <v>1683</v>
      </c>
      <c r="J423" s="0" t="s">
        <v>40</v>
      </c>
      <c r="K423" s="28" t="n">
        <v>0.0486</v>
      </c>
      <c r="L423" s="15" t="s">
        <v>1582</v>
      </c>
      <c r="M423" s="15" t="s">
        <v>1685</v>
      </c>
      <c r="N423" s="28" t="n">
        <v>0.663</v>
      </c>
      <c r="O423" s="0" t="s">
        <v>1686</v>
      </c>
    </row>
    <row r="424" customFormat="false" ht="13.8" hidden="false" customHeight="false" outlineLevel="0" collapsed="false">
      <c r="A424" s="0" t="s">
        <v>1687</v>
      </c>
      <c r="B424" s="0" t="n">
        <v>1</v>
      </c>
      <c r="D424" s="0" t="s">
        <v>1688</v>
      </c>
      <c r="E424" s="0" t="s">
        <v>1689</v>
      </c>
      <c r="F424" s="0" t="s">
        <v>1690</v>
      </c>
      <c r="G424" s="0" t="n">
        <v>0</v>
      </c>
      <c r="H424" s="0" t="s">
        <v>1691</v>
      </c>
      <c r="I424" s="0" t="s">
        <v>225</v>
      </c>
      <c r="J424" s="0" t="s">
        <v>1692</v>
      </c>
      <c r="K424" s="0" t="str">
        <f aca="false">"7.31 %"</f>
        <v>7.31 %</v>
      </c>
      <c r="O424" s="0" t="s">
        <v>1693</v>
      </c>
    </row>
    <row r="425" customFormat="false" ht="13.8" hidden="false" customHeight="false" outlineLevel="0" collapsed="false">
      <c r="A425" s="0" t="s">
        <v>1694</v>
      </c>
      <c r="C425" s="0" t="n">
        <v>1</v>
      </c>
      <c r="D425" s="4" t="s">
        <v>1695</v>
      </c>
      <c r="E425" s="4" t="s">
        <v>1696</v>
      </c>
      <c r="F425" s="4" t="s">
        <v>1697</v>
      </c>
      <c r="G425" s="0" t="n">
        <v>0</v>
      </c>
      <c r="H425" s="4" t="s">
        <v>224</v>
      </c>
      <c r="I425" s="0" t="s">
        <v>225</v>
      </c>
      <c r="J425" s="4" t="s">
        <v>1698</v>
      </c>
      <c r="K425" s="0" t="str">
        <f aca="false">"2.1 %"</f>
        <v>2.1 %</v>
      </c>
      <c r="O425" s="0" t="s">
        <v>1699</v>
      </c>
    </row>
    <row r="426" customFormat="false" ht="13.8" hidden="false" customHeight="false" outlineLevel="0" collapsed="false">
      <c r="A426" s="0" t="s">
        <v>1700</v>
      </c>
      <c r="C426" s="0" t="n">
        <v>1</v>
      </c>
      <c r="D426" s="4" t="s">
        <v>1701</v>
      </c>
      <c r="E426" s="0" t="s">
        <v>1702</v>
      </c>
      <c r="F426" s="4" t="s">
        <v>1703</v>
      </c>
      <c r="G426" s="0" t="n">
        <v>0</v>
      </c>
      <c r="H426" s="0" t="s">
        <v>1704</v>
      </c>
      <c r="I426" s="0" t="s">
        <v>1705</v>
      </c>
      <c r="J426" s="0" t="s">
        <v>1706</v>
      </c>
      <c r="K426" s="0" t="str">
        <f aca="false">"1.12 %"</f>
        <v>1.12 %</v>
      </c>
      <c r="O426" s="0" t="s">
        <v>1707</v>
      </c>
    </row>
    <row r="427" customFormat="false" ht="13.8" hidden="false" customHeight="false" outlineLevel="0" collapsed="false">
      <c r="A427" s="0" t="s">
        <v>1708</v>
      </c>
      <c r="B427" s="0" t="n">
        <v>1</v>
      </c>
      <c r="D427" s="0" t="s">
        <v>1709</v>
      </c>
      <c r="E427" s="0" t="s">
        <v>1710</v>
      </c>
      <c r="F427" s="4" t="s">
        <v>1711</v>
      </c>
      <c r="G427" s="4" t="n">
        <v>0</v>
      </c>
      <c r="H427" s="4" t="s">
        <v>1712</v>
      </c>
      <c r="I427" s="0" t="s">
        <v>1713</v>
      </c>
      <c r="J427" s="4" t="s">
        <v>1714</v>
      </c>
      <c r="K427" s="0" t="str">
        <f aca="false">"11.02 %"</f>
        <v>11.02 %</v>
      </c>
      <c r="O427" s="0" t="s">
        <v>1715</v>
      </c>
    </row>
    <row r="428" customFormat="false" ht="13.8" hidden="false" customHeight="false" outlineLevel="0" collapsed="false">
      <c r="A428" s="0" t="s">
        <v>1716</v>
      </c>
      <c r="B428" s="0" t="n">
        <v>1</v>
      </c>
      <c r="D428" s="4" t="s">
        <v>63</v>
      </c>
      <c r="E428" s="4" t="s">
        <v>64</v>
      </c>
      <c r="F428" s="4" t="s">
        <v>65</v>
      </c>
      <c r="G428" s="0" t="n">
        <v>0</v>
      </c>
      <c r="H428" s="4" t="s">
        <v>1704</v>
      </c>
      <c r="I428" s="4" t="s">
        <v>1705</v>
      </c>
      <c r="J428" s="4" t="s">
        <v>1706</v>
      </c>
      <c r="K428" s="0" t="str">
        <f aca="false">"3.45 %"</f>
        <v>3.45 %</v>
      </c>
      <c r="O428" s="0" t="s">
        <v>1717</v>
      </c>
    </row>
    <row r="429" customFormat="false" ht="13.8" hidden="false" customHeight="false" outlineLevel="0" collapsed="false">
      <c r="A429" s="0" t="s">
        <v>1718</v>
      </c>
      <c r="D429" s="0" t="s">
        <v>1719</v>
      </c>
      <c r="E429" s="0" t="s">
        <v>1720</v>
      </c>
      <c r="F429" s="0" t="s">
        <v>1721</v>
      </c>
      <c r="G429" s="0" t="n">
        <v>0</v>
      </c>
      <c r="H429" s="0" t="s">
        <v>1722</v>
      </c>
      <c r="J429" s="0" t="s">
        <v>40</v>
      </c>
      <c r="K429" s="0" t="str">
        <f aca="false">"3.20 %"</f>
        <v>3.20 %</v>
      </c>
      <c r="L429" s="0" t="str">
        <f aca="false">"1.30 V"</f>
        <v>1.30 V</v>
      </c>
      <c r="O429" s="0" t="s">
        <v>1723</v>
      </c>
    </row>
    <row r="430" customFormat="false" ht="13.8" hidden="false" customHeight="false" outlineLevel="0" collapsed="false">
      <c r="A430" s="0" t="s">
        <v>1724</v>
      </c>
      <c r="D430" s="0" t="s">
        <v>1725</v>
      </c>
      <c r="F430" s="0" t="s">
        <v>1726</v>
      </c>
      <c r="G430" s="0" t="n">
        <v>1</v>
      </c>
      <c r="H430" s="0" t="s">
        <v>27</v>
      </c>
      <c r="J430" s="0" t="s">
        <v>28</v>
      </c>
      <c r="K430" s="0" t="str">
        <f aca="false">"4.43 %"</f>
        <v>4.43 %</v>
      </c>
      <c r="L430" s="0" t="str">
        <f aca="false">"0.86 V"</f>
        <v>0.86 V</v>
      </c>
      <c r="M430" s="0" t="str">
        <f aca="false">"7.26 mA cm^{-2}"</f>
        <v>7.26 mA cm^{-2}</v>
      </c>
      <c r="N430" s="0" t="str">
        <f aca="false">"71 %"</f>
        <v>71 %</v>
      </c>
      <c r="O430" s="0" t="s">
        <v>1727</v>
      </c>
    </row>
    <row r="431" customFormat="false" ht="13.8" hidden="false" customHeight="false" outlineLevel="0" collapsed="false">
      <c r="A431" s="0" t="s">
        <v>1728</v>
      </c>
      <c r="D431" s="0" t="s">
        <v>1729</v>
      </c>
      <c r="F431" s="0" t="s">
        <v>1730</v>
      </c>
      <c r="G431" s="0" t="n">
        <v>0</v>
      </c>
      <c r="H431" s="0" t="s">
        <v>1731</v>
      </c>
      <c r="J431" s="0" t="s">
        <v>40</v>
      </c>
      <c r="L431" s="0" t="str">
        <f aca="false">"1.08 V"</f>
        <v>1.08 V</v>
      </c>
      <c r="O431" s="0" t="s">
        <v>1732</v>
      </c>
    </row>
    <row r="432" customFormat="false" ht="13.8" hidden="false" customHeight="false" outlineLevel="0" collapsed="false">
      <c r="A432" s="0" t="s">
        <v>1728</v>
      </c>
      <c r="D432" s="0" t="s">
        <v>1695</v>
      </c>
      <c r="E432" s="4" t="s">
        <v>1696</v>
      </c>
      <c r="F432" s="0" t="s">
        <v>1697</v>
      </c>
      <c r="G432" s="0" t="n">
        <v>0</v>
      </c>
      <c r="H432" s="0" t="s">
        <v>1731</v>
      </c>
      <c r="J432" s="0" t="s">
        <v>40</v>
      </c>
      <c r="K432" s="0" t="str">
        <f aca="false">"3.50 %"</f>
        <v>3.50 %</v>
      </c>
      <c r="O432" s="0" t="s">
        <v>1733</v>
      </c>
    </row>
    <row r="433" customFormat="false" ht="13.8" hidden="false" customHeight="false" outlineLevel="0" collapsed="false">
      <c r="A433" s="0" t="s">
        <v>1734</v>
      </c>
      <c r="D433" s="0" t="s">
        <v>85</v>
      </c>
      <c r="E433" s="0" t="s">
        <v>86</v>
      </c>
      <c r="F433" s="0" t="s">
        <v>1735</v>
      </c>
      <c r="G433" s="0" t="n">
        <v>1</v>
      </c>
      <c r="H433" s="0" t="s">
        <v>27</v>
      </c>
      <c r="J433" s="0" t="s">
        <v>28</v>
      </c>
      <c r="K433" s="0" t="str">
        <f aca="false">"7.75 %"</f>
        <v>7.75 %</v>
      </c>
      <c r="O433" s="0" t="s">
        <v>1736</v>
      </c>
    </row>
    <row r="434" customFormat="false" ht="13.8" hidden="false" customHeight="false" outlineLevel="0" collapsed="false">
      <c r="A434" s="0" t="s">
        <v>1737</v>
      </c>
      <c r="D434" s="0" t="s">
        <v>16</v>
      </c>
      <c r="E434" s="0" t="s">
        <v>17</v>
      </c>
      <c r="F434" s="0" t="s">
        <v>18</v>
      </c>
      <c r="G434" s="0" t="n">
        <v>1</v>
      </c>
      <c r="H434" s="0" t="s">
        <v>33</v>
      </c>
      <c r="J434" s="0" t="s">
        <v>1738</v>
      </c>
      <c r="K434" s="0" t="str">
        <f aca="false">"3.7 %"</f>
        <v>3.7 %</v>
      </c>
      <c r="O434" s="0" t="s">
        <v>1739</v>
      </c>
    </row>
    <row r="435" customFormat="false" ht="13.8" hidden="false" customHeight="false" outlineLevel="0" collapsed="false">
      <c r="A435" s="0" t="s">
        <v>1740</v>
      </c>
      <c r="D435" s="0" t="s">
        <v>1741</v>
      </c>
      <c r="E435" s="0" t="s">
        <v>1742</v>
      </c>
      <c r="F435" s="0" t="s">
        <v>1743</v>
      </c>
      <c r="G435" s="0" t="n">
        <v>1</v>
      </c>
      <c r="H435" s="0" t="s">
        <v>27</v>
      </c>
      <c r="J435" s="0" t="s">
        <v>1228</v>
      </c>
      <c r="K435" s="0" t="str">
        <f aca="false">"4.55 %"</f>
        <v>4.55 %</v>
      </c>
      <c r="L435" s="0" t="str">
        <f aca="false">"1.05 V"</f>
        <v>1.05 V</v>
      </c>
      <c r="M435" s="0" t="str">
        <f aca="false">"9.74 mA cm^{-2}"</f>
        <v>9.74 mA cm^{-2}</v>
      </c>
      <c r="N435" s="0" t="str">
        <f aca="false">"50.1 %"</f>
        <v>50.1 %</v>
      </c>
      <c r="O435" s="0" t="s">
        <v>1744</v>
      </c>
    </row>
    <row r="436" customFormat="false" ht="13.8" hidden="false" customHeight="false" outlineLevel="0" collapsed="false">
      <c r="A436" s="0" t="s">
        <v>1745</v>
      </c>
      <c r="D436" s="0" t="s">
        <v>85</v>
      </c>
      <c r="E436" s="0" t="s">
        <v>86</v>
      </c>
      <c r="F436" s="0" t="s">
        <v>87</v>
      </c>
      <c r="G436" s="0" t="n">
        <v>1</v>
      </c>
      <c r="H436" s="0" t="s">
        <v>27</v>
      </c>
      <c r="J436" s="0" t="s">
        <v>1274</v>
      </c>
      <c r="K436" s="0" t="str">
        <f aca="false">"9.15 %"</f>
        <v>9.15 %</v>
      </c>
      <c r="O436" s="0" t="s">
        <v>1746</v>
      </c>
    </row>
    <row r="437" customFormat="false" ht="13.8" hidden="false" customHeight="false" outlineLevel="0" collapsed="false">
      <c r="A437" s="0" t="s">
        <v>1747</v>
      </c>
      <c r="D437" s="0" t="s">
        <v>109</v>
      </c>
      <c r="E437" s="0" t="s">
        <v>110</v>
      </c>
      <c r="F437" s="0" t="s">
        <v>734</v>
      </c>
      <c r="G437" s="0" t="n">
        <v>1</v>
      </c>
      <c r="H437" s="0" t="s">
        <v>27</v>
      </c>
      <c r="J437" s="0" t="s">
        <v>28</v>
      </c>
      <c r="K437" s="0" t="str">
        <f aca="false">"6.89 %"</f>
        <v>6.89 %</v>
      </c>
      <c r="O437" s="0" t="s">
        <v>1748</v>
      </c>
    </row>
    <row r="438" customFormat="false" ht="13.8" hidden="false" customHeight="false" outlineLevel="0" collapsed="false">
      <c r="A438" s="0" t="s">
        <v>1749</v>
      </c>
      <c r="D438" s="0" t="s">
        <v>109</v>
      </c>
      <c r="E438" s="0" t="s">
        <v>110</v>
      </c>
      <c r="F438" s="0" t="s">
        <v>1750</v>
      </c>
      <c r="G438" s="0" t="n">
        <v>1</v>
      </c>
      <c r="H438" s="0" t="s">
        <v>27</v>
      </c>
      <c r="J438" s="0" t="s">
        <v>28</v>
      </c>
      <c r="K438" s="0" t="str">
        <f aca="false">"6.79 %"</f>
        <v>6.79 %</v>
      </c>
      <c r="O438" s="0" t="s">
        <v>1751</v>
      </c>
    </row>
    <row r="439" customFormat="false" ht="13.8" hidden="false" customHeight="false" outlineLevel="0" collapsed="false">
      <c r="A439" s="0" t="s">
        <v>1749</v>
      </c>
      <c r="D439" s="0" t="s">
        <v>85</v>
      </c>
      <c r="F439" s="0" t="s">
        <v>40</v>
      </c>
      <c r="G439" s="0" t="n">
        <v>1</v>
      </c>
      <c r="H439" s="0" t="s">
        <v>27</v>
      </c>
      <c r="J439" s="0" t="s">
        <v>28</v>
      </c>
      <c r="K439" s="0" t="str">
        <f aca="false">"8.43 %"</f>
        <v>8.43 %</v>
      </c>
      <c r="O439" s="0" t="s">
        <v>1752</v>
      </c>
    </row>
    <row r="440" customFormat="false" ht="13.8" hidden="false" customHeight="false" outlineLevel="0" collapsed="false">
      <c r="A440" s="0" t="s">
        <v>1753</v>
      </c>
      <c r="D440" s="0" t="s">
        <v>85</v>
      </c>
      <c r="E440" s="0" t="s">
        <v>86</v>
      </c>
      <c r="F440" s="0" t="s">
        <v>87</v>
      </c>
      <c r="G440" s="0" t="n">
        <v>1</v>
      </c>
      <c r="H440" s="0" t="s">
        <v>27</v>
      </c>
      <c r="J440" s="0" t="s">
        <v>28</v>
      </c>
      <c r="K440" s="0" t="str">
        <f aca="false">"7.99 %"</f>
        <v>7.99 %</v>
      </c>
      <c r="O440" s="0" t="s">
        <v>1754</v>
      </c>
    </row>
    <row r="441" customFormat="false" ht="13.8" hidden="false" customHeight="false" outlineLevel="0" collapsed="false">
      <c r="A441" s="0" t="s">
        <v>1755</v>
      </c>
      <c r="D441" s="0" t="s">
        <v>63</v>
      </c>
      <c r="E441" s="0" t="s">
        <v>64</v>
      </c>
      <c r="F441" s="0" t="s">
        <v>65</v>
      </c>
      <c r="G441" s="0" t="n">
        <v>1</v>
      </c>
      <c r="H441" s="0" t="s">
        <v>27</v>
      </c>
      <c r="J441" s="0" t="s">
        <v>28</v>
      </c>
      <c r="K441" s="0" t="str">
        <f aca="false">"7.56 %"</f>
        <v>7.56 %</v>
      </c>
      <c r="O441" s="0" t="s">
        <v>1756</v>
      </c>
    </row>
    <row r="442" customFormat="false" ht="13.8" hidden="false" customHeight="false" outlineLevel="0" collapsed="false">
      <c r="A442" s="0" t="s">
        <v>1757</v>
      </c>
      <c r="D442" s="0" t="s">
        <v>109</v>
      </c>
      <c r="E442" s="0" t="s">
        <v>110</v>
      </c>
      <c r="F442" s="0" t="s">
        <v>111</v>
      </c>
      <c r="G442" s="0" t="n">
        <v>1</v>
      </c>
      <c r="H442" s="0" t="s">
        <v>27</v>
      </c>
      <c r="J442" s="0" t="s">
        <v>28</v>
      </c>
      <c r="K442" s="0" t="str">
        <f aca="false">"6.56 %"</f>
        <v>6.56 %</v>
      </c>
      <c r="L442" s="0" t="str">
        <f aca="false">"0.94 V"</f>
        <v>0.94 V</v>
      </c>
      <c r="O442" s="0" t="s">
        <v>1758</v>
      </c>
    </row>
    <row r="443" customFormat="false" ht="13.8" hidden="false" customHeight="false" outlineLevel="0" collapsed="false">
      <c r="A443" s="0" t="s">
        <v>1759</v>
      </c>
      <c r="D443" s="0" t="s">
        <v>208</v>
      </c>
      <c r="E443" s="0" t="s">
        <v>17</v>
      </c>
      <c r="F443" s="0" t="s">
        <v>209</v>
      </c>
      <c r="G443" s="0" t="n">
        <v>1</v>
      </c>
      <c r="H443" s="0" t="s">
        <v>33</v>
      </c>
      <c r="J443" s="0" t="s">
        <v>34</v>
      </c>
      <c r="K443" s="0" t="str">
        <f aca="false">"3.61 %"</f>
        <v>3.61 %</v>
      </c>
      <c r="O443" s="0" t="s">
        <v>1760</v>
      </c>
    </row>
    <row r="444" customFormat="false" ht="13.8" hidden="false" customHeight="false" outlineLevel="0" collapsed="false">
      <c r="A444" s="0" t="s">
        <v>1761</v>
      </c>
      <c r="D444" s="0" t="s">
        <v>85</v>
      </c>
      <c r="E444" s="0" t="s">
        <v>86</v>
      </c>
      <c r="F444" s="0" t="s">
        <v>87</v>
      </c>
      <c r="G444" s="0" t="n">
        <v>1</v>
      </c>
      <c r="H444" s="0" t="s">
        <v>33</v>
      </c>
      <c r="J444" s="0" t="s">
        <v>40</v>
      </c>
      <c r="K444" s="0" t="str">
        <f aca="false">"7.65 %"</f>
        <v>7.65 %</v>
      </c>
      <c r="O444" s="0" t="s">
        <v>1762</v>
      </c>
    </row>
    <row r="445" customFormat="false" ht="13.8" hidden="false" customHeight="false" outlineLevel="0" collapsed="false">
      <c r="A445" s="0" t="s">
        <v>1763</v>
      </c>
      <c r="D445" s="0" t="s">
        <v>1116</v>
      </c>
      <c r="E445" s="0" t="s">
        <v>1117</v>
      </c>
      <c r="F445" s="0" t="s">
        <v>1118</v>
      </c>
      <c r="G445" s="0" t="n">
        <v>0</v>
      </c>
      <c r="H445" s="0" t="s">
        <v>1712</v>
      </c>
      <c r="J445" s="0" t="s">
        <v>40</v>
      </c>
      <c r="K445" s="0" t="str">
        <f aca="false">"11 %"</f>
        <v>11 %</v>
      </c>
      <c r="O445" s="0" t="s">
        <v>1764</v>
      </c>
    </row>
    <row r="446" customFormat="false" ht="13.8" hidden="false" customHeight="false" outlineLevel="0" collapsed="false">
      <c r="A446" s="0" t="s">
        <v>1765</v>
      </c>
      <c r="D446" s="0" t="s">
        <v>109</v>
      </c>
      <c r="E446" s="0" t="s">
        <v>110</v>
      </c>
      <c r="F446" s="0" t="s">
        <v>111</v>
      </c>
      <c r="G446" s="0" t="n">
        <v>1</v>
      </c>
      <c r="H446" s="0" t="s">
        <v>66</v>
      </c>
      <c r="J446" s="0" t="s">
        <v>67</v>
      </c>
      <c r="K446" s="0" t="str">
        <f aca="false">"6.77 %"</f>
        <v>6.77 %</v>
      </c>
      <c r="L446" s="0" t="str">
        <f aca="false">"0.88 V"</f>
        <v>0.88 V</v>
      </c>
      <c r="M446" s="0" t="str">
        <f aca="false">"10.88 mA cm^{-2}"</f>
        <v>10.88 mA cm^{-2}</v>
      </c>
      <c r="N446" s="0" t="str">
        <f aca="false">"70.7 %"</f>
        <v>70.7 %</v>
      </c>
      <c r="O446" s="0" t="s">
        <v>1766</v>
      </c>
    </row>
    <row r="447" customFormat="false" ht="13.8" hidden="false" customHeight="false" outlineLevel="0" collapsed="false">
      <c r="A447" s="0" t="s">
        <v>1767</v>
      </c>
      <c r="D447" s="0" t="s">
        <v>208</v>
      </c>
      <c r="E447" s="0" t="s">
        <v>17</v>
      </c>
      <c r="F447" s="0" t="s">
        <v>18</v>
      </c>
      <c r="G447" s="0" t="n">
        <v>1</v>
      </c>
      <c r="H447" s="0" t="s">
        <v>33</v>
      </c>
      <c r="J447" s="0" t="s">
        <v>60</v>
      </c>
      <c r="K447" s="0" t="str">
        <f aca="false">"2.34 %"</f>
        <v>2.34 %</v>
      </c>
      <c r="O447" s="0" t="s">
        <v>1768</v>
      </c>
    </row>
    <row r="448" customFormat="false" ht="13.8" hidden="false" customHeight="false" outlineLevel="0" collapsed="false">
      <c r="A448" s="0" t="s">
        <v>1769</v>
      </c>
      <c r="D448" s="0" t="s">
        <v>208</v>
      </c>
      <c r="E448" s="0" t="s">
        <v>17</v>
      </c>
      <c r="F448" s="0" t="s">
        <v>18</v>
      </c>
      <c r="G448" s="0" t="n">
        <v>1</v>
      </c>
      <c r="H448" s="0" t="s">
        <v>33</v>
      </c>
      <c r="J448" s="0" t="s">
        <v>60</v>
      </c>
      <c r="K448" s="0" t="str">
        <f aca="false">"2.69 %"</f>
        <v>2.69 %</v>
      </c>
      <c r="O448" s="0" t="s">
        <v>1770</v>
      </c>
    </row>
    <row r="449" customFormat="false" ht="13.8" hidden="false" customHeight="false" outlineLevel="0" collapsed="false">
      <c r="A449" s="0" t="s">
        <v>1771</v>
      </c>
      <c r="D449" s="0" t="s">
        <v>201</v>
      </c>
      <c r="E449" s="0" t="s">
        <v>202</v>
      </c>
      <c r="F449" s="0" t="s">
        <v>422</v>
      </c>
      <c r="G449" s="0" t="n">
        <v>1</v>
      </c>
      <c r="H449" s="0" t="s">
        <v>27</v>
      </c>
      <c r="J449" s="0" t="s">
        <v>28</v>
      </c>
      <c r="K449" s="0" t="str">
        <f aca="false">"10.5 %"</f>
        <v>10.5 %</v>
      </c>
      <c r="O449" s="0" t="s">
        <v>1772</v>
      </c>
    </row>
    <row r="450" customFormat="false" ht="13.8" hidden="false" customHeight="false" outlineLevel="0" collapsed="false">
      <c r="A450" s="0" t="s">
        <v>1773</v>
      </c>
      <c r="D450" s="0" t="s">
        <v>1774</v>
      </c>
      <c r="F450" s="0" t="s">
        <v>1775</v>
      </c>
      <c r="G450" s="0" t="n">
        <v>1</v>
      </c>
      <c r="H450" s="0" t="s">
        <v>27</v>
      </c>
      <c r="J450" s="0" t="s">
        <v>28</v>
      </c>
      <c r="K450" s="0" t="str">
        <f aca="false">"3.76 %"</f>
        <v>3.76 %</v>
      </c>
      <c r="O450" s="0" t="s">
        <v>1776</v>
      </c>
    </row>
    <row r="451" customFormat="false" ht="13.8" hidden="false" customHeight="false" outlineLevel="0" collapsed="false">
      <c r="A451" s="0" t="s">
        <v>1777</v>
      </c>
      <c r="D451" s="0" t="s">
        <v>16</v>
      </c>
      <c r="E451" s="0" t="s">
        <v>17</v>
      </c>
      <c r="F451" s="0" t="s">
        <v>18</v>
      </c>
      <c r="G451" s="0" t="n">
        <v>1</v>
      </c>
      <c r="H451" s="0" t="s">
        <v>33</v>
      </c>
      <c r="J451" s="0" t="s">
        <v>60</v>
      </c>
      <c r="K451" s="0" t="str">
        <f aca="false">"3.89 %"</f>
        <v>3.89 %</v>
      </c>
      <c r="L451" s="0" t="str">
        <f aca="false">"0.58 V"</f>
        <v>0.58 V</v>
      </c>
      <c r="M451" s="0" t="str">
        <f aca="false">"10.03 mA cm^{-2}"</f>
        <v>10.03 mA cm^{-2}</v>
      </c>
      <c r="N451" s="0" t="str">
        <f aca="false">"0.67"</f>
        <v>0.67</v>
      </c>
      <c r="O451" s="0" t="s">
        <v>1778</v>
      </c>
    </row>
    <row r="452" customFormat="false" ht="13.8" hidden="false" customHeight="false" outlineLevel="0" collapsed="false">
      <c r="A452" s="0" t="s">
        <v>1779</v>
      </c>
      <c r="D452" s="0" t="s">
        <v>1780</v>
      </c>
      <c r="F452" s="0" t="s">
        <v>1781</v>
      </c>
      <c r="G452" s="0" t="n">
        <v>0</v>
      </c>
      <c r="H452" s="0" t="s">
        <v>163</v>
      </c>
      <c r="I452" s="0" t="s">
        <v>164</v>
      </c>
      <c r="J452" s="0" t="s">
        <v>165</v>
      </c>
      <c r="K452" s="0" t="str">
        <f aca="false">"9.63 %"</f>
        <v>9.63 %</v>
      </c>
      <c r="O452" s="0" t="s">
        <v>1782</v>
      </c>
    </row>
    <row r="453" customFormat="false" ht="13.8" hidden="false" customHeight="false" outlineLevel="0" collapsed="false">
      <c r="A453" s="0" t="s">
        <v>1779</v>
      </c>
      <c r="D453" s="0" t="s">
        <v>1783</v>
      </c>
      <c r="F453" s="0" t="s">
        <v>1784</v>
      </c>
      <c r="G453" s="0" t="n">
        <v>0</v>
      </c>
      <c r="H453" s="0" t="s">
        <v>163</v>
      </c>
      <c r="I453" s="0" t="s">
        <v>164</v>
      </c>
      <c r="J453" s="0" t="s">
        <v>165</v>
      </c>
      <c r="O453" s="0" t="s">
        <v>1785</v>
      </c>
    </row>
    <row r="454" customFormat="false" ht="13.8" hidden="false" customHeight="false" outlineLevel="0" collapsed="false">
      <c r="A454" s="0" t="s">
        <v>1786</v>
      </c>
      <c r="D454" s="0" t="s">
        <v>1787</v>
      </c>
      <c r="E454" s="0" t="s">
        <v>1169</v>
      </c>
      <c r="F454" s="0" t="s">
        <v>1788</v>
      </c>
      <c r="G454" s="0" t="n">
        <v>1</v>
      </c>
      <c r="H454" s="0" t="s">
        <v>33</v>
      </c>
      <c r="J454" s="0" t="s">
        <v>1789</v>
      </c>
      <c r="K454" s="0" t="str">
        <f aca="false">"3.03 %"</f>
        <v>3.03 %</v>
      </c>
      <c r="O454" s="0" t="s">
        <v>1790</v>
      </c>
    </row>
    <row r="455" customFormat="false" ht="13.8" hidden="false" customHeight="false" outlineLevel="0" collapsed="false">
      <c r="A455" s="0" t="s">
        <v>1791</v>
      </c>
      <c r="D455" s="0" t="s">
        <v>208</v>
      </c>
      <c r="E455" s="0" t="s">
        <v>17</v>
      </c>
      <c r="F455" s="0" t="s">
        <v>18</v>
      </c>
      <c r="G455" s="0" t="n">
        <v>1</v>
      </c>
      <c r="H455" s="0" t="s">
        <v>33</v>
      </c>
      <c r="J455" s="0" t="s">
        <v>34</v>
      </c>
      <c r="K455" s="0" t="str">
        <f aca="false">"3.71 %"</f>
        <v>3.71 %</v>
      </c>
      <c r="O455" s="0" t="s">
        <v>1792</v>
      </c>
    </row>
    <row r="456" customFormat="false" ht="13.8" hidden="false" customHeight="false" outlineLevel="0" collapsed="false">
      <c r="A456" s="0" t="s">
        <v>1793</v>
      </c>
      <c r="D456" s="0" t="s">
        <v>85</v>
      </c>
      <c r="E456" s="0" t="s">
        <v>86</v>
      </c>
      <c r="F456" s="0" t="s">
        <v>1794</v>
      </c>
      <c r="G456" s="0" t="n">
        <v>1</v>
      </c>
      <c r="H456" s="0" t="s">
        <v>27</v>
      </c>
      <c r="J456" s="0" t="s">
        <v>28</v>
      </c>
      <c r="K456" s="0" t="str">
        <f aca="false">"8.0 %"</f>
        <v>8.0 %</v>
      </c>
      <c r="O456" s="0" t="s">
        <v>1795</v>
      </c>
    </row>
    <row r="457" customFormat="false" ht="13.8" hidden="false" customHeight="false" outlineLevel="0" collapsed="false">
      <c r="A457" s="0" t="s">
        <v>1796</v>
      </c>
      <c r="D457" s="0" t="s">
        <v>208</v>
      </c>
      <c r="E457" s="0" t="s">
        <v>17</v>
      </c>
      <c r="F457" s="0" t="s">
        <v>18</v>
      </c>
      <c r="G457" s="0" t="n">
        <v>1</v>
      </c>
      <c r="H457" s="0" t="s">
        <v>33</v>
      </c>
      <c r="J457" s="0" t="s">
        <v>34</v>
      </c>
      <c r="K457" s="0" t="str">
        <f aca="false">"3.07 %"</f>
        <v>3.07 %</v>
      </c>
      <c r="O457" s="0" t="s">
        <v>1797</v>
      </c>
    </row>
    <row r="458" customFormat="false" ht="13.8" hidden="false" customHeight="false" outlineLevel="0" collapsed="false">
      <c r="A458" s="0" t="s">
        <v>1798</v>
      </c>
      <c r="D458" s="0" t="e">
        <f aca="false">- #REF!-butyric acid</f>
        <v>#VALUE!</v>
      </c>
      <c r="F458" s="0" t="s">
        <v>40</v>
      </c>
      <c r="G458" s="0" t="n">
        <v>1</v>
      </c>
      <c r="H458" s="0" t="s">
        <v>27</v>
      </c>
      <c r="J458" s="0" t="s">
        <v>1799</v>
      </c>
      <c r="K458" s="0" t="str">
        <f aca="false">"1.63 %"</f>
        <v>1.63 %</v>
      </c>
      <c r="L458" s="0" t="str">
        <f aca="false">"0.54 V"</f>
        <v>0.54 V</v>
      </c>
      <c r="M458" s="0" t="str">
        <f aca="false">"6.83 mA/cm^{2}"</f>
        <v>6.83 mA/cm^{2}</v>
      </c>
      <c r="N458" s="0" t="str">
        <f aca="false">"0.44"</f>
        <v>0.44</v>
      </c>
      <c r="O458" s="0" t="s">
        <v>1800</v>
      </c>
    </row>
    <row r="459" customFormat="false" ht="13.8" hidden="false" customHeight="false" outlineLevel="0" collapsed="false">
      <c r="A459" s="0" t="s">
        <v>1801</v>
      </c>
      <c r="D459" s="0" t="s">
        <v>1802</v>
      </c>
      <c r="F459" s="0" t="s">
        <v>1803</v>
      </c>
      <c r="G459" s="0" t="n">
        <v>1</v>
      </c>
      <c r="H459" s="0" t="s">
        <v>76</v>
      </c>
      <c r="J459" s="0" t="s">
        <v>77</v>
      </c>
      <c r="K459" s="0" t="str">
        <f aca="false">"2.23 %"</f>
        <v>2.23 %</v>
      </c>
      <c r="O459" s="0" t="s">
        <v>1804</v>
      </c>
    </row>
    <row r="460" customFormat="false" ht="13.8" hidden="false" customHeight="false" outlineLevel="0" collapsed="false">
      <c r="A460" s="0" t="s">
        <v>1805</v>
      </c>
      <c r="D460" s="0" t="s">
        <v>16</v>
      </c>
      <c r="E460" s="0" t="s">
        <v>17</v>
      </c>
      <c r="F460" s="0" t="s">
        <v>1351</v>
      </c>
      <c r="G460" s="0" t="n">
        <v>1</v>
      </c>
      <c r="H460" s="0" t="s">
        <v>33</v>
      </c>
      <c r="J460" s="0" t="s">
        <v>60</v>
      </c>
      <c r="K460" s="0" t="str">
        <f aca="false">"1.38 %"</f>
        <v>1.38 %</v>
      </c>
      <c r="L460" s="0" t="str">
        <f aca="false">"0.47 V"</f>
        <v>0.47 V</v>
      </c>
      <c r="M460" s="0" t="str">
        <f aca="false">"7.86 mA/cm^{2}"</f>
        <v>7.86 mA/cm^{2}</v>
      </c>
      <c r="O460" s="0" t="s">
        <v>1806</v>
      </c>
    </row>
    <row r="461" customFormat="false" ht="13.8" hidden="false" customHeight="false" outlineLevel="0" collapsed="false">
      <c r="A461" s="0" t="s">
        <v>1805</v>
      </c>
      <c r="D461" s="0" t="s">
        <v>1807</v>
      </c>
      <c r="F461" s="0" t="s">
        <v>1808</v>
      </c>
      <c r="G461" s="0" t="n">
        <v>1</v>
      </c>
      <c r="H461" s="0" t="s">
        <v>33</v>
      </c>
      <c r="J461" s="0" t="s">
        <v>60</v>
      </c>
      <c r="N461" s="0" t="str">
        <f aca="false">"0.37"</f>
        <v>0.37</v>
      </c>
      <c r="O461" s="0" t="s">
        <v>1809</v>
      </c>
    </row>
    <row r="462" customFormat="false" ht="13.8" hidden="false" customHeight="false" outlineLevel="0" collapsed="false">
      <c r="A462" s="0" t="s">
        <v>1810</v>
      </c>
      <c r="B462" s="0" t="n">
        <v>1</v>
      </c>
      <c r="D462" s="0" t="s">
        <v>1811</v>
      </c>
      <c r="E462" s="0" t="s">
        <v>1812</v>
      </c>
      <c r="F462" s="0" t="s">
        <v>1813</v>
      </c>
      <c r="G462" s="0" t="n">
        <v>1</v>
      </c>
      <c r="H462" s="0" t="s">
        <v>27</v>
      </c>
      <c r="J462" s="0" t="s">
        <v>1228</v>
      </c>
      <c r="K462" s="0" t="str">
        <f aca="false">"5.40 %"</f>
        <v>5.40 %</v>
      </c>
      <c r="O462" s="0" t="s">
        <v>1814</v>
      </c>
    </row>
    <row r="463" customFormat="false" ht="13.8" hidden="false" customHeight="false" outlineLevel="0" collapsed="false">
      <c r="A463" s="0" t="s">
        <v>1815</v>
      </c>
      <c r="D463" s="0" t="s">
        <v>1816</v>
      </c>
      <c r="E463" s="0" t="s">
        <v>1817</v>
      </c>
      <c r="F463" s="0" t="s">
        <v>1818</v>
      </c>
      <c r="G463" s="0" t="n">
        <v>1</v>
      </c>
      <c r="H463" s="0" t="s">
        <v>575</v>
      </c>
      <c r="J463" s="0" t="s">
        <v>40</v>
      </c>
      <c r="K463" s="0" t="str">
        <f aca="false">"0.70 %"</f>
        <v>0.70 %</v>
      </c>
      <c r="O463" s="0" t="s">
        <v>1819</v>
      </c>
    </row>
    <row r="464" customFormat="false" ht="13.8" hidden="false" customHeight="false" outlineLevel="0" collapsed="false">
      <c r="A464" s="0" t="s">
        <v>1820</v>
      </c>
      <c r="D464" s="0" t="s">
        <v>16</v>
      </c>
      <c r="E464" s="0" t="s">
        <v>17</v>
      </c>
      <c r="F464" s="0" t="s">
        <v>18</v>
      </c>
      <c r="G464" s="0" t="n">
        <v>1</v>
      </c>
      <c r="H464" s="0" t="s">
        <v>33</v>
      </c>
      <c r="J464" s="0" t="s">
        <v>34</v>
      </c>
      <c r="K464" s="0" t="str">
        <f aca="false">"3.70 %"</f>
        <v>3.70 %</v>
      </c>
      <c r="O464" s="0" t="s">
        <v>1821</v>
      </c>
    </row>
    <row r="465" customFormat="false" ht="13.8" hidden="false" customHeight="false" outlineLevel="0" collapsed="false">
      <c r="A465" s="0" t="s">
        <v>1822</v>
      </c>
      <c r="D465" s="0" t="s">
        <v>1823</v>
      </c>
      <c r="F465" s="0" t="s">
        <v>40</v>
      </c>
      <c r="G465" s="0" t="n">
        <v>0</v>
      </c>
      <c r="H465" s="0" t="s">
        <v>1824</v>
      </c>
      <c r="J465" s="0" t="s">
        <v>40</v>
      </c>
      <c r="K465" s="0" t="str">
        <f aca="false">"2.45 %"</f>
        <v>2.45 %</v>
      </c>
      <c r="O465" s="0" t="s">
        <v>1825</v>
      </c>
    </row>
    <row r="466" customFormat="false" ht="13.8" hidden="false" customHeight="false" outlineLevel="0" collapsed="false">
      <c r="A466" s="0" t="s">
        <v>1826</v>
      </c>
      <c r="D466" s="0" t="s">
        <v>1827</v>
      </c>
      <c r="F466" s="0" t="s">
        <v>1828</v>
      </c>
      <c r="G466" s="0" t="n">
        <v>1</v>
      </c>
      <c r="H466" s="0" t="s">
        <v>1829</v>
      </c>
      <c r="J466" s="0" t="s">
        <v>40</v>
      </c>
      <c r="O466" s="0" t="s">
        <v>1830</v>
      </c>
    </row>
    <row r="467" customFormat="false" ht="13.8" hidden="false" customHeight="false" outlineLevel="0" collapsed="false">
      <c r="A467" s="0" t="s">
        <v>1831</v>
      </c>
      <c r="D467" s="0" t="s">
        <v>208</v>
      </c>
      <c r="E467" s="0" t="s">
        <v>17</v>
      </c>
      <c r="F467" s="0" t="s">
        <v>209</v>
      </c>
      <c r="G467" s="0" t="n">
        <v>1</v>
      </c>
      <c r="H467" s="0" t="s">
        <v>1017</v>
      </c>
      <c r="J467" s="0" t="s">
        <v>1832</v>
      </c>
      <c r="K467" s="0" t="str">
        <f aca="false">"2.22 %"</f>
        <v>2.22 %</v>
      </c>
      <c r="O467" s="0" t="s">
        <v>1833</v>
      </c>
    </row>
    <row r="468" customFormat="false" ht="13.8" hidden="false" customHeight="false" outlineLevel="0" collapsed="false">
      <c r="A468" s="0" t="s">
        <v>1834</v>
      </c>
      <c r="D468" s="0" t="s">
        <v>1835</v>
      </c>
      <c r="F468" s="0" t="s">
        <v>1836</v>
      </c>
      <c r="G468" s="0" t="n">
        <v>1</v>
      </c>
      <c r="H468" s="0" t="s">
        <v>27</v>
      </c>
      <c r="J468" s="0" t="s">
        <v>28</v>
      </c>
      <c r="K468" s="0" t="str">
        <f aca="false">"1.64 %"</f>
        <v>1.64 %</v>
      </c>
      <c r="O468" s="0" t="s">
        <v>1837</v>
      </c>
    </row>
    <row r="469" customFormat="false" ht="13.8" hidden="false" customHeight="false" outlineLevel="0" collapsed="false">
      <c r="A469" s="0" t="s">
        <v>1838</v>
      </c>
      <c r="D469" s="0" t="s">
        <v>16</v>
      </c>
      <c r="E469" s="0" t="s">
        <v>17</v>
      </c>
      <c r="F469" s="0" t="s">
        <v>1839</v>
      </c>
      <c r="G469" s="0" t="n">
        <v>0</v>
      </c>
      <c r="H469" s="0" t="s">
        <v>1840</v>
      </c>
      <c r="J469" s="0" t="s">
        <v>40</v>
      </c>
      <c r="K469" s="0" t="str">
        <f aca="false">"90 %"</f>
        <v>90 %</v>
      </c>
      <c r="O469" s="0" t="s">
        <v>1841</v>
      </c>
    </row>
    <row r="470" customFormat="false" ht="13.8" hidden="false" customHeight="false" outlineLevel="0" collapsed="false">
      <c r="A470" s="0" t="s">
        <v>1842</v>
      </c>
      <c r="D470" s="0" t="s">
        <v>1843</v>
      </c>
      <c r="F470" s="0" t="s">
        <v>1844</v>
      </c>
      <c r="G470" s="0" t="n">
        <v>1</v>
      </c>
      <c r="H470" s="0" t="s">
        <v>27</v>
      </c>
      <c r="J470" s="0" t="s">
        <v>28</v>
      </c>
      <c r="L470" s="0" t="str">
        <f aca="false">"0.62 V"</f>
        <v>0.62 V</v>
      </c>
      <c r="M470" s="0" t="str">
        <f aca="false">"1.01 mA cm^{-2}"</f>
        <v>1.01 mA cm^{-2}</v>
      </c>
      <c r="O470" s="0" t="s">
        <v>1845</v>
      </c>
    </row>
    <row r="471" customFormat="false" ht="13.8" hidden="false" customHeight="false" outlineLevel="0" collapsed="false">
      <c r="A471" s="0" t="s">
        <v>1842</v>
      </c>
      <c r="D471" s="0" t="s">
        <v>1846</v>
      </c>
      <c r="F471" s="0" t="s">
        <v>1847</v>
      </c>
      <c r="G471" s="0" t="n">
        <v>1</v>
      </c>
      <c r="H471" s="0" t="s">
        <v>27</v>
      </c>
      <c r="J471" s="0" t="s">
        <v>28</v>
      </c>
      <c r="K471" s="0" t="str">
        <f aca="false">"0.86 %"</f>
        <v>0.86 %</v>
      </c>
      <c r="O471" s="0" t="s">
        <v>1848</v>
      </c>
    </row>
    <row r="472" customFormat="false" ht="13.8" hidden="false" customHeight="false" outlineLevel="0" collapsed="false">
      <c r="A472" s="0" t="s">
        <v>1849</v>
      </c>
      <c r="D472" s="0" t="s">
        <v>1850</v>
      </c>
      <c r="F472" s="0" t="s">
        <v>40</v>
      </c>
      <c r="G472" s="0" t="n">
        <v>1</v>
      </c>
      <c r="H472" s="0" t="s">
        <v>27</v>
      </c>
      <c r="J472" s="0" t="s">
        <v>28</v>
      </c>
      <c r="K472" s="0" t="str">
        <f aca="false">"5.30 %"</f>
        <v>5.30 %</v>
      </c>
      <c r="O472" s="0" t="s">
        <v>1851</v>
      </c>
    </row>
    <row r="473" customFormat="false" ht="13.8" hidden="false" customHeight="false" outlineLevel="0" collapsed="false">
      <c r="A473" s="0" t="s">
        <v>1852</v>
      </c>
      <c r="D473" s="0" t="s">
        <v>208</v>
      </c>
      <c r="E473" s="0" t="s">
        <v>17</v>
      </c>
      <c r="F473" s="0" t="s">
        <v>18</v>
      </c>
      <c r="G473" s="0" t="n">
        <v>1</v>
      </c>
      <c r="H473" s="0" t="s">
        <v>33</v>
      </c>
      <c r="J473" s="0" t="s">
        <v>398</v>
      </c>
      <c r="K473" s="0" t="str">
        <f aca="false">"3.86 %"</f>
        <v>3.86 %</v>
      </c>
      <c r="L473" s="0" t="str">
        <f aca="false">"0.68 V"</f>
        <v>0.68 V</v>
      </c>
      <c r="N473" s="0" t="str">
        <f aca="false">"64 %"</f>
        <v>64 %</v>
      </c>
      <c r="O473" s="0" t="s">
        <v>1853</v>
      </c>
    </row>
    <row r="474" customFormat="false" ht="13.8" hidden="false" customHeight="false" outlineLevel="0" collapsed="false">
      <c r="A474" s="0" t="s">
        <v>1854</v>
      </c>
      <c r="D474" s="0" t="s">
        <v>16</v>
      </c>
      <c r="E474" s="0" t="s">
        <v>17</v>
      </c>
      <c r="F474" s="0" t="s">
        <v>1855</v>
      </c>
      <c r="G474" s="0" t="n">
        <v>1</v>
      </c>
      <c r="H474" s="0" t="s">
        <v>33</v>
      </c>
      <c r="J474" s="0" t="s">
        <v>34</v>
      </c>
      <c r="K474" s="0" t="str">
        <f aca="false">"3.44 %"</f>
        <v>3.44 %</v>
      </c>
      <c r="O474" s="0" t="s">
        <v>1856</v>
      </c>
    </row>
    <row r="475" customFormat="false" ht="13.8" hidden="false" customHeight="false" outlineLevel="0" collapsed="false">
      <c r="A475" s="0" t="s">
        <v>1857</v>
      </c>
      <c r="D475" s="0" t="s">
        <v>16</v>
      </c>
      <c r="E475" s="0" t="s">
        <v>17</v>
      </c>
      <c r="F475" s="0" t="s">
        <v>116</v>
      </c>
      <c r="G475" s="0" t="n">
        <v>1</v>
      </c>
      <c r="H475" s="0" t="s">
        <v>117</v>
      </c>
      <c r="J475" s="0" t="s">
        <v>118</v>
      </c>
      <c r="K475" s="0" t="str">
        <f aca="false">"4.12 %"</f>
        <v>4.12 %</v>
      </c>
      <c r="O475" s="0" t="s">
        <v>1858</v>
      </c>
    </row>
    <row r="476" customFormat="false" ht="13.8" hidden="false" customHeight="false" outlineLevel="0" collapsed="false">
      <c r="A476" s="0" t="s">
        <v>1859</v>
      </c>
      <c r="D476" s="0" t="s">
        <v>1860</v>
      </c>
      <c r="F476" s="0" t="s">
        <v>1861</v>
      </c>
      <c r="G476" s="0" t="n">
        <v>0</v>
      </c>
      <c r="H476" s="0" t="s">
        <v>1862</v>
      </c>
      <c r="I476" s="0" t="s">
        <v>1169</v>
      </c>
      <c r="J476" s="0" t="s">
        <v>1863</v>
      </c>
      <c r="K476" s="0" t="str">
        <f aca="false">"9.50 %"</f>
        <v>9.50 %</v>
      </c>
      <c r="L476" s="0" t="str">
        <f aca="false">"565 mV"</f>
        <v>565 mV</v>
      </c>
      <c r="M476" s="0" t="str">
        <f aca="false">"28.4 mA/cm^{2}"</f>
        <v>28.4 mA/cm^{2}</v>
      </c>
      <c r="O476" s="0" t="s">
        <v>1864</v>
      </c>
    </row>
    <row r="477" customFormat="false" ht="13.8" hidden="false" customHeight="false" outlineLevel="0" collapsed="false">
      <c r="A477" s="0" t="s">
        <v>1865</v>
      </c>
      <c r="D477" s="0" t="s">
        <v>1866</v>
      </c>
      <c r="F477" s="0" t="s">
        <v>40</v>
      </c>
      <c r="G477" s="0" t="n">
        <v>1</v>
      </c>
      <c r="H477" s="0" t="s">
        <v>33</v>
      </c>
      <c r="J477" s="0" t="s">
        <v>34</v>
      </c>
      <c r="K477" s="0" t="str">
        <f aca="false">"3.8 %"</f>
        <v>3.8 %</v>
      </c>
      <c r="O477" s="0" t="s">
        <v>1867</v>
      </c>
    </row>
    <row r="478" customFormat="false" ht="13.8" hidden="false" customHeight="false" outlineLevel="0" collapsed="false">
      <c r="A478" s="0" t="s">
        <v>1868</v>
      </c>
      <c r="D478" s="0" t="s">
        <v>1869</v>
      </c>
      <c r="E478" s="0" t="s">
        <v>110</v>
      </c>
      <c r="F478" s="0" t="s">
        <v>1870</v>
      </c>
      <c r="G478" s="0" t="n">
        <v>1</v>
      </c>
      <c r="H478" s="0" t="s">
        <v>27</v>
      </c>
      <c r="J478" s="0" t="s">
        <v>28</v>
      </c>
      <c r="K478" s="0" t="str">
        <f aca="false">"6.94 %"</f>
        <v>6.94 %</v>
      </c>
      <c r="O478" s="0" t="s">
        <v>1871</v>
      </c>
    </row>
    <row r="479" customFormat="false" ht="13.8" hidden="false" customHeight="false" outlineLevel="0" collapsed="false">
      <c r="A479" s="0" t="s">
        <v>1872</v>
      </c>
      <c r="D479" s="0" t="s">
        <v>16</v>
      </c>
      <c r="E479" s="0" t="s">
        <v>17</v>
      </c>
      <c r="F479" s="0" t="s">
        <v>18</v>
      </c>
      <c r="G479" s="0" t="n">
        <v>1</v>
      </c>
      <c r="H479" s="0" t="s">
        <v>33</v>
      </c>
      <c r="J479" s="0" t="s">
        <v>40</v>
      </c>
      <c r="K479" s="0" t="str">
        <f aca="false">"3.44 %"</f>
        <v>3.44 %</v>
      </c>
      <c r="L479" s="0" t="str">
        <f aca="false">"0.64 V"</f>
        <v>0.64 V</v>
      </c>
      <c r="M479" s="0" t="str">
        <f aca="false">"8.02 mA/cm^{2}"</f>
        <v>8.02 mA/cm^{2}</v>
      </c>
      <c r="N479" s="0" t="str">
        <f aca="false">"0.67"</f>
        <v>0.67</v>
      </c>
      <c r="O479" s="0" t="s">
        <v>1873</v>
      </c>
    </row>
    <row r="480" customFormat="false" ht="13.8" hidden="false" customHeight="false" outlineLevel="0" collapsed="false">
      <c r="A480" s="0" t="s">
        <v>1874</v>
      </c>
      <c r="D480" s="0" t="s">
        <v>128</v>
      </c>
      <c r="F480" s="0" t="s">
        <v>130</v>
      </c>
      <c r="G480" s="0" t="n">
        <v>1</v>
      </c>
      <c r="H480" s="0" t="s">
        <v>27</v>
      </c>
      <c r="J480" s="0" t="s">
        <v>28</v>
      </c>
      <c r="K480" s="0" t="str">
        <f aca="false">"7.21 %"</f>
        <v>7.21 %</v>
      </c>
      <c r="O480" s="0" t="s">
        <v>1875</v>
      </c>
    </row>
    <row r="481" customFormat="false" ht="13.8" hidden="false" customHeight="false" outlineLevel="0" collapsed="false">
      <c r="A481" s="0" t="s">
        <v>1876</v>
      </c>
      <c r="D481" s="0" t="s">
        <v>124</v>
      </c>
      <c r="F481" s="0" t="s">
        <v>427</v>
      </c>
      <c r="G481" s="0" t="n">
        <v>1</v>
      </c>
      <c r="H481" s="0" t="s">
        <v>27</v>
      </c>
      <c r="J481" s="0" t="s">
        <v>28</v>
      </c>
      <c r="K481" s="0" t="str">
        <f aca="false">"3.33 %"</f>
        <v>3.33 %</v>
      </c>
      <c r="O481" s="0" t="s">
        <v>1877</v>
      </c>
    </row>
    <row r="482" customFormat="false" ht="13.8" hidden="false" customHeight="false" outlineLevel="0" collapsed="false">
      <c r="A482" s="0" t="s">
        <v>1878</v>
      </c>
      <c r="D482" s="0" t="s">
        <v>1879</v>
      </c>
      <c r="F482" s="0" t="s">
        <v>40</v>
      </c>
      <c r="G482" s="0" t="n">
        <v>1</v>
      </c>
      <c r="H482" s="0" t="s">
        <v>27</v>
      </c>
      <c r="J482" s="0" t="s">
        <v>40</v>
      </c>
      <c r="K482" s="0" t="str">
        <f aca="false">"2.42 %"</f>
        <v>2.42 %</v>
      </c>
      <c r="O482" s="0" t="s">
        <v>1880</v>
      </c>
    </row>
    <row r="483" customFormat="false" ht="13.8" hidden="false" customHeight="false" outlineLevel="0" collapsed="false">
      <c r="A483" s="0" t="s">
        <v>1881</v>
      </c>
      <c r="D483" s="0" t="s">
        <v>1882</v>
      </c>
      <c r="F483" s="0" t="s">
        <v>1883</v>
      </c>
      <c r="G483" s="0" t="n">
        <v>1</v>
      </c>
      <c r="H483" s="0" t="s">
        <v>33</v>
      </c>
      <c r="J483" s="0" t="s">
        <v>40</v>
      </c>
      <c r="K483" s="0" t="str">
        <f aca="false">"1.30 %"</f>
        <v>1.30 %</v>
      </c>
      <c r="O483" s="0" t="s">
        <v>1884</v>
      </c>
    </row>
    <row r="484" customFormat="false" ht="13.8" hidden="false" customHeight="false" outlineLevel="0" collapsed="false">
      <c r="A484" s="0" t="s">
        <v>1885</v>
      </c>
      <c r="D484" s="0" t="s">
        <v>1886</v>
      </c>
      <c r="F484" s="0" t="s">
        <v>1887</v>
      </c>
      <c r="G484" s="0" t="n">
        <v>1</v>
      </c>
      <c r="H484" s="0" t="s">
        <v>27</v>
      </c>
      <c r="J484" s="0" t="s">
        <v>28</v>
      </c>
      <c r="K484" s="0" t="str">
        <f aca="false">"8.40 %"</f>
        <v>8.40 %</v>
      </c>
      <c r="O484" s="0" t="s">
        <v>1888</v>
      </c>
    </row>
    <row r="485" customFormat="false" ht="13.8" hidden="false" customHeight="false" outlineLevel="0" collapsed="false">
      <c r="A485" s="0" t="s">
        <v>1889</v>
      </c>
      <c r="D485" s="0" t="s">
        <v>1890</v>
      </c>
      <c r="F485" s="0" t="s">
        <v>1891</v>
      </c>
      <c r="G485" s="0" t="n">
        <v>1</v>
      </c>
      <c r="H485" s="0" t="s">
        <v>27</v>
      </c>
      <c r="J485" s="0" t="s">
        <v>28</v>
      </c>
      <c r="K485" s="0" t="str">
        <f aca="false">"5.3 %"</f>
        <v>5.3 %</v>
      </c>
      <c r="L485" s="0" t="str">
        <f aca="false">"0.9 V"</f>
        <v>0.9 V</v>
      </c>
      <c r="O485" s="0" t="s">
        <v>1892</v>
      </c>
    </row>
    <row r="486" customFormat="false" ht="13.8" hidden="false" customHeight="false" outlineLevel="0" collapsed="false">
      <c r="A486" s="0" t="s">
        <v>1893</v>
      </c>
      <c r="D486" s="0" t="s">
        <v>85</v>
      </c>
      <c r="E486" s="0" t="s">
        <v>86</v>
      </c>
      <c r="F486" s="0" t="s">
        <v>87</v>
      </c>
      <c r="G486" s="0" t="n">
        <v>1</v>
      </c>
      <c r="H486" s="0" t="s">
        <v>27</v>
      </c>
      <c r="J486" s="0" t="s">
        <v>28</v>
      </c>
      <c r="K486" s="0" t="str">
        <f aca="false">"9.15 %"</f>
        <v>9.15 %</v>
      </c>
      <c r="O486" s="0" t="s">
        <v>1894</v>
      </c>
    </row>
    <row r="487" customFormat="false" ht="13.8" hidden="false" customHeight="false" outlineLevel="0" collapsed="false">
      <c r="A487" s="0" t="s">
        <v>1895</v>
      </c>
      <c r="D487" s="0" t="s">
        <v>16</v>
      </c>
      <c r="E487" s="0" t="s">
        <v>17</v>
      </c>
      <c r="F487" s="0" t="s">
        <v>18</v>
      </c>
      <c r="G487" s="0" t="n">
        <v>1</v>
      </c>
      <c r="H487" s="0" t="s">
        <v>33</v>
      </c>
      <c r="J487" s="0" t="s">
        <v>1789</v>
      </c>
      <c r="K487" s="0" t="str">
        <f aca="false">"4.02-4.19 %"</f>
        <v>4.02-4.19 %</v>
      </c>
      <c r="L487" s="0" t="str">
        <f aca="false">"0.14 V"</f>
        <v>0.14 V</v>
      </c>
      <c r="O487" s="0" t="s">
        <v>1896</v>
      </c>
    </row>
    <row r="488" customFormat="false" ht="13.8" hidden="false" customHeight="false" outlineLevel="0" collapsed="false">
      <c r="A488" s="0" t="s">
        <v>1897</v>
      </c>
      <c r="D488" s="0" t="s">
        <v>1898</v>
      </c>
      <c r="F488" s="0" t="s">
        <v>1899</v>
      </c>
      <c r="G488" s="0" t="n">
        <v>1</v>
      </c>
      <c r="H488" s="0" t="s">
        <v>33</v>
      </c>
      <c r="J488" s="0" t="s">
        <v>34</v>
      </c>
      <c r="K488" s="0" t="str">
        <f aca="false">"1.35 %"</f>
        <v>1.35 %</v>
      </c>
      <c r="O488" s="0" t="s">
        <v>1900</v>
      </c>
    </row>
    <row r="489" customFormat="false" ht="13.8" hidden="false" customHeight="false" outlineLevel="0" collapsed="false">
      <c r="A489" s="0" t="s">
        <v>1901</v>
      </c>
      <c r="D489" s="0" t="s">
        <v>243</v>
      </c>
      <c r="E489" s="0" t="s">
        <v>244</v>
      </c>
      <c r="F489" s="0" t="s">
        <v>245</v>
      </c>
      <c r="G489" s="0" t="n">
        <v>1</v>
      </c>
      <c r="H489" s="0" t="s">
        <v>27</v>
      </c>
      <c r="J489" s="0" t="s">
        <v>28</v>
      </c>
      <c r="K489" s="0" t="str">
        <f aca="false">"6.64 %"</f>
        <v>6.64 %</v>
      </c>
      <c r="O489" s="0" t="s">
        <v>1902</v>
      </c>
    </row>
    <row r="490" customFormat="false" ht="13.8" hidden="false" customHeight="false" outlineLevel="0" collapsed="false">
      <c r="A490" s="0" t="s">
        <v>1903</v>
      </c>
      <c r="D490" s="0" t="s">
        <v>1904</v>
      </c>
      <c r="F490" s="0" t="s">
        <v>1905</v>
      </c>
      <c r="G490" s="0" t="n">
        <v>0</v>
      </c>
      <c r="H490" s="0" t="s">
        <v>1906</v>
      </c>
      <c r="J490" s="0" t="s">
        <v>40</v>
      </c>
      <c r="K490" s="0" t="str">
        <f aca="false">"5.4 %"</f>
        <v>5.4 %</v>
      </c>
      <c r="L490" s="0" t="str">
        <f aca="false">"1.05 V"</f>
        <v>1.05 V</v>
      </c>
      <c r="M490" s="0" t="str">
        <f aca="false">"9.1 mA/cm^{2}"</f>
        <v>9.1 mA/cm^{2}</v>
      </c>
      <c r="O490" s="0" t="s">
        <v>1907</v>
      </c>
    </row>
    <row r="491" customFormat="false" ht="13.8" hidden="false" customHeight="false" outlineLevel="0" collapsed="false">
      <c r="A491" s="0" t="s">
        <v>1908</v>
      </c>
      <c r="D491" s="0" t="s">
        <v>16</v>
      </c>
      <c r="E491" s="0" t="s">
        <v>17</v>
      </c>
      <c r="F491" s="0" t="s">
        <v>18</v>
      </c>
      <c r="G491" s="0" t="n">
        <v>1</v>
      </c>
      <c r="H491" s="0" t="s">
        <v>33</v>
      </c>
      <c r="J491" s="0" t="s">
        <v>504</v>
      </c>
      <c r="K491" s="0" t="str">
        <f aca="false">"2.77 %"</f>
        <v>2.77 %</v>
      </c>
      <c r="O491" s="0" t="s">
        <v>1909</v>
      </c>
    </row>
    <row r="492" customFormat="false" ht="13.8" hidden="false" customHeight="false" outlineLevel="0" collapsed="false">
      <c r="A492" s="0" t="s">
        <v>1910</v>
      </c>
      <c r="D492" s="0" t="s">
        <v>1911</v>
      </c>
      <c r="F492" s="0" t="s">
        <v>1912</v>
      </c>
      <c r="G492" s="0" t="n">
        <v>1</v>
      </c>
      <c r="H492" s="0" t="s">
        <v>27</v>
      </c>
      <c r="J492" s="0" t="s">
        <v>40</v>
      </c>
      <c r="K492" s="0" t="str">
        <f aca="false">"1.99-3.37 %"</f>
        <v>1.99-3.37 %</v>
      </c>
      <c r="O492" s="0" t="s">
        <v>1913</v>
      </c>
    </row>
    <row r="493" customFormat="false" ht="13.8" hidden="false" customHeight="false" outlineLevel="0" collapsed="false">
      <c r="A493" s="0" t="s">
        <v>1910</v>
      </c>
      <c r="D493" s="0" t="s">
        <v>1914</v>
      </c>
      <c r="E493" s="0" t="s">
        <v>1915</v>
      </c>
      <c r="F493" s="0" t="s">
        <v>1916</v>
      </c>
      <c r="G493" s="0" t="n">
        <v>1</v>
      </c>
      <c r="H493" s="0" t="s">
        <v>27</v>
      </c>
      <c r="J493" s="0" t="s">
        <v>40</v>
      </c>
      <c r="K493" s="0" t="str">
        <f aca="false">"3.37 %"</f>
        <v>3.37 %</v>
      </c>
      <c r="L493" s="0" t="str">
        <f aca="false">"0.86 V"</f>
        <v>0.86 V</v>
      </c>
      <c r="M493" s="0" t="str">
        <f aca="false">"9.15 mA cm^{-2}"</f>
        <v>9.15 mA cm^{-2}</v>
      </c>
      <c r="N493" s="0" t="str">
        <f aca="false">"0.43"</f>
        <v>0.43</v>
      </c>
      <c r="O493" s="0" t="s">
        <v>1917</v>
      </c>
    </row>
    <row r="494" customFormat="false" ht="13.8" hidden="false" customHeight="false" outlineLevel="0" collapsed="false">
      <c r="A494" s="0" t="s">
        <v>1918</v>
      </c>
      <c r="D494" s="0" t="s">
        <v>1919</v>
      </c>
      <c r="F494" s="0" t="s">
        <v>1920</v>
      </c>
      <c r="G494" s="0" t="n">
        <v>0</v>
      </c>
      <c r="H494" s="0" t="s">
        <v>1921</v>
      </c>
      <c r="I494" s="0" t="s">
        <v>1169</v>
      </c>
      <c r="J494" s="0" t="s">
        <v>1922</v>
      </c>
      <c r="K494" s="0" t="str">
        <f aca="false">"9.50 %"</f>
        <v>9.50 %</v>
      </c>
      <c r="O494" s="0" t="s">
        <v>1923</v>
      </c>
    </row>
    <row r="495" customFormat="false" ht="13.8" hidden="false" customHeight="false" outlineLevel="0" collapsed="false">
      <c r="A495" s="0" t="s">
        <v>1918</v>
      </c>
      <c r="D495" s="0" t="s">
        <v>1924</v>
      </c>
      <c r="E495" s="0" t="s">
        <v>1925</v>
      </c>
      <c r="F495" s="0" t="s">
        <v>1926</v>
      </c>
      <c r="G495" s="0" t="n">
        <v>0</v>
      </c>
      <c r="H495" s="0" t="s">
        <v>1921</v>
      </c>
      <c r="I495" s="0" t="s">
        <v>1169</v>
      </c>
      <c r="J495" s="0" t="s">
        <v>1922</v>
      </c>
      <c r="K495" s="0" t="str">
        <f aca="false">"8.60 %"</f>
        <v>8.60 %</v>
      </c>
      <c r="O495" s="0" t="s">
        <v>1927</v>
      </c>
    </row>
    <row r="496" customFormat="false" ht="13.8" hidden="false" customHeight="false" outlineLevel="0" collapsed="false">
      <c r="A496" s="0" t="s">
        <v>1928</v>
      </c>
      <c r="D496" s="0" t="s">
        <v>1929</v>
      </c>
      <c r="F496" s="0" t="s">
        <v>40</v>
      </c>
      <c r="G496" s="0" t="n">
        <v>1</v>
      </c>
      <c r="H496" s="0" t="s">
        <v>758</v>
      </c>
      <c r="J496" s="0" t="s">
        <v>759</v>
      </c>
      <c r="K496" s="0" t="str">
        <f aca="false">"1.93 %"</f>
        <v>1.93 %</v>
      </c>
      <c r="O496" s="0" t="s">
        <v>1930</v>
      </c>
    </row>
    <row r="497" customFormat="false" ht="13.8" hidden="false" customHeight="false" outlineLevel="0" collapsed="false">
      <c r="A497" s="0" t="s">
        <v>1931</v>
      </c>
      <c r="D497" s="0" t="s">
        <v>16</v>
      </c>
      <c r="E497" s="0" t="s">
        <v>17</v>
      </c>
      <c r="F497" s="0" t="s">
        <v>18</v>
      </c>
      <c r="G497" s="0" t="n">
        <v>1</v>
      </c>
      <c r="H497" s="0" t="s">
        <v>152</v>
      </c>
      <c r="J497" s="0" t="s">
        <v>40</v>
      </c>
      <c r="K497" s="0" t="str">
        <f aca="false">"5.59 %"</f>
        <v>5.59 %</v>
      </c>
      <c r="O497" s="0" t="s">
        <v>1932</v>
      </c>
    </row>
    <row r="498" customFormat="false" ht="13.8" hidden="false" customHeight="false" outlineLevel="0" collapsed="false">
      <c r="A498" s="0" t="s">
        <v>1933</v>
      </c>
      <c r="D498" s="0" t="s">
        <v>201</v>
      </c>
      <c r="E498" s="0" t="s">
        <v>202</v>
      </c>
      <c r="F498" s="0" t="s">
        <v>422</v>
      </c>
      <c r="G498" s="0" t="n">
        <v>1</v>
      </c>
      <c r="H498" s="0" t="s">
        <v>27</v>
      </c>
      <c r="J498" s="0" t="s">
        <v>28</v>
      </c>
      <c r="K498" s="0" t="str">
        <f aca="false">"7.10 %"</f>
        <v>7.10 %</v>
      </c>
      <c r="O498" s="0" t="s">
        <v>1934</v>
      </c>
    </row>
    <row r="499" customFormat="false" ht="13.8" hidden="false" customHeight="false" outlineLevel="0" collapsed="false">
      <c r="A499" s="0" t="s">
        <v>1933</v>
      </c>
      <c r="D499" s="0" t="s">
        <v>1935</v>
      </c>
      <c r="F499" s="0" t="s">
        <v>1936</v>
      </c>
      <c r="G499" s="0" t="n">
        <v>1</v>
      </c>
      <c r="H499" s="0" t="s">
        <v>27</v>
      </c>
      <c r="J499" s="0" t="s">
        <v>28</v>
      </c>
      <c r="K499" s="0" t="str">
        <f aca="false">"7.69 %"</f>
        <v>7.69 %</v>
      </c>
      <c r="O499" s="0" t="s">
        <v>1937</v>
      </c>
    </row>
    <row r="500" customFormat="false" ht="13.8" hidden="false" customHeight="false" outlineLevel="0" collapsed="false">
      <c r="A500" s="0" t="s">
        <v>1938</v>
      </c>
      <c r="D500" s="0" t="s">
        <v>1939</v>
      </c>
      <c r="F500" s="0" t="s">
        <v>1940</v>
      </c>
      <c r="G500" s="0" t="n">
        <v>1</v>
      </c>
      <c r="H500" s="0" t="s">
        <v>76</v>
      </c>
      <c r="J500" s="0" t="s">
        <v>77</v>
      </c>
      <c r="K500" s="0" t="str">
        <f aca="false">"2.51 %"</f>
        <v>2.51 %</v>
      </c>
      <c r="O500" s="0" t="s">
        <v>1941</v>
      </c>
    </row>
    <row r="501" customFormat="false" ht="13.8" hidden="false" customHeight="false" outlineLevel="0" collapsed="false">
      <c r="A501" s="0" t="s">
        <v>1942</v>
      </c>
      <c r="D501" s="0" t="s">
        <v>1943</v>
      </c>
      <c r="F501" s="0" t="s">
        <v>1944</v>
      </c>
      <c r="G501" s="0" t="n">
        <v>1</v>
      </c>
      <c r="H501" s="0" t="s">
        <v>27</v>
      </c>
      <c r="J501" s="0" t="s">
        <v>28</v>
      </c>
      <c r="K501" s="0" t="str">
        <f aca="false">"0.16 %"</f>
        <v>0.16 %</v>
      </c>
      <c r="O501" s="0" t="s">
        <v>1945</v>
      </c>
    </row>
    <row r="502" customFormat="false" ht="13.8" hidden="false" customHeight="false" outlineLevel="0" collapsed="false">
      <c r="A502" s="0" t="s">
        <v>1946</v>
      </c>
      <c r="D502" s="0" t="s">
        <v>201</v>
      </c>
      <c r="E502" s="0" t="s">
        <v>202</v>
      </c>
      <c r="F502" s="0" t="s">
        <v>422</v>
      </c>
      <c r="G502" s="0" t="n">
        <v>0</v>
      </c>
      <c r="H502" s="0" t="s">
        <v>1947</v>
      </c>
      <c r="I502" s="0" t="s">
        <v>1948</v>
      </c>
      <c r="J502" s="0" t="s">
        <v>1949</v>
      </c>
      <c r="K502" s="0" t="str">
        <f aca="false">"12.1 %"</f>
        <v>12.1 %</v>
      </c>
      <c r="O502" s="0" t="s">
        <v>1950</v>
      </c>
    </row>
    <row r="503" customFormat="false" ht="13.8" hidden="false" customHeight="false" outlineLevel="0" collapsed="false">
      <c r="A503" s="0" t="s">
        <v>1951</v>
      </c>
      <c r="D503" s="0" t="s">
        <v>1952</v>
      </c>
      <c r="F503" s="0" t="s">
        <v>1953</v>
      </c>
      <c r="G503" s="0" t="n">
        <v>1</v>
      </c>
      <c r="H503" s="0" t="s">
        <v>27</v>
      </c>
      <c r="J503" s="0" t="s">
        <v>1799</v>
      </c>
      <c r="K503" s="0" t="str">
        <f aca="false">"2.25 %"</f>
        <v>2.25 %</v>
      </c>
      <c r="M503" s="0" t="str">
        <f aca="false">"8.39 mA/cm^{2}"</f>
        <v>8.39 mA/cm^{2}</v>
      </c>
      <c r="N503" s="0" t="str">
        <f aca="false">"0.36"</f>
        <v>0.36</v>
      </c>
      <c r="O503" s="0" t="s">
        <v>1954</v>
      </c>
    </row>
    <row r="504" customFormat="false" ht="13.8" hidden="false" customHeight="false" outlineLevel="0" collapsed="false">
      <c r="A504" s="0" t="s">
        <v>1955</v>
      </c>
      <c r="D504" s="0" t="s">
        <v>1956</v>
      </c>
      <c r="E504" s="0" t="s">
        <v>1957</v>
      </c>
      <c r="F504" s="0" t="s">
        <v>1958</v>
      </c>
      <c r="G504" s="0" t="n">
        <v>0</v>
      </c>
      <c r="H504" s="0" t="s">
        <v>1959</v>
      </c>
      <c r="J504" s="0" t="s">
        <v>1960</v>
      </c>
      <c r="K504" s="0" t="str">
        <f aca="false">"7.81 %"</f>
        <v>7.81 %</v>
      </c>
      <c r="L504" s="0" t="str">
        <f aca="false">"0.98 V"</f>
        <v>0.98 V</v>
      </c>
      <c r="O504" s="0" t="s">
        <v>1961</v>
      </c>
    </row>
    <row r="505" customFormat="false" ht="13.8" hidden="false" customHeight="false" outlineLevel="0" collapsed="false">
      <c r="A505" s="0" t="s">
        <v>1962</v>
      </c>
      <c r="D505" s="0" t="s">
        <v>1963</v>
      </c>
      <c r="F505" s="0" t="s">
        <v>1964</v>
      </c>
      <c r="G505" s="0" t="n">
        <v>1</v>
      </c>
      <c r="H505" s="0" t="s">
        <v>318</v>
      </c>
      <c r="J505" s="0" t="s">
        <v>319</v>
      </c>
      <c r="K505" s="0" t="str">
        <f aca="false">"1.32 %"</f>
        <v>1.32 %</v>
      </c>
      <c r="O505" s="0" t="s">
        <v>1965</v>
      </c>
    </row>
    <row r="506" customFormat="false" ht="13.8" hidden="false" customHeight="false" outlineLevel="0" collapsed="false">
      <c r="A506" s="0" t="s">
        <v>1966</v>
      </c>
      <c r="D506" s="0" t="s">
        <v>1967</v>
      </c>
      <c r="F506" s="0" t="s">
        <v>1968</v>
      </c>
      <c r="G506" s="0" t="n">
        <v>1</v>
      </c>
      <c r="H506" s="0" t="s">
        <v>76</v>
      </c>
      <c r="J506" s="0" t="s">
        <v>77</v>
      </c>
      <c r="K506" s="0" t="str">
        <f aca="false">"0.99 %"</f>
        <v>0.99 %</v>
      </c>
      <c r="L506" s="0" t="str">
        <f aca="false">"0.96 V"</f>
        <v>0.96 V</v>
      </c>
      <c r="M506" s="0" t="str">
        <f aca="false">"3.3 mA cm^{-2}"</f>
        <v>3.3 mA cm^{-2}</v>
      </c>
      <c r="N506" s="0" t="str">
        <f aca="false">"0.33"</f>
        <v>0.33</v>
      </c>
      <c r="O506" s="0" t="s">
        <v>1969</v>
      </c>
    </row>
    <row r="507" customFormat="false" ht="13.8" hidden="false" customHeight="false" outlineLevel="0" collapsed="false">
      <c r="A507" s="0" t="s">
        <v>1970</v>
      </c>
      <c r="D507" s="0" t="s">
        <v>1971</v>
      </c>
      <c r="E507" s="0" t="s">
        <v>1972</v>
      </c>
      <c r="F507" s="0" t="s">
        <v>1973</v>
      </c>
      <c r="G507" s="0" t="n">
        <v>0</v>
      </c>
      <c r="H507" s="0" t="s">
        <v>1974</v>
      </c>
      <c r="I507" s="0" t="s">
        <v>1975</v>
      </c>
      <c r="J507" s="0" t="s">
        <v>1976</v>
      </c>
      <c r="K507" s="0" t="str">
        <f aca="false">"1.17 %"</f>
        <v>1.17 %</v>
      </c>
      <c r="N507" s="0" t="str">
        <f aca="false">"50 %"</f>
        <v>50 %</v>
      </c>
      <c r="O507" s="0" t="s">
        <v>1977</v>
      </c>
    </row>
    <row r="508" customFormat="false" ht="13.8" hidden="false" customHeight="false" outlineLevel="0" collapsed="false">
      <c r="A508" s="0" t="s">
        <v>1978</v>
      </c>
      <c r="D508" s="0" t="s">
        <v>1979</v>
      </c>
      <c r="E508" s="0" t="s">
        <v>1169</v>
      </c>
      <c r="F508" s="0" t="s">
        <v>1980</v>
      </c>
      <c r="G508" s="0" t="n">
        <v>1</v>
      </c>
      <c r="H508" s="0" t="s">
        <v>33</v>
      </c>
      <c r="J508" s="0" t="s">
        <v>40</v>
      </c>
      <c r="K508" s="0" t="str">
        <f aca="false">"2 %"</f>
        <v>2 %</v>
      </c>
      <c r="O508" s="0" t="s">
        <v>1981</v>
      </c>
    </row>
    <row r="509" customFormat="false" ht="13.8" hidden="false" customHeight="false" outlineLevel="0" collapsed="false">
      <c r="A509" s="0" t="s">
        <v>1982</v>
      </c>
      <c r="D509" s="0" t="s">
        <v>1983</v>
      </c>
      <c r="F509" s="0" t="s">
        <v>1984</v>
      </c>
      <c r="G509" s="0" t="n">
        <v>0</v>
      </c>
      <c r="H509" s="0" t="s">
        <v>955</v>
      </c>
      <c r="J509" s="0" t="s">
        <v>40</v>
      </c>
      <c r="K509" s="0" t="str">
        <f aca="false">"7.66 %"</f>
        <v>7.66 %</v>
      </c>
      <c r="O509" s="0" t="s">
        <v>1985</v>
      </c>
    </row>
    <row r="510" customFormat="false" ht="13.8" hidden="false" customHeight="false" outlineLevel="0" collapsed="false">
      <c r="A510" s="0" t="s">
        <v>1986</v>
      </c>
      <c r="D510" s="0" t="s">
        <v>1987</v>
      </c>
      <c r="F510" s="0" t="s">
        <v>1988</v>
      </c>
      <c r="G510" s="0" t="n">
        <v>1</v>
      </c>
      <c r="H510" s="0" t="s">
        <v>76</v>
      </c>
      <c r="J510" s="0" t="s">
        <v>77</v>
      </c>
      <c r="K510" s="0" t="str">
        <f aca="false">"6.2 ± 0.2 %"</f>
        <v>6.2 ± 0.2 %</v>
      </c>
      <c r="O510" s="0" t="s">
        <v>1989</v>
      </c>
    </row>
    <row r="511" customFormat="false" ht="13.8" hidden="false" customHeight="false" outlineLevel="0" collapsed="false">
      <c r="A511" s="0" t="s">
        <v>1986</v>
      </c>
      <c r="D511" s="0" t="s">
        <v>1990</v>
      </c>
      <c r="F511" s="0" t="s">
        <v>1991</v>
      </c>
      <c r="G511" s="0" t="n">
        <v>1</v>
      </c>
      <c r="H511" s="0" t="s">
        <v>76</v>
      </c>
      <c r="J511" s="0" t="s">
        <v>77</v>
      </c>
      <c r="K511" s="0" t="str">
        <f aca="false">"7.2 ± 0.1 %"</f>
        <v>7.2 ± 0.1 %</v>
      </c>
      <c r="O511" s="0" t="s">
        <v>1992</v>
      </c>
    </row>
    <row r="512" customFormat="false" ht="13.8" hidden="false" customHeight="false" outlineLevel="0" collapsed="false">
      <c r="A512" s="0" t="s">
        <v>1993</v>
      </c>
      <c r="D512" s="0" t="s">
        <v>1994</v>
      </c>
      <c r="F512" s="0" t="s">
        <v>1995</v>
      </c>
      <c r="G512" s="0" t="n">
        <v>0</v>
      </c>
      <c r="H512" s="0" t="s">
        <v>1121</v>
      </c>
      <c r="I512" s="0" t="s">
        <v>225</v>
      </c>
      <c r="J512" s="0" t="s">
        <v>1996</v>
      </c>
      <c r="K512" s="0" t="str">
        <f aca="false">"7 %"</f>
        <v>7 %</v>
      </c>
      <c r="L512" s="0" t="str">
        <f aca="false">"0.90 V"</f>
        <v>0.90 V</v>
      </c>
      <c r="M512" s="0" t="str">
        <f aca="false">"13.5 mA cm^{-2}"</f>
        <v>13.5 mA cm^{-2}</v>
      </c>
      <c r="N512" s="0" t="str">
        <f aca="false">"67.0 %"</f>
        <v>67.0 %</v>
      </c>
      <c r="O512" s="0" t="s">
        <v>1997</v>
      </c>
    </row>
    <row r="513" customFormat="false" ht="13.8" hidden="false" customHeight="false" outlineLevel="0" collapsed="false">
      <c r="A513" s="0" t="s">
        <v>1998</v>
      </c>
      <c r="D513" s="0" t="s">
        <v>85</v>
      </c>
      <c r="E513" s="0" t="s">
        <v>86</v>
      </c>
      <c r="F513" s="0" t="s">
        <v>716</v>
      </c>
      <c r="G513" s="0" t="n">
        <v>1</v>
      </c>
      <c r="H513" s="0" t="s">
        <v>27</v>
      </c>
      <c r="J513" s="0" t="s">
        <v>28</v>
      </c>
      <c r="K513" s="0" t="str">
        <f aca="false">"10.40 %"</f>
        <v>10.40 %</v>
      </c>
      <c r="O513" s="0" t="s">
        <v>1999</v>
      </c>
    </row>
    <row r="514" customFormat="false" ht="13.8" hidden="false" customHeight="false" outlineLevel="0" collapsed="false">
      <c r="A514" s="0" t="s">
        <v>2000</v>
      </c>
      <c r="D514" s="0" t="s">
        <v>201</v>
      </c>
      <c r="E514" s="0" t="s">
        <v>202</v>
      </c>
      <c r="F514" s="0" t="s">
        <v>422</v>
      </c>
      <c r="G514" s="0" t="n">
        <v>1</v>
      </c>
      <c r="H514" s="0" t="s">
        <v>27</v>
      </c>
      <c r="J514" s="0" t="s">
        <v>28</v>
      </c>
      <c r="K514" s="0" t="str">
        <f aca="false">"8.27 %"</f>
        <v>8.27 %</v>
      </c>
      <c r="O514" s="0" t="s">
        <v>2001</v>
      </c>
    </row>
    <row r="515" customFormat="false" ht="13.8" hidden="false" customHeight="false" outlineLevel="0" collapsed="false">
      <c r="A515" s="0" t="s">
        <v>2002</v>
      </c>
      <c r="D515" s="0" t="s">
        <v>16</v>
      </c>
      <c r="E515" s="0" t="s">
        <v>17</v>
      </c>
      <c r="F515" s="0" t="s">
        <v>18</v>
      </c>
      <c r="G515" s="0" t="n">
        <v>1</v>
      </c>
      <c r="H515" s="0" t="s">
        <v>76</v>
      </c>
      <c r="J515" s="0" t="s">
        <v>77</v>
      </c>
      <c r="K515" s="0" t="str">
        <f aca="false">"3.62 %"</f>
        <v>3.62 %</v>
      </c>
      <c r="O515" s="0" t="s">
        <v>2003</v>
      </c>
    </row>
    <row r="516" customFormat="false" ht="13.8" hidden="false" customHeight="false" outlineLevel="0" collapsed="false">
      <c r="A516" s="0" t="s">
        <v>2004</v>
      </c>
      <c r="D516" s="0" t="s">
        <v>208</v>
      </c>
      <c r="E516" s="0" t="s">
        <v>17</v>
      </c>
      <c r="F516" s="0" t="s">
        <v>209</v>
      </c>
      <c r="G516" s="0" t="n">
        <v>1</v>
      </c>
      <c r="H516" s="0" t="s">
        <v>33</v>
      </c>
      <c r="J516" s="0" t="s">
        <v>34</v>
      </c>
      <c r="K516" s="0" t="str">
        <f aca="false">"1.73 %"</f>
        <v>1.73 %</v>
      </c>
      <c r="O516" s="0" t="s">
        <v>2005</v>
      </c>
    </row>
    <row r="517" customFormat="false" ht="13.8" hidden="false" customHeight="false" outlineLevel="0" collapsed="false">
      <c r="A517" s="0" t="s">
        <v>2006</v>
      </c>
      <c r="D517" s="0" t="s">
        <v>2007</v>
      </c>
      <c r="F517" s="0" t="s">
        <v>40</v>
      </c>
      <c r="G517" s="0" t="n">
        <v>0</v>
      </c>
      <c r="H517" s="0" t="s">
        <v>2008</v>
      </c>
      <c r="J517" s="0" t="s">
        <v>40</v>
      </c>
      <c r="K517" s="0" t="str">
        <f aca="false">"5.1 %"</f>
        <v>5.1 %</v>
      </c>
      <c r="O517" s="0" t="s">
        <v>2009</v>
      </c>
    </row>
    <row r="518" customFormat="false" ht="13.8" hidden="false" customHeight="false" outlineLevel="0" collapsed="false">
      <c r="A518" s="0" t="s">
        <v>2010</v>
      </c>
      <c r="D518" s="0" t="s">
        <v>2011</v>
      </c>
      <c r="E518" s="0" t="s">
        <v>2012</v>
      </c>
      <c r="F518" s="0" t="s">
        <v>2013</v>
      </c>
      <c r="G518" s="0" t="n">
        <v>1</v>
      </c>
      <c r="H518" s="0" t="s">
        <v>76</v>
      </c>
      <c r="J518" s="0" t="s">
        <v>40</v>
      </c>
      <c r="K518" s="0" t="str">
        <f aca="false">"2.4 %"</f>
        <v>2.4 %</v>
      </c>
      <c r="O518" s="0" t="s">
        <v>2014</v>
      </c>
    </row>
    <row r="519" customFormat="false" ht="13.8" hidden="false" customHeight="false" outlineLevel="0" collapsed="false">
      <c r="A519" s="0" t="s">
        <v>2015</v>
      </c>
      <c r="D519" s="0" t="s">
        <v>16</v>
      </c>
      <c r="E519" s="0" t="s">
        <v>17</v>
      </c>
      <c r="F519" s="0" t="s">
        <v>18</v>
      </c>
      <c r="G519" s="0" t="n">
        <v>1</v>
      </c>
      <c r="H519" s="0" t="s">
        <v>1457</v>
      </c>
      <c r="J519" s="0" t="s">
        <v>2016</v>
      </c>
      <c r="K519" s="0" t="str">
        <f aca="false">"7.40 %"</f>
        <v>7.40 %</v>
      </c>
      <c r="L519" s="0" t="str">
        <f aca="false">"0.87 V"</f>
        <v>0.87 V</v>
      </c>
      <c r="M519" s="0" t="str">
        <f aca="false">"11.35 mA cm^{-2}"</f>
        <v>11.35 mA cm^{-2}</v>
      </c>
      <c r="N519" s="0" t="str">
        <f aca="false">"75.0 %"</f>
        <v>75.0 %</v>
      </c>
      <c r="O519" s="0" t="s">
        <v>2017</v>
      </c>
    </row>
    <row r="520" customFormat="false" ht="13.8" hidden="false" customHeight="false" outlineLevel="0" collapsed="false">
      <c r="A520" s="0" t="s">
        <v>2018</v>
      </c>
      <c r="D520" s="0" t="s">
        <v>2019</v>
      </c>
      <c r="F520" s="0" t="s">
        <v>2020</v>
      </c>
      <c r="G520" s="0" t="n">
        <v>0</v>
      </c>
      <c r="H520" s="0" t="s">
        <v>2021</v>
      </c>
      <c r="J520" s="0" t="s">
        <v>40</v>
      </c>
      <c r="K520" s="0" t="str">
        <f aca="false">"6.14 %"</f>
        <v>6.14 %</v>
      </c>
      <c r="M520" s="0" t="str">
        <f aca="false">"13.89 mA cm^{-2}"</f>
        <v>13.89 mA cm^{-2}</v>
      </c>
      <c r="O520" s="0" t="s">
        <v>2022</v>
      </c>
    </row>
    <row r="521" customFormat="false" ht="13.8" hidden="false" customHeight="false" outlineLevel="0" collapsed="false">
      <c r="A521" s="0" t="s">
        <v>2018</v>
      </c>
      <c r="D521" s="0" t="s">
        <v>2023</v>
      </c>
      <c r="E521" s="0" t="s">
        <v>2024</v>
      </c>
      <c r="F521" s="0" t="s">
        <v>2025</v>
      </c>
      <c r="G521" s="0" t="n">
        <v>0</v>
      </c>
      <c r="H521" s="0" t="s">
        <v>2021</v>
      </c>
      <c r="J521" s="0" t="s">
        <v>40</v>
      </c>
      <c r="L521" s="0" t="str">
        <f aca="false">"0.88 V"</f>
        <v>0.88 V</v>
      </c>
      <c r="O521" s="0" t="s">
        <v>2026</v>
      </c>
    </row>
    <row r="522" customFormat="false" ht="13.8" hidden="false" customHeight="false" outlineLevel="0" collapsed="false">
      <c r="A522" s="0" t="s">
        <v>2027</v>
      </c>
      <c r="D522" s="0" t="s">
        <v>2028</v>
      </c>
      <c r="E522" s="0" t="s">
        <v>2029</v>
      </c>
      <c r="F522" s="0" t="s">
        <v>2030</v>
      </c>
      <c r="G522" s="0" t="n">
        <v>1</v>
      </c>
      <c r="H522" s="0" t="s">
        <v>27</v>
      </c>
      <c r="J522" s="0" t="s">
        <v>28</v>
      </c>
      <c r="K522" s="0" t="str">
        <f aca="false">"9 %"</f>
        <v>9 %</v>
      </c>
      <c r="O522" s="0" t="s">
        <v>2031</v>
      </c>
    </row>
    <row r="523" customFormat="false" ht="13.8" hidden="false" customHeight="false" outlineLevel="0" collapsed="false">
      <c r="A523" s="0" t="s">
        <v>2032</v>
      </c>
      <c r="D523" s="0" t="s">
        <v>2033</v>
      </c>
      <c r="F523" s="0" t="s">
        <v>2034</v>
      </c>
      <c r="G523" s="0" t="n">
        <v>0</v>
      </c>
      <c r="H523" s="0" t="s">
        <v>163</v>
      </c>
      <c r="I523" s="0" t="s">
        <v>164</v>
      </c>
      <c r="J523" s="0" t="s">
        <v>2035</v>
      </c>
      <c r="K523" s="0" t="str">
        <f aca="false">"8.98 %"</f>
        <v>8.98 %</v>
      </c>
      <c r="O523" s="0" t="s">
        <v>2036</v>
      </c>
    </row>
    <row r="524" customFormat="false" ht="13.8" hidden="false" customHeight="false" outlineLevel="0" collapsed="false">
      <c r="A524" s="0" t="s">
        <v>2032</v>
      </c>
      <c r="D524" s="0" t="s">
        <v>2033</v>
      </c>
      <c r="F524" s="0" t="s">
        <v>2034</v>
      </c>
      <c r="G524" s="0" t="n">
        <v>0</v>
      </c>
      <c r="H524" s="0" t="s">
        <v>2037</v>
      </c>
      <c r="J524" s="0" t="s">
        <v>40</v>
      </c>
      <c r="K524" s="0" t="str">
        <f aca="false">"10.86 %"</f>
        <v>10.86 %</v>
      </c>
      <c r="O524" s="0" t="s">
        <v>2038</v>
      </c>
    </row>
    <row r="525" customFormat="false" ht="13.8" hidden="false" customHeight="false" outlineLevel="0" collapsed="false">
      <c r="A525" s="0" t="s">
        <v>2039</v>
      </c>
      <c r="D525" s="0" t="s">
        <v>2040</v>
      </c>
      <c r="F525" s="0" t="s">
        <v>2041</v>
      </c>
      <c r="G525" s="0" t="n">
        <v>1</v>
      </c>
      <c r="H525" s="0" t="s">
        <v>27</v>
      </c>
      <c r="J525" s="0" t="s">
        <v>28</v>
      </c>
      <c r="K525" s="0" t="str">
        <f aca="false">"6.7 %"</f>
        <v>6.7 %</v>
      </c>
      <c r="L525" s="0" t="str">
        <f aca="false">"1.0 V"</f>
        <v>1.0 V</v>
      </c>
      <c r="O525" s="0" t="s">
        <v>2042</v>
      </c>
    </row>
    <row r="526" customFormat="false" ht="13.8" hidden="false" customHeight="false" outlineLevel="0" collapsed="false">
      <c r="A526" s="0" t="s">
        <v>2043</v>
      </c>
      <c r="D526" s="0" t="s">
        <v>2044</v>
      </c>
      <c r="E526" s="0" t="s">
        <v>1032</v>
      </c>
      <c r="F526" s="0" t="s">
        <v>2045</v>
      </c>
      <c r="G526" s="0" t="n">
        <v>0</v>
      </c>
      <c r="H526" s="0" t="s">
        <v>2044</v>
      </c>
      <c r="I526" s="0" t="s">
        <v>1032</v>
      </c>
      <c r="J526" s="0" t="s">
        <v>2045</v>
      </c>
      <c r="K526" s="0" t="str">
        <f aca="false">"1 %"</f>
        <v>1 %</v>
      </c>
      <c r="O526" s="0" t="s">
        <v>2046</v>
      </c>
    </row>
    <row r="527" customFormat="false" ht="13.8" hidden="false" customHeight="false" outlineLevel="0" collapsed="false">
      <c r="A527" s="0" t="s">
        <v>2047</v>
      </c>
      <c r="D527" s="0" t="s">
        <v>2048</v>
      </c>
      <c r="F527" s="0" t="s">
        <v>2049</v>
      </c>
      <c r="G527" s="0" t="n">
        <v>0</v>
      </c>
      <c r="H527" s="0" t="s">
        <v>2050</v>
      </c>
      <c r="J527" s="0" t="s">
        <v>2051</v>
      </c>
      <c r="K527" s="0" t="str">
        <f aca="false">"11.02 %"</f>
        <v>11.02 %</v>
      </c>
      <c r="M527" s="0" t="str">
        <f aca="false">"17.12 mA cm^{-2}"</f>
        <v>17.12 mA cm^{-2}</v>
      </c>
      <c r="O527" s="0" t="s">
        <v>2052</v>
      </c>
    </row>
    <row r="528" customFormat="false" ht="13.8" hidden="false" customHeight="false" outlineLevel="0" collapsed="false">
      <c r="A528" s="0" t="s">
        <v>2053</v>
      </c>
      <c r="D528" s="0" t="s">
        <v>124</v>
      </c>
      <c r="F528" s="0" t="s">
        <v>2054</v>
      </c>
      <c r="G528" s="0" t="n">
        <v>1</v>
      </c>
      <c r="H528" s="0" t="s">
        <v>27</v>
      </c>
      <c r="J528" s="0" t="s">
        <v>28</v>
      </c>
      <c r="K528" s="0" t="str">
        <f aca="false">"6.76 %"</f>
        <v>6.76 %</v>
      </c>
      <c r="O528" s="0" t="s">
        <v>2055</v>
      </c>
    </row>
    <row r="529" customFormat="false" ht="13.8" hidden="false" customHeight="false" outlineLevel="0" collapsed="false">
      <c r="A529" s="0" t="s">
        <v>2053</v>
      </c>
      <c r="D529" s="0" t="s">
        <v>128</v>
      </c>
      <c r="F529" s="0" t="s">
        <v>130</v>
      </c>
      <c r="G529" s="0" t="n">
        <v>1</v>
      </c>
      <c r="H529" s="0" t="s">
        <v>27</v>
      </c>
      <c r="J529" s="0" t="s">
        <v>28</v>
      </c>
      <c r="K529" s="0" t="str">
        <f aca="false">"5.16 %"</f>
        <v>5.16 %</v>
      </c>
      <c r="O529" s="0" t="s">
        <v>2056</v>
      </c>
    </row>
    <row r="530" customFormat="false" ht="13.8" hidden="false" customHeight="false" outlineLevel="0" collapsed="false">
      <c r="A530" s="0" t="s">
        <v>2057</v>
      </c>
      <c r="D530" s="0" t="s">
        <v>2058</v>
      </c>
      <c r="F530" s="0" t="s">
        <v>2059</v>
      </c>
      <c r="G530" s="0" t="n">
        <v>1</v>
      </c>
      <c r="H530" s="0" t="s">
        <v>66</v>
      </c>
      <c r="J530" s="0" t="s">
        <v>67</v>
      </c>
      <c r="K530" s="0" t="str">
        <f aca="false">"8.68 %"</f>
        <v>8.68 %</v>
      </c>
      <c r="L530" s="0" t="str">
        <f aca="false">"0.78 V"</f>
        <v>0.78 V</v>
      </c>
      <c r="M530" s="0" t="str">
        <f aca="false">"16.5 mA cm^{-2}"</f>
        <v>16.5 mA cm^{-2}</v>
      </c>
      <c r="N530" s="0" t="str">
        <f aca="false">"71.0 %"</f>
        <v>71.0 %</v>
      </c>
      <c r="O530" s="0" t="s">
        <v>2060</v>
      </c>
    </row>
    <row r="531" customFormat="false" ht="13.8" hidden="false" customHeight="false" outlineLevel="0" collapsed="false">
      <c r="A531" s="0" t="s">
        <v>2061</v>
      </c>
      <c r="D531" s="0" t="s">
        <v>201</v>
      </c>
      <c r="E531" s="0" t="s">
        <v>202</v>
      </c>
      <c r="F531" s="0" t="s">
        <v>422</v>
      </c>
      <c r="G531" s="0" t="n">
        <v>1</v>
      </c>
      <c r="H531" s="0" t="s">
        <v>27</v>
      </c>
      <c r="J531" s="0" t="s">
        <v>28</v>
      </c>
      <c r="K531" s="0" t="str">
        <f aca="false">"8.80 %"</f>
        <v>8.80 %</v>
      </c>
      <c r="O531" s="0" t="s">
        <v>2062</v>
      </c>
    </row>
    <row r="532" customFormat="false" ht="13.8" hidden="false" customHeight="false" outlineLevel="0" collapsed="false">
      <c r="A532" s="0" t="s">
        <v>2063</v>
      </c>
      <c r="D532" s="0" t="s">
        <v>85</v>
      </c>
      <c r="E532" s="0" t="s">
        <v>202</v>
      </c>
      <c r="F532" s="0" t="s">
        <v>87</v>
      </c>
      <c r="G532" s="0" t="n">
        <v>1</v>
      </c>
      <c r="H532" s="0" t="s">
        <v>66</v>
      </c>
      <c r="J532" s="0" t="s">
        <v>67</v>
      </c>
      <c r="K532" s="0" t="str">
        <f aca="false">"10 %"</f>
        <v>10 %</v>
      </c>
      <c r="O532" s="0" t="s">
        <v>2064</v>
      </c>
    </row>
    <row r="533" customFormat="false" ht="13.8" hidden="false" customHeight="false" outlineLevel="0" collapsed="false">
      <c r="A533" s="0" t="s">
        <v>2065</v>
      </c>
      <c r="D533" s="0" t="s">
        <v>85</v>
      </c>
      <c r="E533" s="0" t="s">
        <v>86</v>
      </c>
      <c r="F533" s="0" t="s">
        <v>87</v>
      </c>
      <c r="G533" s="0" t="n">
        <v>1</v>
      </c>
      <c r="H533" s="0" t="s">
        <v>27</v>
      </c>
      <c r="J533" s="0" t="s">
        <v>2066</v>
      </c>
      <c r="K533" s="0" t="str">
        <f aca="false">"8.23 %"</f>
        <v>8.23 %</v>
      </c>
      <c r="O533" s="0" t="s">
        <v>2067</v>
      </c>
    </row>
    <row r="534" customFormat="false" ht="13.8" hidden="false" customHeight="false" outlineLevel="0" collapsed="false">
      <c r="A534" s="0" t="s">
        <v>2068</v>
      </c>
      <c r="D534" s="0" t="s">
        <v>2069</v>
      </c>
      <c r="F534" s="0" t="s">
        <v>40</v>
      </c>
      <c r="G534" s="0" t="n">
        <v>1</v>
      </c>
      <c r="H534" s="0" t="s">
        <v>76</v>
      </c>
      <c r="J534" s="0" t="s">
        <v>40</v>
      </c>
      <c r="K534" s="0" t="str">
        <f aca="false">"4.18 %"</f>
        <v>4.18 %</v>
      </c>
      <c r="O534" s="0" t="s">
        <v>2070</v>
      </c>
    </row>
    <row r="535" customFormat="false" ht="13.8" hidden="false" customHeight="false" outlineLevel="0" collapsed="false">
      <c r="A535" s="0" t="s">
        <v>2071</v>
      </c>
      <c r="D535" s="0" t="s">
        <v>2072</v>
      </c>
      <c r="E535" s="0" t="s">
        <v>2073</v>
      </c>
      <c r="F535" s="0" t="s">
        <v>2074</v>
      </c>
      <c r="G535" s="0" t="n">
        <v>0</v>
      </c>
      <c r="H535" s="0" t="s">
        <v>1121</v>
      </c>
      <c r="I535" s="0" t="s">
        <v>225</v>
      </c>
      <c r="J535" s="0" t="s">
        <v>1122</v>
      </c>
      <c r="K535" s="0" t="str">
        <f aca="false">"7.45 %"</f>
        <v>7.45 %</v>
      </c>
      <c r="O535" s="0" t="s">
        <v>2075</v>
      </c>
    </row>
    <row r="536" customFormat="false" ht="13.8" hidden="false" customHeight="false" outlineLevel="0" collapsed="false">
      <c r="A536" s="0" t="s">
        <v>2076</v>
      </c>
      <c r="D536" s="0" t="s">
        <v>85</v>
      </c>
      <c r="E536" s="0" t="s">
        <v>86</v>
      </c>
      <c r="F536" s="0" t="s">
        <v>87</v>
      </c>
      <c r="G536" s="0" t="n">
        <v>1</v>
      </c>
      <c r="H536" s="0" t="s">
        <v>27</v>
      </c>
      <c r="J536" s="0" t="s">
        <v>28</v>
      </c>
      <c r="K536" s="0" t="str">
        <f aca="false">"9.10 %"</f>
        <v>9.10 %</v>
      </c>
      <c r="O536" s="0" t="s">
        <v>2077</v>
      </c>
    </row>
    <row r="537" customFormat="false" ht="13.8" hidden="false" customHeight="false" outlineLevel="0" collapsed="false">
      <c r="A537" s="0" t="s">
        <v>2078</v>
      </c>
      <c r="D537" s="0" t="s">
        <v>2079</v>
      </c>
      <c r="F537" s="0" t="s">
        <v>2080</v>
      </c>
      <c r="G537" s="0" t="n">
        <v>1</v>
      </c>
      <c r="H537" s="0" t="s">
        <v>33</v>
      </c>
      <c r="J537" s="0" t="s">
        <v>34</v>
      </c>
      <c r="K537" s="0" t="str">
        <f aca="false">"0.22 %"</f>
        <v>0.22 %</v>
      </c>
      <c r="L537" s="0" t="str">
        <f aca="false">"0.40 V"</f>
        <v>0.40 V</v>
      </c>
      <c r="O537" s="0" t="s">
        <v>2081</v>
      </c>
    </row>
    <row r="538" customFormat="false" ht="13.8" hidden="false" customHeight="false" outlineLevel="0" collapsed="false">
      <c r="A538" s="0" t="s">
        <v>2082</v>
      </c>
      <c r="D538" s="0" t="s">
        <v>2083</v>
      </c>
      <c r="F538" s="0" t="s">
        <v>2084</v>
      </c>
      <c r="G538" s="0" t="n">
        <v>0</v>
      </c>
      <c r="H538" s="0" t="s">
        <v>2085</v>
      </c>
      <c r="J538" s="0" t="s">
        <v>40</v>
      </c>
      <c r="K538" s="0" t="str">
        <f aca="false">"3.60 %"</f>
        <v>3.60 %</v>
      </c>
      <c r="O538" s="0" t="s">
        <v>2086</v>
      </c>
    </row>
    <row r="539" customFormat="false" ht="13.8" hidden="false" customHeight="false" outlineLevel="0" collapsed="false">
      <c r="A539" s="0" t="s">
        <v>2082</v>
      </c>
      <c r="D539" s="0" t="s">
        <v>1729</v>
      </c>
      <c r="F539" s="0" t="s">
        <v>2087</v>
      </c>
      <c r="G539" s="0" t="n">
        <v>0</v>
      </c>
      <c r="H539" s="0" t="s">
        <v>2085</v>
      </c>
      <c r="J539" s="0" t="s">
        <v>40</v>
      </c>
      <c r="K539" s="0" t="str">
        <f aca="false">"3.86 %"</f>
        <v>3.86 %</v>
      </c>
      <c r="O539" s="0" t="s">
        <v>2088</v>
      </c>
    </row>
    <row r="540" customFormat="false" ht="13.8" hidden="false" customHeight="false" outlineLevel="0" collapsed="false">
      <c r="A540" s="0" t="s">
        <v>2089</v>
      </c>
      <c r="D540" s="0" t="s">
        <v>2090</v>
      </c>
      <c r="F540" s="0" t="s">
        <v>2091</v>
      </c>
      <c r="G540" s="0" t="n">
        <v>0</v>
      </c>
      <c r="H540" s="0" t="s">
        <v>2092</v>
      </c>
      <c r="J540" s="0" t="s">
        <v>2093</v>
      </c>
      <c r="K540" s="0" t="str">
        <f aca="false">"9.03 %"</f>
        <v>9.03 %</v>
      </c>
      <c r="O540" s="0" t="s">
        <v>2094</v>
      </c>
    </row>
    <row r="541" customFormat="false" ht="13.8" hidden="false" customHeight="false" outlineLevel="0" collapsed="false">
      <c r="A541" s="0" t="s">
        <v>2095</v>
      </c>
      <c r="D541" s="0" t="s">
        <v>201</v>
      </c>
      <c r="E541" s="0" t="s">
        <v>202</v>
      </c>
      <c r="F541" s="0" t="s">
        <v>422</v>
      </c>
      <c r="G541" s="0" t="n">
        <v>1</v>
      </c>
      <c r="H541" s="0" t="s">
        <v>27</v>
      </c>
      <c r="J541" s="0" t="s">
        <v>28</v>
      </c>
      <c r="K541" s="0" t="str">
        <f aca="false">"4.49 %"</f>
        <v>4.49 %</v>
      </c>
      <c r="O541" s="0" t="s">
        <v>2096</v>
      </c>
    </row>
    <row r="542" customFormat="false" ht="13.8" hidden="false" customHeight="false" outlineLevel="0" collapsed="false">
      <c r="A542" s="0" t="s">
        <v>2097</v>
      </c>
      <c r="D542" s="0" t="s">
        <v>2098</v>
      </c>
      <c r="F542" s="0" t="s">
        <v>40</v>
      </c>
      <c r="G542" s="0" t="n">
        <v>1</v>
      </c>
      <c r="H542" s="0" t="s">
        <v>27</v>
      </c>
      <c r="J542" s="0" t="s">
        <v>40</v>
      </c>
      <c r="K542" s="0" t="str">
        <f aca="false">"10.1 %"</f>
        <v>10.1 %</v>
      </c>
      <c r="O542" s="0" t="s">
        <v>2099</v>
      </c>
    </row>
    <row r="543" customFormat="false" ht="13.8" hidden="false" customHeight="false" outlineLevel="0" collapsed="false">
      <c r="A543" s="0" t="s">
        <v>2100</v>
      </c>
      <c r="D543" s="0" t="s">
        <v>201</v>
      </c>
      <c r="E543" s="0" t="s">
        <v>202</v>
      </c>
      <c r="F543" s="0" t="s">
        <v>422</v>
      </c>
      <c r="G543" s="0" t="n">
        <v>1</v>
      </c>
      <c r="H543" s="0" t="s">
        <v>66</v>
      </c>
      <c r="J543" s="0" t="s">
        <v>67</v>
      </c>
      <c r="K543" s="0" t="str">
        <f aca="false">"11 %"</f>
        <v>11 %</v>
      </c>
      <c r="O543" s="0" t="s">
        <v>2101</v>
      </c>
    </row>
    <row r="544" customFormat="false" ht="13.8" hidden="false" customHeight="false" outlineLevel="0" collapsed="false">
      <c r="A544" s="0" t="s">
        <v>2102</v>
      </c>
      <c r="D544" s="0" t="s">
        <v>16</v>
      </c>
      <c r="E544" s="0" t="s">
        <v>17</v>
      </c>
      <c r="F544" s="0" t="s">
        <v>2103</v>
      </c>
      <c r="G544" s="0" t="n">
        <v>1</v>
      </c>
      <c r="H544" s="0" t="s">
        <v>152</v>
      </c>
      <c r="J544" s="0" t="s">
        <v>40</v>
      </c>
      <c r="K544" s="0" t="str">
        <f aca="false">"6.1 %"</f>
        <v>6.1 %</v>
      </c>
      <c r="O544" s="0" t="s">
        <v>2104</v>
      </c>
    </row>
    <row r="545" customFormat="false" ht="13.8" hidden="false" customHeight="false" outlineLevel="0" collapsed="false">
      <c r="A545" s="0" t="s">
        <v>2105</v>
      </c>
      <c r="D545" s="0" t="s">
        <v>2106</v>
      </c>
      <c r="E545" s="0" t="s">
        <v>2107</v>
      </c>
      <c r="F545" s="0" t="s">
        <v>2108</v>
      </c>
      <c r="G545" s="0" t="n">
        <v>0</v>
      </c>
      <c r="H545" s="0" t="s">
        <v>163</v>
      </c>
      <c r="J545" s="0" t="s">
        <v>40</v>
      </c>
      <c r="K545" s="0" t="str">
        <f aca="false">"7 %"</f>
        <v>7 %</v>
      </c>
      <c r="O545" s="0" t="s">
        <v>2109</v>
      </c>
    </row>
    <row r="546" customFormat="false" ht="13.8" hidden="false" customHeight="false" outlineLevel="0" collapsed="false">
      <c r="A546" s="0" t="s">
        <v>2110</v>
      </c>
      <c r="D546" s="0" t="s">
        <v>2111</v>
      </c>
      <c r="F546" s="0" t="s">
        <v>2112</v>
      </c>
      <c r="G546" s="0" t="n">
        <v>1</v>
      </c>
      <c r="H546" s="0" t="s">
        <v>27</v>
      </c>
      <c r="J546" s="0" t="s">
        <v>28</v>
      </c>
      <c r="K546" s="0" t="str">
        <f aca="false">"7.3 %"</f>
        <v>7.3 %</v>
      </c>
      <c r="M546" s="0" t="str">
        <f aca="false">"17.1 mA cm^{-2}"</f>
        <v>17.1 mA cm^{-2}</v>
      </c>
      <c r="O546" s="0" t="s">
        <v>2113</v>
      </c>
    </row>
    <row r="547" customFormat="false" ht="13.8" hidden="false" customHeight="false" outlineLevel="0" collapsed="false">
      <c r="A547" s="0" t="s">
        <v>2114</v>
      </c>
      <c r="D547" s="0" t="s">
        <v>31</v>
      </c>
      <c r="E547" s="0" t="s">
        <v>17</v>
      </c>
      <c r="F547" s="0" t="s">
        <v>1351</v>
      </c>
      <c r="G547" s="0" t="n">
        <v>1</v>
      </c>
      <c r="H547" s="0" t="s">
        <v>33</v>
      </c>
      <c r="J547" s="0" t="s">
        <v>2115</v>
      </c>
      <c r="K547" s="0" t="str">
        <f aca="false">"3.5 %"</f>
        <v>3.5 %</v>
      </c>
      <c r="O547" s="0" t="s">
        <v>2116</v>
      </c>
    </row>
    <row r="548" customFormat="false" ht="13.8" hidden="false" customHeight="false" outlineLevel="0" collapsed="false">
      <c r="A548" s="0" t="s">
        <v>2117</v>
      </c>
      <c r="D548" s="0" t="s">
        <v>2118</v>
      </c>
      <c r="F548" s="0" t="s">
        <v>2119</v>
      </c>
      <c r="G548" s="0" t="n">
        <v>0</v>
      </c>
      <c r="H548" s="0" t="s">
        <v>2120</v>
      </c>
      <c r="J548" s="0" t="s">
        <v>2119</v>
      </c>
      <c r="K548" s="0" t="str">
        <f aca="false">"12.79 %"</f>
        <v>12.79 %</v>
      </c>
      <c r="O548" s="0" t="s">
        <v>2121</v>
      </c>
    </row>
    <row r="549" customFormat="false" ht="13.8" hidden="false" customHeight="false" outlineLevel="0" collapsed="false">
      <c r="A549" s="0" t="s">
        <v>2122</v>
      </c>
      <c r="D549" s="0" t="s">
        <v>1956</v>
      </c>
      <c r="E549" s="0" t="s">
        <v>1957</v>
      </c>
      <c r="F549" s="0" t="s">
        <v>1958</v>
      </c>
      <c r="G549" s="0" t="n">
        <v>0</v>
      </c>
      <c r="H549" s="0" t="s">
        <v>2123</v>
      </c>
      <c r="J549" s="0" t="s">
        <v>2124</v>
      </c>
      <c r="K549" s="0" t="str">
        <f aca="false">"10.1 %"</f>
        <v>10.1 %</v>
      </c>
      <c r="N549" s="0" t="str">
        <f aca="false">"59.7 %"</f>
        <v>59.7 %</v>
      </c>
      <c r="O549" s="0" t="s">
        <v>2125</v>
      </c>
    </row>
    <row r="550" customFormat="false" ht="13.8" hidden="false" customHeight="false" outlineLevel="0" collapsed="false">
      <c r="A550" s="0" t="s">
        <v>2126</v>
      </c>
      <c r="D550" s="0" t="s">
        <v>201</v>
      </c>
      <c r="E550" s="0" t="s">
        <v>202</v>
      </c>
      <c r="F550" s="0" t="s">
        <v>422</v>
      </c>
      <c r="G550" s="0" t="n">
        <v>0</v>
      </c>
      <c r="H550" s="0" t="s">
        <v>1121</v>
      </c>
      <c r="I550" s="0" t="s">
        <v>225</v>
      </c>
      <c r="J550" s="0" t="s">
        <v>1122</v>
      </c>
      <c r="K550" s="0" t="str">
        <f aca="false">"9 %"</f>
        <v>9 %</v>
      </c>
      <c r="O550" s="0" t="s">
        <v>2127</v>
      </c>
    </row>
    <row r="551" customFormat="false" ht="13.8" hidden="false" customHeight="false" outlineLevel="0" collapsed="false">
      <c r="A551" s="0" t="s">
        <v>2126</v>
      </c>
      <c r="D551" s="0" t="s">
        <v>461</v>
      </c>
      <c r="E551" s="0" t="s">
        <v>462</v>
      </c>
      <c r="F551" s="0" t="s">
        <v>463</v>
      </c>
      <c r="G551" s="0" t="n">
        <v>0</v>
      </c>
      <c r="H551" s="0" t="s">
        <v>1121</v>
      </c>
      <c r="I551" s="0" t="s">
        <v>225</v>
      </c>
      <c r="J551" s="0" t="s">
        <v>1122</v>
      </c>
      <c r="K551" s="0" t="str">
        <f aca="false">"9.60 %"</f>
        <v>9.60 %</v>
      </c>
      <c r="O551" s="0" t="s">
        <v>2128</v>
      </c>
    </row>
    <row r="552" customFormat="false" ht="13.8" hidden="false" customHeight="false" outlineLevel="0" collapsed="false">
      <c r="A552" s="0" t="s">
        <v>2126</v>
      </c>
      <c r="D552" s="0" t="s">
        <v>461</v>
      </c>
      <c r="E552" s="0" t="s">
        <v>462</v>
      </c>
      <c r="F552" s="0" t="s">
        <v>463</v>
      </c>
      <c r="G552" s="0" t="n">
        <v>0</v>
      </c>
      <c r="H552" s="0" t="s">
        <v>201</v>
      </c>
      <c r="I552" s="0" t="s">
        <v>202</v>
      </c>
      <c r="J552" s="0" t="s">
        <v>422</v>
      </c>
      <c r="K552" s="0" t="str">
        <f aca="false">"7.58"</f>
        <v>7.58</v>
      </c>
      <c r="O552" s="0" t="s">
        <v>2129</v>
      </c>
    </row>
    <row r="553" customFormat="false" ht="13.8" hidden="false" customHeight="false" outlineLevel="0" collapsed="false">
      <c r="A553" s="0" t="s">
        <v>2126</v>
      </c>
      <c r="D553" s="0" t="s">
        <v>201</v>
      </c>
      <c r="E553" s="0" t="s">
        <v>202</v>
      </c>
      <c r="F553" s="0" t="s">
        <v>422</v>
      </c>
      <c r="G553" s="0" t="n">
        <v>0</v>
      </c>
      <c r="H553" s="0" t="s">
        <v>201</v>
      </c>
      <c r="I553" s="0" t="s">
        <v>202</v>
      </c>
      <c r="J553" s="0" t="s">
        <v>422</v>
      </c>
      <c r="K553" s="0" t="str">
        <f aca="false">"5.63 %"</f>
        <v>5.63 %</v>
      </c>
      <c r="O553" s="0" t="s">
        <v>2130</v>
      </c>
    </row>
    <row r="554" customFormat="false" ht="13.8" hidden="false" customHeight="false" outlineLevel="0" collapsed="false">
      <c r="A554" s="0" t="s">
        <v>2131</v>
      </c>
      <c r="D554" s="0" t="s">
        <v>2132</v>
      </c>
      <c r="F554" s="0" t="s">
        <v>2133</v>
      </c>
      <c r="G554" s="0" t="n">
        <v>1</v>
      </c>
      <c r="H554" s="0" t="s">
        <v>27</v>
      </c>
      <c r="J554" s="0" t="s">
        <v>40</v>
      </c>
      <c r="K554" s="0" t="str">
        <f aca="false">"1.32 %"</f>
        <v>1.32 %</v>
      </c>
      <c r="O554" s="0" t="s">
        <v>2134</v>
      </c>
    </row>
    <row r="555" customFormat="false" ht="13.8" hidden="false" customHeight="false" outlineLevel="0" collapsed="false">
      <c r="A555" s="0" t="s">
        <v>2135</v>
      </c>
      <c r="D555" s="0" t="s">
        <v>16</v>
      </c>
      <c r="E555" s="0" t="s">
        <v>17</v>
      </c>
      <c r="F555" s="0" t="s">
        <v>18</v>
      </c>
      <c r="G555" s="0" t="n">
        <v>1</v>
      </c>
      <c r="H555" s="0" t="s">
        <v>575</v>
      </c>
      <c r="J555" s="0" t="s">
        <v>576</v>
      </c>
      <c r="K555" s="0" t="str">
        <f aca="false">"0.45-0.84 %"</f>
        <v>0.45-0.84 %</v>
      </c>
      <c r="O555" s="0" t="s">
        <v>2136</v>
      </c>
    </row>
    <row r="556" customFormat="false" ht="13.8" hidden="false" customHeight="false" outlineLevel="0" collapsed="false">
      <c r="A556" s="0" t="s">
        <v>2137</v>
      </c>
      <c r="D556" s="0" t="s">
        <v>1850</v>
      </c>
      <c r="F556" s="0" t="s">
        <v>40</v>
      </c>
      <c r="G556" s="0" t="n">
        <v>1</v>
      </c>
      <c r="H556" s="0" t="s">
        <v>27</v>
      </c>
      <c r="J556" s="0" t="s">
        <v>28</v>
      </c>
      <c r="K556" s="0" t="str">
        <f aca="false">"1.65 %"</f>
        <v>1.65 %</v>
      </c>
      <c r="L556" s="0" t="str">
        <f aca="false">"0.75 V"</f>
        <v>0.75 V</v>
      </c>
      <c r="M556" s="0" t="str">
        <f aca="false">"4.41 mA cm^{-2}"</f>
        <v>4.41 mA cm^{-2}</v>
      </c>
      <c r="O556" s="0" t="s">
        <v>2138</v>
      </c>
    </row>
    <row r="557" customFormat="false" ht="13.8" hidden="false" customHeight="false" outlineLevel="0" collapsed="false">
      <c r="A557" s="0" t="s">
        <v>2139</v>
      </c>
      <c r="D557" s="0" t="s">
        <v>2140</v>
      </c>
      <c r="F557" s="0" t="s">
        <v>2141</v>
      </c>
      <c r="G557" s="0" t="n">
        <v>1</v>
      </c>
      <c r="H557" s="0" t="s">
        <v>27</v>
      </c>
      <c r="J557" s="0" t="s">
        <v>28</v>
      </c>
      <c r="K557" s="0" t="str">
        <f aca="false">"5.22 %"</f>
        <v>5.22 %</v>
      </c>
      <c r="L557" s="0" t="str">
        <f aca="false">"0.75 V"</f>
        <v>0.75 V</v>
      </c>
      <c r="M557" s="0" t="str">
        <f aca="false">"11.80 mA/cm^{2}"</f>
        <v>11.80 mA/cm^{2}</v>
      </c>
      <c r="N557" s="0" t="str">
        <f aca="false">"0.59"</f>
        <v>0.59</v>
      </c>
      <c r="O557" s="0" t="s">
        <v>2142</v>
      </c>
    </row>
    <row r="558" customFormat="false" ht="13.8" hidden="false" customHeight="false" outlineLevel="0" collapsed="false">
      <c r="A558" s="0" t="s">
        <v>2143</v>
      </c>
      <c r="D558" s="0" t="s">
        <v>2144</v>
      </c>
      <c r="F558" s="0" t="s">
        <v>2145</v>
      </c>
      <c r="G558" s="0" t="n">
        <v>1</v>
      </c>
      <c r="H558" s="0" t="s">
        <v>27</v>
      </c>
      <c r="J558" s="0" t="s">
        <v>28</v>
      </c>
      <c r="K558" s="0" t="str">
        <f aca="false">"7.5 %"</f>
        <v>7.5 %</v>
      </c>
      <c r="M558" s="0" t="str">
        <f aca="false">"15.7 mA cm^{-2}"</f>
        <v>15.7 mA cm^{-2}</v>
      </c>
      <c r="O558" s="0" t="s">
        <v>2146</v>
      </c>
    </row>
    <row r="559" customFormat="false" ht="13.8" hidden="false" customHeight="false" outlineLevel="0" collapsed="false">
      <c r="A559" s="0" t="s">
        <v>2147</v>
      </c>
      <c r="D559" s="0" t="s">
        <v>2148</v>
      </c>
      <c r="E559" s="0" t="s">
        <v>2149</v>
      </c>
      <c r="F559" s="0" t="s">
        <v>2150</v>
      </c>
      <c r="G559" s="0" t="n">
        <v>1</v>
      </c>
      <c r="H559" s="0" t="s">
        <v>27</v>
      </c>
      <c r="J559" s="0" t="s">
        <v>1799</v>
      </c>
      <c r="K559" s="0" t="str">
        <f aca="false">"1.75 %"</f>
        <v>1.75 %</v>
      </c>
      <c r="L559" s="0" t="str">
        <f aca="false">"0.71 V"</f>
        <v>0.71 V</v>
      </c>
      <c r="M559" s="0" t="str">
        <f aca="false">"6.83 mA cm^{-2}"</f>
        <v>6.83 mA cm^{-2}</v>
      </c>
      <c r="O559" s="0" t="s">
        <v>2151</v>
      </c>
    </row>
    <row r="560" customFormat="false" ht="13.8" hidden="false" customHeight="false" outlineLevel="0" collapsed="false">
      <c r="A560" s="0" t="s">
        <v>2152</v>
      </c>
      <c r="D560" s="0" t="e">
        <f aca="false">- vinylene</f>
        <v>#NAME?</v>
      </c>
      <c r="F560" s="0" t="s">
        <v>2153</v>
      </c>
      <c r="G560" s="0" t="n">
        <v>1</v>
      </c>
      <c r="H560" s="0" t="s">
        <v>33</v>
      </c>
      <c r="J560" s="0" t="s">
        <v>34</v>
      </c>
      <c r="O560" s="0" t="s">
        <v>2154</v>
      </c>
    </row>
    <row r="561" customFormat="false" ht="13.8" hidden="false" customHeight="false" outlineLevel="0" collapsed="false">
      <c r="A561" s="0" t="s">
        <v>2152</v>
      </c>
      <c r="D561" s="0" t="s">
        <v>2155</v>
      </c>
      <c r="E561" s="0" t="s">
        <v>2156</v>
      </c>
      <c r="F561" s="0" t="s">
        <v>2157</v>
      </c>
      <c r="G561" s="0" t="n">
        <v>1</v>
      </c>
      <c r="H561" s="0" t="s">
        <v>33</v>
      </c>
      <c r="J561" s="0" t="s">
        <v>34</v>
      </c>
      <c r="K561" s="0" t="str">
        <f aca="false">"0.4 %"</f>
        <v>0.4 %</v>
      </c>
      <c r="L561" s="0" t="str">
        <f aca="false">"0.76 V"</f>
        <v>0.76 V</v>
      </c>
      <c r="O561" s="0" t="s">
        <v>2158</v>
      </c>
    </row>
    <row r="562" customFormat="false" ht="13.8" hidden="false" customHeight="false" outlineLevel="0" collapsed="false">
      <c r="A562" s="0" t="s">
        <v>2159</v>
      </c>
      <c r="D562" s="0" t="s">
        <v>253</v>
      </c>
      <c r="F562" s="0" t="s">
        <v>2160</v>
      </c>
      <c r="G562" s="0" t="n">
        <v>1</v>
      </c>
      <c r="H562" s="0" t="s">
        <v>27</v>
      </c>
      <c r="J562" s="0" t="s">
        <v>28</v>
      </c>
      <c r="K562" s="0" t="str">
        <f aca="false">"2.8 %"</f>
        <v>2.8 %</v>
      </c>
      <c r="M562" s="0" t="str">
        <f aca="false">"7.8 mA/cm^{2}"</f>
        <v>7.8 mA/cm^{2}</v>
      </c>
      <c r="O562" s="0" t="s">
        <v>2161</v>
      </c>
    </row>
    <row r="563" customFormat="false" ht="13.8" hidden="false" customHeight="false" outlineLevel="0" collapsed="false">
      <c r="A563" s="0" t="s">
        <v>2159</v>
      </c>
      <c r="F563" s="0" t="s">
        <v>40</v>
      </c>
      <c r="G563" s="0" t="n">
        <v>1</v>
      </c>
      <c r="H563" s="0" t="s">
        <v>27</v>
      </c>
      <c r="J563" s="0" t="s">
        <v>28</v>
      </c>
      <c r="K563" s="0" t="str">
        <f aca="false">"2.1-2.8 %"</f>
        <v>2.1-2.8 %</v>
      </c>
      <c r="O563" s="0" t="s">
        <v>2162</v>
      </c>
    </row>
    <row r="564" customFormat="false" ht="13.8" hidden="false" customHeight="false" outlineLevel="0" collapsed="false">
      <c r="A564" s="0" t="s">
        <v>2163</v>
      </c>
      <c r="D564" s="0" t="s">
        <v>2164</v>
      </c>
      <c r="F564" s="0" t="s">
        <v>2165</v>
      </c>
      <c r="G564" s="0" t="n">
        <v>1</v>
      </c>
      <c r="H564" s="0" t="s">
        <v>66</v>
      </c>
      <c r="J564" s="0" t="s">
        <v>2166</v>
      </c>
      <c r="K564" s="0" t="str">
        <f aca="false">"1.56 %"</f>
        <v>1.56 %</v>
      </c>
      <c r="L564" s="0" t="str">
        <f aca="false">"0.60 V"</f>
        <v>0.60 V</v>
      </c>
      <c r="M564" s="0" t="str">
        <f aca="false">"7.16 mA/cm^{2}"</f>
        <v>7.16 mA/cm^{2}</v>
      </c>
      <c r="N564" s="0" t="str">
        <f aca="false">"0.36"</f>
        <v>0.36</v>
      </c>
      <c r="O564" s="0" t="s">
        <v>2167</v>
      </c>
    </row>
    <row r="565" customFormat="false" ht="13.8" hidden="false" customHeight="false" outlineLevel="0" collapsed="false">
      <c r="A565" s="0" t="s">
        <v>2168</v>
      </c>
      <c r="D565" s="0" t="s">
        <v>2169</v>
      </c>
      <c r="F565" s="0" t="s">
        <v>2170</v>
      </c>
      <c r="G565" s="0" t="n">
        <v>0</v>
      </c>
      <c r="H565" s="0" t="s">
        <v>2171</v>
      </c>
      <c r="J565" s="0" t="s">
        <v>40</v>
      </c>
      <c r="O565" s="0" t="s">
        <v>2172</v>
      </c>
    </row>
    <row r="566" customFormat="false" ht="13.8" hidden="false" customHeight="false" outlineLevel="0" collapsed="false">
      <c r="A566" s="0" t="s">
        <v>2168</v>
      </c>
      <c r="D566" s="0" t="s">
        <v>208</v>
      </c>
      <c r="E566" s="0" t="s">
        <v>17</v>
      </c>
      <c r="F566" s="0" t="s">
        <v>2173</v>
      </c>
      <c r="G566" s="0" t="n">
        <v>0</v>
      </c>
      <c r="H566" s="0" t="s">
        <v>2171</v>
      </c>
      <c r="J566" s="0" t="s">
        <v>40</v>
      </c>
      <c r="K566" s="0" t="str">
        <f aca="false">"0.3 %"</f>
        <v>0.3 %</v>
      </c>
      <c r="O566" s="0" t="s">
        <v>2174</v>
      </c>
    </row>
    <row r="567" customFormat="false" ht="13.8" hidden="false" customHeight="false" outlineLevel="0" collapsed="false">
      <c r="A567" s="0" t="s">
        <v>2175</v>
      </c>
      <c r="D567" s="0" t="s">
        <v>2176</v>
      </c>
      <c r="F567" s="0" t="s">
        <v>2177</v>
      </c>
      <c r="G567" s="0" t="n">
        <v>1</v>
      </c>
      <c r="H567" s="0" t="s">
        <v>66</v>
      </c>
      <c r="J567" s="0" t="s">
        <v>67</v>
      </c>
      <c r="K567" s="0" t="str">
        <f aca="false">"1.57 %"</f>
        <v>1.57 %</v>
      </c>
      <c r="L567" s="0" t="str">
        <f aca="false">"0.52 V"</f>
        <v>0.52 V</v>
      </c>
      <c r="M567" s="0" t="str">
        <f aca="false">"8.17 mA/cm^{2}"</f>
        <v>8.17 mA/cm^{2}</v>
      </c>
      <c r="N567" s="0" t="str">
        <f aca="false">"36 %"</f>
        <v>36 %</v>
      </c>
      <c r="O567" s="0" t="s">
        <v>2178</v>
      </c>
    </row>
    <row r="568" customFormat="false" ht="13.8" hidden="false" customHeight="false" outlineLevel="0" collapsed="false">
      <c r="A568" s="0" t="s">
        <v>2179</v>
      </c>
      <c r="D568" s="0" t="s">
        <v>2180</v>
      </c>
      <c r="F568" s="0" t="s">
        <v>40</v>
      </c>
      <c r="G568" s="0" t="n">
        <v>1</v>
      </c>
      <c r="H568" s="0" t="s">
        <v>27</v>
      </c>
      <c r="J568" s="0" t="s">
        <v>28</v>
      </c>
      <c r="K568" s="0" t="str">
        <f aca="false">"0.82-1.80 %"</f>
        <v>0.82-1.80 %</v>
      </c>
      <c r="L568" s="0" t="str">
        <f aca="false">"0.71-0.83 V"</f>
        <v>0.71-0.83 V</v>
      </c>
      <c r="O568" s="0" t="s">
        <v>2181</v>
      </c>
    </row>
    <row r="569" customFormat="false" ht="13.8" hidden="false" customHeight="false" outlineLevel="0" collapsed="false">
      <c r="A569" s="0" t="s">
        <v>2182</v>
      </c>
      <c r="D569" s="0" t="s">
        <v>2183</v>
      </c>
      <c r="F569" s="0" t="s">
        <v>40</v>
      </c>
      <c r="G569" s="0" t="n">
        <v>1</v>
      </c>
      <c r="H569" s="0" t="s">
        <v>27</v>
      </c>
      <c r="J569" s="0" t="s">
        <v>28</v>
      </c>
      <c r="K569" s="0" t="str">
        <f aca="false">"5.53 %"</f>
        <v>5.53 %</v>
      </c>
      <c r="L569" s="0" t="str">
        <f aca="false">"0.8 V"</f>
        <v>0.8 V</v>
      </c>
      <c r="O569" s="0" t="s">
        <v>2184</v>
      </c>
    </row>
    <row r="570" customFormat="false" ht="13.8" hidden="false" customHeight="false" outlineLevel="0" collapsed="false">
      <c r="A570" s="0" t="s">
        <v>2185</v>
      </c>
      <c r="D570" s="0" t="s">
        <v>2186</v>
      </c>
      <c r="E570" s="0" t="s">
        <v>2187</v>
      </c>
      <c r="F570" s="0" t="s">
        <v>2188</v>
      </c>
      <c r="G570" s="0" t="n">
        <v>0</v>
      </c>
      <c r="H570" s="0" t="s">
        <v>2189</v>
      </c>
      <c r="J570" s="0" t="s">
        <v>2190</v>
      </c>
      <c r="L570" s="0" t="str">
        <f aca="false">"1.03 V"</f>
        <v>1.03 V</v>
      </c>
      <c r="O570" s="0" t="s">
        <v>2191</v>
      </c>
    </row>
    <row r="571" customFormat="false" ht="13.8" hidden="false" customHeight="false" outlineLevel="0" collapsed="false">
      <c r="A571" s="0" t="s">
        <v>2185</v>
      </c>
      <c r="F571" s="0" t="s">
        <v>40</v>
      </c>
      <c r="G571" s="0" t="n">
        <v>0</v>
      </c>
      <c r="H571" s="0" t="s">
        <v>2189</v>
      </c>
      <c r="J571" s="0" t="s">
        <v>2190</v>
      </c>
      <c r="K571" s="0" t="str">
        <f aca="false">"7.8 %"</f>
        <v>7.8 %</v>
      </c>
      <c r="O571" s="0" t="s">
        <v>2192</v>
      </c>
    </row>
    <row r="572" customFormat="false" ht="13.8" hidden="false" customHeight="false" outlineLevel="0" collapsed="false">
      <c r="A572" s="0" t="s">
        <v>2193</v>
      </c>
      <c r="D572" s="0" t="s">
        <v>2194</v>
      </c>
      <c r="E572" s="0" t="s">
        <v>2195</v>
      </c>
      <c r="F572" s="0" t="s">
        <v>2196</v>
      </c>
      <c r="G572" s="0" t="n">
        <v>1</v>
      </c>
      <c r="H572" s="0" t="s">
        <v>27</v>
      </c>
      <c r="J572" s="0" t="s">
        <v>28</v>
      </c>
      <c r="K572" s="0" t="str">
        <f aca="false">"5.93 %"</f>
        <v>5.93 %</v>
      </c>
      <c r="O572" s="0" t="s">
        <v>2197</v>
      </c>
    </row>
    <row r="573" customFormat="false" ht="13.8" hidden="false" customHeight="false" outlineLevel="0" collapsed="false">
      <c r="A573" s="0" t="s">
        <v>2193</v>
      </c>
      <c r="D573" s="0" t="s">
        <v>2198</v>
      </c>
      <c r="E573" s="0" t="s">
        <v>2195</v>
      </c>
      <c r="F573" s="0" t="s">
        <v>2196</v>
      </c>
      <c r="G573" s="0" t="n">
        <v>1</v>
      </c>
      <c r="H573" s="0" t="s">
        <v>27</v>
      </c>
      <c r="J573" s="0" t="s">
        <v>28</v>
      </c>
      <c r="K573" s="0" t="str">
        <f aca="false">"8.19 %"</f>
        <v>8.19 %</v>
      </c>
      <c r="O573" s="0" t="s">
        <v>2199</v>
      </c>
    </row>
    <row r="574" customFormat="false" ht="13.8" hidden="false" customHeight="false" outlineLevel="0" collapsed="false">
      <c r="A574" s="0" t="s">
        <v>2200</v>
      </c>
      <c r="D574" s="0" t="s">
        <v>2201</v>
      </c>
      <c r="F574" s="0" t="s">
        <v>2202</v>
      </c>
      <c r="G574" s="0" t="n">
        <v>1</v>
      </c>
      <c r="H574" s="0" t="s">
        <v>76</v>
      </c>
      <c r="J574" s="0" t="s">
        <v>77</v>
      </c>
      <c r="L574" s="0" t="str">
        <f aca="false">"1.04 V"</f>
        <v>1.04 V</v>
      </c>
      <c r="O574" s="0" t="s">
        <v>2203</v>
      </c>
    </row>
    <row r="575" customFormat="false" ht="13.8" hidden="false" customHeight="false" outlineLevel="0" collapsed="false">
      <c r="A575" s="0" t="s">
        <v>2200</v>
      </c>
      <c r="D575" s="0" t="s">
        <v>2204</v>
      </c>
      <c r="F575" s="0" t="s">
        <v>40</v>
      </c>
      <c r="G575" s="0" t="n">
        <v>1</v>
      </c>
      <c r="H575" s="0" t="s">
        <v>76</v>
      </c>
      <c r="J575" s="0" t="s">
        <v>77</v>
      </c>
      <c r="K575" s="0" t="str">
        <f aca="false">"4.1 %"</f>
        <v>4.1 %</v>
      </c>
      <c r="O575" s="0" t="s">
        <v>2205</v>
      </c>
    </row>
    <row r="576" customFormat="false" ht="13.8" hidden="false" customHeight="false" outlineLevel="0" collapsed="false">
      <c r="A576" s="0" t="s">
        <v>2206</v>
      </c>
      <c r="D576" s="0" t="s">
        <v>2207</v>
      </c>
      <c r="F576" s="0" t="s">
        <v>2208</v>
      </c>
      <c r="G576" s="0" t="n">
        <v>1</v>
      </c>
      <c r="H576" s="0" t="s">
        <v>27</v>
      </c>
      <c r="J576" s="0" t="s">
        <v>28</v>
      </c>
      <c r="K576" s="0" t="str">
        <f aca="false">"5.87 %"</f>
        <v>5.87 %</v>
      </c>
      <c r="M576" s="0" t="str">
        <f aca="false">"11.81 mA cm^{-2}"</f>
        <v>11.81 mA cm^{-2}</v>
      </c>
      <c r="N576" s="0" t="str">
        <f aca="false">"0.58"</f>
        <v>0.58</v>
      </c>
      <c r="O576" s="0" t="s">
        <v>2209</v>
      </c>
    </row>
    <row r="577" customFormat="false" ht="13.8" hidden="false" customHeight="false" outlineLevel="0" collapsed="false">
      <c r="A577" s="0" t="s">
        <v>2210</v>
      </c>
      <c r="D577" s="0" t="s">
        <v>2211</v>
      </c>
      <c r="E577" s="0" t="s">
        <v>2212</v>
      </c>
      <c r="F577" s="0" t="s">
        <v>2213</v>
      </c>
      <c r="G577" s="0" t="n">
        <v>1</v>
      </c>
      <c r="H577" s="0" t="s">
        <v>27</v>
      </c>
      <c r="J577" s="0" t="s">
        <v>28</v>
      </c>
      <c r="K577" s="0" t="str">
        <f aca="false">"3.0 %"</f>
        <v>3.0 %</v>
      </c>
      <c r="L577" s="0" t="str">
        <f aca="false">"0.70 V"</f>
        <v>0.70 V</v>
      </c>
      <c r="M577" s="0" t="str">
        <f aca="false">"7.94 mA cm^{-2}"</f>
        <v>7.94 mA cm^{-2}</v>
      </c>
      <c r="N577" s="0" t="str">
        <f aca="false">"53.98 %"</f>
        <v>53.98 %</v>
      </c>
      <c r="O577" s="0" t="s">
        <v>2214</v>
      </c>
    </row>
    <row r="578" customFormat="false" ht="13.8" hidden="false" customHeight="false" outlineLevel="0" collapsed="false">
      <c r="A578" s="0" t="s">
        <v>2215</v>
      </c>
      <c r="D578" s="0" t="s">
        <v>2216</v>
      </c>
      <c r="F578" s="0" t="s">
        <v>2217</v>
      </c>
      <c r="G578" s="0" t="n">
        <v>1</v>
      </c>
      <c r="H578" s="0" t="s">
        <v>27</v>
      </c>
      <c r="J578" s="0" t="s">
        <v>40</v>
      </c>
      <c r="K578" s="0" t="str">
        <f aca="false">"1.12 %"</f>
        <v>1.12 %</v>
      </c>
      <c r="O578" s="0" t="s">
        <v>2218</v>
      </c>
    </row>
    <row r="579" customFormat="false" ht="13.8" hidden="false" customHeight="false" outlineLevel="0" collapsed="false">
      <c r="A579" s="0" t="s">
        <v>2219</v>
      </c>
      <c r="D579" s="0" t="s">
        <v>2220</v>
      </c>
      <c r="E579" s="0" t="s">
        <v>2221</v>
      </c>
      <c r="F579" s="0" t="s">
        <v>2222</v>
      </c>
      <c r="G579" s="0" t="n">
        <v>1</v>
      </c>
      <c r="H579" s="0" t="s">
        <v>66</v>
      </c>
      <c r="J579" s="0" t="s">
        <v>67</v>
      </c>
      <c r="K579" s="0" t="str">
        <f aca="false">"2.1 %"</f>
        <v>2.1 %</v>
      </c>
      <c r="L579" s="0" t="str">
        <f aca="false">"0.83 V"</f>
        <v>0.83 V</v>
      </c>
      <c r="M579" s="0" t="str">
        <f aca="false">"6.27 mA/cm^{2}"</f>
        <v>6.27 mA/cm^{2}</v>
      </c>
      <c r="O579" s="0" t="s">
        <v>2223</v>
      </c>
    </row>
    <row r="580" customFormat="false" ht="13.8" hidden="false" customHeight="false" outlineLevel="0" collapsed="false">
      <c r="A580" s="0" t="s">
        <v>2224</v>
      </c>
      <c r="D580" s="0" t="s">
        <v>16</v>
      </c>
      <c r="E580" s="0" t="s">
        <v>17</v>
      </c>
      <c r="F580" s="0" t="s">
        <v>18</v>
      </c>
      <c r="G580" s="0" t="n">
        <v>1</v>
      </c>
      <c r="H580" s="0" t="s">
        <v>76</v>
      </c>
      <c r="J580" s="0" t="s">
        <v>77</v>
      </c>
      <c r="K580" s="0" t="str">
        <f aca="false">"2.2 %"</f>
        <v>2.2 %</v>
      </c>
      <c r="O580" s="0" t="s">
        <v>2225</v>
      </c>
    </row>
    <row r="581" customFormat="false" ht="13.8" hidden="false" customHeight="false" outlineLevel="0" collapsed="false">
      <c r="A581" s="0" t="s">
        <v>2226</v>
      </c>
      <c r="D581" s="0" t="s">
        <v>2227</v>
      </c>
      <c r="F581" s="0" t="s">
        <v>2228</v>
      </c>
      <c r="G581" s="0" t="n">
        <v>0</v>
      </c>
      <c r="H581" s="0" t="s">
        <v>2229</v>
      </c>
      <c r="J581" s="0" t="s">
        <v>40</v>
      </c>
      <c r="K581" s="0" t="str">
        <f aca="false">"5.58 %"</f>
        <v>5.58 %</v>
      </c>
      <c r="L581" s="0" t="str">
        <f aca="false">"0.84 V"</f>
        <v>0.84 V</v>
      </c>
      <c r="M581" s="0" t="str">
        <f aca="false">"11.28 mA cm^{-2}"</f>
        <v>11.28 mA cm^{-2}</v>
      </c>
      <c r="N581" s="0" t="str">
        <f aca="false">"58.60 %"</f>
        <v>58.60 %</v>
      </c>
      <c r="O581" s="0" t="s">
        <v>2230</v>
      </c>
    </row>
    <row r="582" customFormat="false" ht="13.8" hidden="false" customHeight="false" outlineLevel="0" collapsed="false">
      <c r="A582" s="0" t="s">
        <v>2231</v>
      </c>
      <c r="D582" s="0" t="s">
        <v>2232</v>
      </c>
      <c r="E582" s="0" t="s">
        <v>225</v>
      </c>
      <c r="F582" s="0" t="s">
        <v>2233</v>
      </c>
      <c r="G582" s="0" t="n">
        <v>0</v>
      </c>
      <c r="H582" s="0" t="s">
        <v>1121</v>
      </c>
      <c r="I582" s="0" t="s">
        <v>225</v>
      </c>
      <c r="J582" s="0" t="s">
        <v>2233</v>
      </c>
      <c r="K582" s="0" t="str">
        <f aca="false">"1.4 %"</f>
        <v>1.4 %</v>
      </c>
      <c r="O582" s="0" t="s">
        <v>2234</v>
      </c>
    </row>
    <row r="583" customFormat="false" ht="13.8" hidden="false" customHeight="false" outlineLevel="0" collapsed="false">
      <c r="A583" s="0" t="s">
        <v>2235</v>
      </c>
      <c r="D583" s="0" t="s">
        <v>1437</v>
      </c>
      <c r="E583" s="0" t="s">
        <v>1438</v>
      </c>
      <c r="F583" s="0" t="s">
        <v>2236</v>
      </c>
      <c r="G583" s="0" t="n">
        <v>1</v>
      </c>
      <c r="H583" s="0" t="s">
        <v>33</v>
      </c>
      <c r="J583" s="0" t="s">
        <v>40</v>
      </c>
      <c r="K583" s="0" t="str">
        <f aca="false">"13 %"</f>
        <v>13 %</v>
      </c>
      <c r="O583" s="0" t="s">
        <v>2237</v>
      </c>
    </row>
    <row r="584" customFormat="false" ht="13.8" hidden="false" customHeight="false" outlineLevel="0" collapsed="false">
      <c r="A584" s="0" t="s">
        <v>2238</v>
      </c>
      <c r="D584" s="0" t="s">
        <v>2239</v>
      </c>
      <c r="F584" s="0" t="s">
        <v>40</v>
      </c>
      <c r="G584" s="0" t="n">
        <v>1</v>
      </c>
      <c r="H584" s="0" t="s">
        <v>76</v>
      </c>
      <c r="J584" s="0" t="s">
        <v>77</v>
      </c>
      <c r="K584" s="0" t="str">
        <f aca="false">"2.58 %"</f>
        <v>2.58 %</v>
      </c>
      <c r="L584" s="0" t="str">
        <f aca="false">"0.83 V"</f>
        <v>0.83 V</v>
      </c>
      <c r="M584" s="0" t="str">
        <f aca="false">"5.53 mA/cm^{2}"</f>
        <v>5.53 mA/cm^{2}</v>
      </c>
      <c r="N584" s="0" t="str">
        <f aca="false">"56.13 %"</f>
        <v>56.13 %</v>
      </c>
      <c r="O584" s="0" t="s">
        <v>2240</v>
      </c>
    </row>
    <row r="585" customFormat="false" ht="13.8" hidden="false" customHeight="false" outlineLevel="0" collapsed="false">
      <c r="A585" s="0" t="s">
        <v>2241</v>
      </c>
      <c r="D585" s="0" t="s">
        <v>2242</v>
      </c>
      <c r="F585" s="0" t="s">
        <v>2243</v>
      </c>
      <c r="G585" s="0" t="n">
        <v>1</v>
      </c>
      <c r="H585" s="0" t="s">
        <v>66</v>
      </c>
      <c r="J585" s="0" t="s">
        <v>67</v>
      </c>
      <c r="K585" s="0" t="str">
        <f aca="false">"1.45 %"</f>
        <v>1.45 %</v>
      </c>
      <c r="L585" s="0" t="str">
        <f aca="false">"0.90 V"</f>
        <v>0.90 V</v>
      </c>
      <c r="M585" s="0" t="str">
        <f aca="false">"9.45 mA cm^{-2}"</f>
        <v>9.45 mA cm^{-2}</v>
      </c>
      <c r="N585" s="0" t="str">
        <f aca="false">"32.1 %"</f>
        <v>32.1 %</v>
      </c>
      <c r="O585" s="0" t="s">
        <v>2244</v>
      </c>
    </row>
    <row r="586" customFormat="false" ht="13.8" hidden="false" customHeight="false" outlineLevel="0" collapsed="false">
      <c r="A586" s="0" t="s">
        <v>2245</v>
      </c>
      <c r="D586" s="0" t="s">
        <v>2246</v>
      </c>
      <c r="F586" s="0" t="s">
        <v>2247</v>
      </c>
      <c r="G586" s="0" t="n">
        <v>1</v>
      </c>
      <c r="H586" s="0" t="s">
        <v>66</v>
      </c>
      <c r="J586" s="0" t="s">
        <v>67</v>
      </c>
      <c r="K586" s="0" t="str">
        <f aca="false">"5.12 %"</f>
        <v>5.12 %</v>
      </c>
      <c r="L586" s="0" t="str">
        <f aca="false">"0.75 V"</f>
        <v>0.75 V</v>
      </c>
      <c r="M586" s="0" t="str">
        <f aca="false">"12.99 mA/cm^{2}"</f>
        <v>12.99 mA/cm^{2}</v>
      </c>
      <c r="N586" s="0" t="str">
        <f aca="false">"53 %"</f>
        <v>53 %</v>
      </c>
      <c r="O586" s="0" t="s">
        <v>2248</v>
      </c>
    </row>
    <row r="587" customFormat="false" ht="13.8" hidden="false" customHeight="false" outlineLevel="0" collapsed="false">
      <c r="A587" s="0" t="s">
        <v>2249</v>
      </c>
      <c r="D587" s="0" t="s">
        <v>124</v>
      </c>
      <c r="F587" s="0" t="s">
        <v>427</v>
      </c>
      <c r="G587" s="0" t="n">
        <v>1</v>
      </c>
      <c r="H587" s="0" t="s">
        <v>27</v>
      </c>
      <c r="J587" s="0" t="s">
        <v>28</v>
      </c>
      <c r="O587" s="0" t="s">
        <v>2250</v>
      </c>
    </row>
    <row r="588" customFormat="false" ht="13.8" hidden="false" customHeight="false" outlineLevel="0" collapsed="false">
      <c r="A588" s="0" t="s">
        <v>2249</v>
      </c>
      <c r="D588" s="0" t="s">
        <v>128</v>
      </c>
      <c r="F588" s="0" t="s">
        <v>130</v>
      </c>
      <c r="G588" s="0" t="n">
        <v>1</v>
      </c>
      <c r="H588" s="0" t="s">
        <v>27</v>
      </c>
      <c r="J588" s="0" t="s">
        <v>28</v>
      </c>
      <c r="K588" s="0" t="str">
        <f aca="false">"5.83 %"</f>
        <v>5.83 %</v>
      </c>
      <c r="L588" s="0" t="str">
        <f aca="false">"0.80 V"</f>
        <v>0.80 V</v>
      </c>
      <c r="M588" s="0" t="str">
        <f aca="false">"14.02 mA/cm^{2}"</f>
        <v>14.02 mA/cm^{2}</v>
      </c>
      <c r="N588" s="0" t="str">
        <f aca="false">"52 %"</f>
        <v>52 %</v>
      </c>
      <c r="O588" s="0" t="s">
        <v>2251</v>
      </c>
    </row>
    <row r="589" customFormat="false" ht="13.8" hidden="false" customHeight="false" outlineLevel="0" collapsed="false">
      <c r="A589" s="0" t="s">
        <v>2252</v>
      </c>
      <c r="D589" s="0" t="s">
        <v>2253</v>
      </c>
      <c r="F589" s="0" t="s">
        <v>2254</v>
      </c>
      <c r="G589" s="0" t="n">
        <v>1</v>
      </c>
      <c r="H589" s="0" t="s">
        <v>27</v>
      </c>
      <c r="J589" s="0" t="s">
        <v>28</v>
      </c>
      <c r="O589" s="0" t="s">
        <v>2255</v>
      </c>
    </row>
    <row r="590" customFormat="false" ht="13.8" hidden="false" customHeight="false" outlineLevel="0" collapsed="false">
      <c r="A590" s="0" t="s">
        <v>2252</v>
      </c>
      <c r="F590" s="0" t="s">
        <v>40</v>
      </c>
      <c r="G590" s="0" t="n">
        <v>1</v>
      </c>
      <c r="H590" s="0" t="s">
        <v>27</v>
      </c>
      <c r="J590" s="0" t="s">
        <v>28</v>
      </c>
      <c r="K590" s="0" t="str">
        <f aca="false">"3.66 %"</f>
        <v>3.66 %</v>
      </c>
      <c r="O590" s="0" t="s">
        <v>2256</v>
      </c>
    </row>
    <row r="591" customFormat="false" ht="13.8" hidden="false" customHeight="false" outlineLevel="0" collapsed="false">
      <c r="A591" s="0" t="s">
        <v>2257</v>
      </c>
      <c r="D591" s="0" t="s">
        <v>2258</v>
      </c>
      <c r="F591" s="0" t="s">
        <v>40</v>
      </c>
      <c r="G591" s="0" t="n">
        <v>1</v>
      </c>
      <c r="H591" s="0" t="s">
        <v>27</v>
      </c>
      <c r="J591" s="0" t="s">
        <v>28</v>
      </c>
      <c r="K591" s="0" t="str">
        <f aca="false">"6.72 %"</f>
        <v>6.72 %</v>
      </c>
      <c r="L591" s="0" t="str">
        <f aca="false">"0.73 V"</f>
        <v>0.73 V</v>
      </c>
      <c r="M591" s="0" t="str">
        <f aca="false">"14.74 mA cm^{-2}"</f>
        <v>14.74 mA cm^{-2}</v>
      </c>
      <c r="N591" s="0" t="str">
        <f aca="false">"64.00 %"</f>
        <v>64.00 %</v>
      </c>
      <c r="O591" s="0" t="s">
        <v>2259</v>
      </c>
    </row>
    <row r="592" customFormat="false" ht="13.8" hidden="false" customHeight="false" outlineLevel="0" collapsed="false">
      <c r="A592" s="0" t="s">
        <v>2260</v>
      </c>
      <c r="D592" s="0" t="s">
        <v>2261</v>
      </c>
      <c r="F592" s="0" t="s">
        <v>40</v>
      </c>
      <c r="G592" s="0" t="n">
        <v>1</v>
      </c>
      <c r="H592" s="0" t="s">
        <v>27</v>
      </c>
      <c r="J592" s="0" t="s">
        <v>2262</v>
      </c>
      <c r="K592" s="0" t="str">
        <f aca="false">"1.20 %"</f>
        <v>1.20 %</v>
      </c>
      <c r="L592" s="0" t="str">
        <f aca="false">"0.74 V"</f>
        <v>0.74 V</v>
      </c>
      <c r="M592" s="0" t="str">
        <f aca="false">"7.4 mA cm^{-2}"</f>
        <v>7.4 mA cm^{-2}</v>
      </c>
      <c r="O592" s="0" t="s">
        <v>2263</v>
      </c>
    </row>
    <row r="593" customFormat="false" ht="13.8" hidden="false" customHeight="false" outlineLevel="0" collapsed="false">
      <c r="A593" s="0" t="s">
        <v>2264</v>
      </c>
      <c r="D593" s="0" t="s">
        <v>16</v>
      </c>
      <c r="E593" s="0" t="s">
        <v>17</v>
      </c>
      <c r="F593" s="0" t="s">
        <v>116</v>
      </c>
      <c r="G593" s="0" t="n">
        <v>1</v>
      </c>
      <c r="H593" s="0" t="s">
        <v>33</v>
      </c>
      <c r="J593" s="0" t="s">
        <v>34</v>
      </c>
      <c r="K593" s="0" t="str">
        <f aca="false">"~2 %"</f>
        <v>~2 %</v>
      </c>
      <c r="O593" s="0" t="s">
        <v>2265</v>
      </c>
    </row>
    <row r="594" customFormat="false" ht="13.8" hidden="false" customHeight="false" outlineLevel="0" collapsed="false">
      <c r="A594" s="0" t="s">
        <v>2266</v>
      </c>
      <c r="D594" s="0" t="s">
        <v>2267</v>
      </c>
      <c r="E594" s="0" t="s">
        <v>2268</v>
      </c>
      <c r="F594" s="0" t="s">
        <v>2269</v>
      </c>
      <c r="G594" s="0" t="n">
        <v>1</v>
      </c>
      <c r="H594" s="0" t="s">
        <v>33</v>
      </c>
      <c r="J594" s="0" t="s">
        <v>34</v>
      </c>
      <c r="K594" s="0" t="str">
        <f aca="false">"1.2 %"</f>
        <v>1.2 %</v>
      </c>
      <c r="O594" s="0" t="s">
        <v>2270</v>
      </c>
    </row>
    <row r="595" customFormat="false" ht="13.8" hidden="false" customHeight="false" outlineLevel="0" collapsed="false">
      <c r="A595" s="0" t="s">
        <v>2266</v>
      </c>
      <c r="F595" s="0" t="s">
        <v>40</v>
      </c>
      <c r="G595" s="0" t="n">
        <v>1</v>
      </c>
      <c r="H595" s="0" t="s">
        <v>33</v>
      </c>
      <c r="J595" s="0" t="s">
        <v>34</v>
      </c>
      <c r="K595" s="0" t="str">
        <f aca="false">"0.6 %"</f>
        <v>0.6 %</v>
      </c>
      <c r="O595" s="0" t="s">
        <v>2271</v>
      </c>
    </row>
    <row r="596" customFormat="false" ht="13.8" hidden="false" customHeight="false" outlineLevel="0" collapsed="false">
      <c r="A596" s="0" t="s">
        <v>2272</v>
      </c>
      <c r="D596" s="0" t="s">
        <v>128</v>
      </c>
      <c r="F596" s="0" t="s">
        <v>2273</v>
      </c>
      <c r="G596" s="0" t="n">
        <v>1</v>
      </c>
      <c r="H596" s="0" t="s">
        <v>575</v>
      </c>
      <c r="J596" s="0" t="s">
        <v>2274</v>
      </c>
      <c r="K596" s="0" t="str">
        <f aca="false">"1.09 %"</f>
        <v>1.09 %</v>
      </c>
      <c r="O596" s="0" t="s">
        <v>2275</v>
      </c>
    </row>
    <row r="597" customFormat="false" ht="13.8" hidden="false" customHeight="false" outlineLevel="0" collapsed="false">
      <c r="A597" s="0" t="s">
        <v>2272</v>
      </c>
      <c r="D597" s="0" t="s">
        <v>124</v>
      </c>
      <c r="F597" s="0" t="s">
        <v>2276</v>
      </c>
      <c r="G597" s="0" t="n">
        <v>1</v>
      </c>
      <c r="H597" s="0" t="s">
        <v>575</v>
      </c>
      <c r="J597" s="0" t="s">
        <v>2274</v>
      </c>
      <c r="L597" s="0" t="str">
        <f aca="false">"801-808 mV"</f>
        <v>801-808 mV</v>
      </c>
      <c r="O597" s="0" t="s">
        <v>2277</v>
      </c>
    </row>
    <row r="598" customFormat="false" ht="13.8" hidden="false" customHeight="false" outlineLevel="0" collapsed="false">
      <c r="A598" s="0" t="s">
        <v>2278</v>
      </c>
      <c r="D598" s="0" t="s">
        <v>2279</v>
      </c>
      <c r="F598" s="0" t="s">
        <v>2280</v>
      </c>
      <c r="G598" s="0" t="n">
        <v>1</v>
      </c>
      <c r="H598" s="0" t="s">
        <v>27</v>
      </c>
      <c r="J598" s="0" t="s">
        <v>1274</v>
      </c>
      <c r="K598" s="0" t="str">
        <f aca="false">"1.44 %"</f>
        <v>1.44 %</v>
      </c>
      <c r="L598" s="0" t="str">
        <f aca="false">"0.73 V"</f>
        <v>0.73 V</v>
      </c>
      <c r="O598" s="0" t="s">
        <v>2281</v>
      </c>
    </row>
    <row r="599" customFormat="false" ht="13.8" hidden="false" customHeight="false" outlineLevel="0" collapsed="false">
      <c r="A599" s="0" t="s">
        <v>2282</v>
      </c>
      <c r="D599" s="0" t="s">
        <v>2283</v>
      </c>
      <c r="F599" s="0" t="s">
        <v>2284</v>
      </c>
      <c r="G599" s="0" t="n">
        <v>1</v>
      </c>
      <c r="H599" s="0" t="s">
        <v>76</v>
      </c>
      <c r="J599" s="0" t="s">
        <v>77</v>
      </c>
      <c r="O599" s="0" t="s">
        <v>2285</v>
      </c>
    </row>
    <row r="600" customFormat="false" ht="13.8" hidden="false" customHeight="false" outlineLevel="0" collapsed="false">
      <c r="A600" s="0" t="s">
        <v>2286</v>
      </c>
      <c r="D600" s="0" t="s">
        <v>128</v>
      </c>
      <c r="F600" s="0" t="s">
        <v>2287</v>
      </c>
      <c r="G600" s="0" t="n">
        <v>1</v>
      </c>
      <c r="H600" s="0" t="s">
        <v>27</v>
      </c>
      <c r="J600" s="0" t="s">
        <v>28</v>
      </c>
      <c r="K600" s="0" t="str">
        <f aca="false">"1.55 %"</f>
        <v>1.55 %</v>
      </c>
      <c r="O600" s="0" t="s">
        <v>2288</v>
      </c>
    </row>
    <row r="601" customFormat="false" ht="13.8" hidden="false" customHeight="false" outlineLevel="0" collapsed="false">
      <c r="A601" s="0" t="s">
        <v>2289</v>
      </c>
      <c r="D601" s="0" t="s">
        <v>16</v>
      </c>
      <c r="E601" s="0" t="s">
        <v>17</v>
      </c>
      <c r="F601" s="0" t="s">
        <v>18</v>
      </c>
      <c r="G601" s="0" t="n">
        <v>1</v>
      </c>
      <c r="H601" s="0" t="s">
        <v>33</v>
      </c>
      <c r="J601" s="0" t="s">
        <v>60</v>
      </c>
      <c r="K601" s="0" t="str">
        <f aca="false">"3.77 %"</f>
        <v>3.77 %</v>
      </c>
      <c r="M601" s="0" t="str">
        <f aca="false">"10.19 mA/cm^{2}"</f>
        <v>10.19 mA/cm^{2}</v>
      </c>
      <c r="O601" s="0" t="s">
        <v>2290</v>
      </c>
    </row>
    <row r="602" customFormat="false" ht="13.8" hidden="false" customHeight="false" outlineLevel="0" collapsed="false">
      <c r="A602" s="0" t="s">
        <v>2291</v>
      </c>
      <c r="D602" s="0" t="s">
        <v>2292</v>
      </c>
      <c r="F602" s="0" t="s">
        <v>2293</v>
      </c>
      <c r="G602" s="0" t="n">
        <v>1</v>
      </c>
      <c r="H602" s="0" t="s">
        <v>76</v>
      </c>
      <c r="J602" s="0" t="s">
        <v>77</v>
      </c>
      <c r="K602" s="0" t="str">
        <f aca="false">"0.47 %"</f>
        <v>0.47 %</v>
      </c>
      <c r="L602" s="0" t="str">
        <f aca="false">"0.61 V"</f>
        <v>0.61 V</v>
      </c>
      <c r="M602" s="0" t="str">
        <f aca="false">"1.61 mA/cm^{2}"</f>
        <v>1.61 mA/cm^{2}</v>
      </c>
      <c r="N602" s="0" t="str">
        <f aca="false">"0.49"</f>
        <v>0.49</v>
      </c>
      <c r="O602" s="0" t="s">
        <v>2294</v>
      </c>
    </row>
    <row r="603" customFormat="false" ht="13.8" hidden="false" customHeight="false" outlineLevel="0" collapsed="false">
      <c r="A603" s="0" t="s">
        <v>2295</v>
      </c>
      <c r="D603" s="0" t="s">
        <v>969</v>
      </c>
      <c r="F603" s="0" t="s">
        <v>970</v>
      </c>
      <c r="G603" s="0" t="n">
        <v>1</v>
      </c>
      <c r="H603" s="0" t="s">
        <v>33</v>
      </c>
      <c r="J603" s="0" t="s">
        <v>34</v>
      </c>
      <c r="K603" s="0" t="str">
        <f aca="false">"0.16 %"</f>
        <v>0.16 %</v>
      </c>
      <c r="O603" s="0" t="s">
        <v>2296</v>
      </c>
    </row>
    <row r="604" customFormat="false" ht="13.8" hidden="false" customHeight="false" outlineLevel="0" collapsed="false">
      <c r="A604" s="0" t="s">
        <v>2297</v>
      </c>
      <c r="D604" s="0" t="s">
        <v>2298</v>
      </c>
      <c r="F604" s="0" t="s">
        <v>2299</v>
      </c>
      <c r="G604" s="0" t="n">
        <v>1</v>
      </c>
      <c r="H604" s="0" t="s">
        <v>152</v>
      </c>
      <c r="J604" s="0" t="s">
        <v>40</v>
      </c>
      <c r="K604" s="0" t="str">
        <f aca="false">"0.274 %"</f>
        <v>0.274 %</v>
      </c>
      <c r="O604" s="0" t="s">
        <v>2300</v>
      </c>
    </row>
    <row r="605" customFormat="false" ht="13.8" hidden="false" customHeight="false" outlineLevel="0" collapsed="false">
      <c r="A605" s="0" t="s">
        <v>2301</v>
      </c>
      <c r="D605" s="0" t="s">
        <v>2302</v>
      </c>
      <c r="F605" s="0" t="s">
        <v>2303</v>
      </c>
      <c r="G605" s="0" t="n">
        <v>1</v>
      </c>
      <c r="H605" s="0" t="s">
        <v>76</v>
      </c>
      <c r="J605" s="0" t="s">
        <v>77</v>
      </c>
      <c r="K605" s="0" t="str">
        <f aca="false">"1.7 %"</f>
        <v>1.7 %</v>
      </c>
      <c r="O605" s="0" t="s">
        <v>2304</v>
      </c>
    </row>
    <row r="606" customFormat="false" ht="13.8" hidden="false" customHeight="false" outlineLevel="0" collapsed="false">
      <c r="A606" s="0" t="s">
        <v>2305</v>
      </c>
      <c r="D606" s="0" t="s">
        <v>2306</v>
      </c>
      <c r="E606" s="0" t="s">
        <v>2307</v>
      </c>
      <c r="F606" s="0" t="s">
        <v>2308</v>
      </c>
      <c r="G606" s="0" t="n">
        <v>1</v>
      </c>
      <c r="H606" s="0" t="s">
        <v>33</v>
      </c>
      <c r="J606" s="0" t="s">
        <v>34</v>
      </c>
      <c r="K606" s="0" t="str">
        <f aca="false">"1.60 %"</f>
        <v>1.60 %</v>
      </c>
      <c r="L606" s="0" t="str">
        <f aca="false">"0.96 V"</f>
        <v>0.96 V</v>
      </c>
      <c r="M606" s="0" t="str">
        <f aca="false">"3.18 mA/cm^{2}"</f>
        <v>3.18 mA/cm^{2}</v>
      </c>
      <c r="N606" s="0" t="str">
        <f aca="false">"0.53"</f>
        <v>0.53</v>
      </c>
      <c r="O606" s="0" t="s">
        <v>2309</v>
      </c>
    </row>
    <row r="607" customFormat="false" ht="13.8" hidden="false" customHeight="false" outlineLevel="0" collapsed="false">
      <c r="A607" s="0" t="s">
        <v>2310</v>
      </c>
      <c r="D607" s="0" t="s">
        <v>2311</v>
      </c>
      <c r="F607" s="0" t="s">
        <v>2312</v>
      </c>
      <c r="G607" s="0" t="n">
        <v>1</v>
      </c>
      <c r="H607" s="0" t="s">
        <v>27</v>
      </c>
      <c r="J607" s="0" t="s">
        <v>28</v>
      </c>
      <c r="K607" s="0" t="str">
        <f aca="false">"2.54 %"</f>
        <v>2.54 %</v>
      </c>
      <c r="O607" s="0" t="s">
        <v>2313</v>
      </c>
    </row>
    <row r="608" customFormat="false" ht="13.8" hidden="false" customHeight="false" outlineLevel="0" collapsed="false">
      <c r="A608" s="0" t="s">
        <v>2314</v>
      </c>
      <c r="B608" s="0" t="n">
        <v>1</v>
      </c>
      <c r="D608" s="0" t="s">
        <v>2315</v>
      </c>
      <c r="E608" s="0" t="s">
        <v>1812</v>
      </c>
      <c r="F608" s="0" t="s">
        <v>2316</v>
      </c>
      <c r="G608" s="0" t="n">
        <v>1</v>
      </c>
      <c r="H608" s="0" t="s">
        <v>195</v>
      </c>
      <c r="J608" s="0" t="s">
        <v>40</v>
      </c>
      <c r="K608" s="0" t="str">
        <f aca="false">"5.9 %"</f>
        <v>5.9 %</v>
      </c>
      <c r="O608" s="0" t="s">
        <v>2317</v>
      </c>
    </row>
    <row r="609" customFormat="false" ht="13.8" hidden="false" customHeight="false" outlineLevel="0" collapsed="false">
      <c r="A609" s="0" t="s">
        <v>2318</v>
      </c>
      <c r="D609" s="0" t="s">
        <v>2319</v>
      </c>
      <c r="F609" s="0" t="s">
        <v>2320</v>
      </c>
      <c r="G609" s="0" t="n">
        <v>1</v>
      </c>
      <c r="H609" s="0" t="s">
        <v>33</v>
      </c>
      <c r="J609" s="0" t="s">
        <v>40</v>
      </c>
      <c r="K609" s="0" t="str">
        <f aca="false">"0.92 %"</f>
        <v>0.92 %</v>
      </c>
      <c r="O609" s="0" t="s">
        <v>2321</v>
      </c>
    </row>
    <row r="610" customFormat="false" ht="13.8" hidden="false" customHeight="false" outlineLevel="0" collapsed="false">
      <c r="A610" s="0" t="s">
        <v>2322</v>
      </c>
      <c r="D610" s="0" t="s">
        <v>2323</v>
      </c>
      <c r="F610" s="0" t="s">
        <v>40</v>
      </c>
      <c r="G610" s="0" t="n">
        <v>1</v>
      </c>
      <c r="H610" s="0" t="s">
        <v>33</v>
      </c>
      <c r="J610" s="0" t="s">
        <v>34</v>
      </c>
      <c r="K610" s="0" t="str">
        <f aca="false">"1.21 %"</f>
        <v>1.21 %</v>
      </c>
      <c r="O610" s="0" t="s">
        <v>2324</v>
      </c>
    </row>
    <row r="611" customFormat="false" ht="13.8" hidden="false" customHeight="false" outlineLevel="0" collapsed="false">
      <c r="A611" s="0" t="s">
        <v>2325</v>
      </c>
      <c r="D611" s="0" t="s">
        <v>253</v>
      </c>
      <c r="E611" s="0" t="s">
        <v>17</v>
      </c>
      <c r="F611" s="0" t="s">
        <v>2326</v>
      </c>
      <c r="G611" s="0" t="n">
        <v>1</v>
      </c>
      <c r="H611" s="0" t="s">
        <v>66</v>
      </c>
      <c r="J611" s="0" t="s">
        <v>67</v>
      </c>
      <c r="K611" s="0" t="str">
        <f aca="false">"2.86 %"</f>
        <v>2.86 %</v>
      </c>
      <c r="L611" s="0" t="str">
        <f aca="false">"0.68 V"</f>
        <v>0.68 V</v>
      </c>
      <c r="M611" s="0" t="str">
        <f aca="false">"7.85 mA/cm^{2}"</f>
        <v>7.85 mA/cm^{2}</v>
      </c>
      <c r="N611" s="0" t="str">
        <f aca="false">"0.535"</f>
        <v>0.535</v>
      </c>
      <c r="O611" s="0" t="s">
        <v>2327</v>
      </c>
    </row>
    <row r="612" customFormat="false" ht="13.8" hidden="false" customHeight="false" outlineLevel="0" collapsed="false">
      <c r="A612" s="0" t="s">
        <v>2328</v>
      </c>
      <c r="D612" s="0" t="s">
        <v>2329</v>
      </c>
      <c r="F612" s="0" t="s">
        <v>2330</v>
      </c>
      <c r="G612" s="0" t="n">
        <v>1</v>
      </c>
      <c r="H612" s="0" t="s">
        <v>33</v>
      </c>
      <c r="J612" s="0" t="s">
        <v>34</v>
      </c>
      <c r="K612" s="0" t="str">
        <f aca="false">"1.72 %"</f>
        <v>1.72 %</v>
      </c>
      <c r="O612" s="0" t="s">
        <v>2331</v>
      </c>
    </row>
    <row r="613" customFormat="false" ht="13.8" hidden="false" customHeight="false" outlineLevel="0" collapsed="false">
      <c r="A613" s="0" t="s">
        <v>2332</v>
      </c>
      <c r="D613" s="0" t="s">
        <v>2333</v>
      </c>
      <c r="F613" s="0" t="s">
        <v>40</v>
      </c>
      <c r="G613" s="0" t="n">
        <v>1</v>
      </c>
      <c r="H613" s="0" t="s">
        <v>33</v>
      </c>
      <c r="J613" s="0" t="s">
        <v>34</v>
      </c>
      <c r="K613" s="0" t="str">
        <f aca="false">"2.23 %"</f>
        <v>2.23 %</v>
      </c>
      <c r="O613" s="0" t="s">
        <v>2334</v>
      </c>
    </row>
    <row r="614" customFormat="false" ht="13.8" hidden="false" customHeight="false" outlineLevel="0" collapsed="false">
      <c r="A614" s="0" t="s">
        <v>2335</v>
      </c>
      <c r="D614" s="0" t="s">
        <v>2336</v>
      </c>
      <c r="F614" s="0" t="s">
        <v>40</v>
      </c>
      <c r="G614" s="0" t="n">
        <v>1</v>
      </c>
      <c r="H614" s="0" t="s">
        <v>66</v>
      </c>
      <c r="J614" s="0" t="s">
        <v>67</v>
      </c>
      <c r="K614" s="0" t="str">
        <f aca="false">"3.40 %"</f>
        <v>3.40 %</v>
      </c>
      <c r="L614" s="0" t="str">
        <f aca="false">"0.90 V"</f>
        <v>0.90 V</v>
      </c>
      <c r="O614" s="0" t="s">
        <v>2337</v>
      </c>
    </row>
    <row r="615" customFormat="false" ht="13.8" hidden="false" customHeight="false" outlineLevel="0" collapsed="false">
      <c r="A615" s="0" t="s">
        <v>2335</v>
      </c>
      <c r="D615" s="0" t="s">
        <v>2338</v>
      </c>
      <c r="F615" s="0" t="s">
        <v>2339</v>
      </c>
      <c r="G615" s="0" t="n">
        <v>1</v>
      </c>
      <c r="H615" s="0" t="s">
        <v>66</v>
      </c>
      <c r="J615" s="0" t="s">
        <v>67</v>
      </c>
      <c r="M615" s="0" t="str">
        <f aca="false">"5.50 mA/cm^{2}"</f>
        <v>5.50 mA/cm^{2}</v>
      </c>
      <c r="N615" s="0" t="str">
        <f aca="false">"68.7 %"</f>
        <v>68.7 %</v>
      </c>
      <c r="O615" s="0" t="s">
        <v>2340</v>
      </c>
    </row>
    <row r="616" customFormat="false" ht="13.8" hidden="false" customHeight="false" outlineLevel="0" collapsed="false">
      <c r="A616" s="0" t="s">
        <v>2341</v>
      </c>
      <c r="D616" s="0" t="s">
        <v>124</v>
      </c>
      <c r="F616" s="0" t="s">
        <v>2342</v>
      </c>
      <c r="G616" s="0" t="n">
        <v>1</v>
      </c>
      <c r="H616" s="0" t="s">
        <v>27</v>
      </c>
      <c r="J616" s="0" t="s">
        <v>1022</v>
      </c>
      <c r="K616" s="0" t="str">
        <f aca="false">"3.3 %"</f>
        <v>3.3 %</v>
      </c>
      <c r="L616" s="0" t="str">
        <f aca="false">"0.8 V"</f>
        <v>0.8 V</v>
      </c>
      <c r="M616" s="0" t="str">
        <f aca="false">"7.6 mA/cm^{2}"</f>
        <v>7.6 mA/cm^{2}</v>
      </c>
      <c r="N616" s="0" t="str">
        <f aca="false">"0.54"</f>
        <v>0.54</v>
      </c>
      <c r="O616" s="0" t="s">
        <v>2343</v>
      </c>
    </row>
    <row r="617" customFormat="false" ht="13.8" hidden="false" customHeight="false" outlineLevel="0" collapsed="false">
      <c r="A617" s="0" t="s">
        <v>2344</v>
      </c>
      <c r="D617" s="0" t="s">
        <v>2345</v>
      </c>
      <c r="F617" s="0" t="s">
        <v>2346</v>
      </c>
      <c r="G617" s="0" t="n">
        <v>1</v>
      </c>
      <c r="H617" s="0" t="s">
        <v>66</v>
      </c>
      <c r="J617" s="0" t="s">
        <v>40</v>
      </c>
      <c r="K617" s="0" t="str">
        <f aca="false">"2.76 %"</f>
        <v>2.76 %</v>
      </c>
      <c r="L617" s="0" t="str">
        <f aca="false">"0.87 V"</f>
        <v>0.87 V</v>
      </c>
      <c r="O617" s="0" t="s">
        <v>2347</v>
      </c>
    </row>
    <row r="618" customFormat="false" ht="13.8" hidden="false" customHeight="false" outlineLevel="0" collapsed="false">
      <c r="A618" s="0" t="s">
        <v>2348</v>
      </c>
      <c r="B618" s="0" t="n">
        <v>1</v>
      </c>
      <c r="D618" s="4" t="s">
        <v>2349</v>
      </c>
      <c r="E618" s="0" t="s">
        <v>2350</v>
      </c>
      <c r="F618" s="4" t="s">
        <v>2351</v>
      </c>
      <c r="G618" s="0" t="n">
        <v>1</v>
      </c>
      <c r="H618" s="0" t="s">
        <v>66</v>
      </c>
      <c r="J618" s="0" t="s">
        <v>67</v>
      </c>
      <c r="K618" s="3" t="n">
        <v>0.0446</v>
      </c>
      <c r="L618" s="0" t="str">
        <f aca="false">"0.82 V"</f>
        <v>0.82 V</v>
      </c>
      <c r="M618" s="15" t="s">
        <v>2352</v>
      </c>
      <c r="N618" s="15" t="str">
        <f aca="false">"0.603"</f>
        <v>0.603</v>
      </c>
      <c r="O618" s="0" t="s">
        <v>2353</v>
      </c>
    </row>
    <row r="619" customFormat="false" ht="13.8" hidden="false" customHeight="false" outlineLevel="0" collapsed="false">
      <c r="A619" s="0" t="s">
        <v>2348</v>
      </c>
      <c r="B619" s="0" t="n">
        <v>1</v>
      </c>
      <c r="D619" s="4" t="s">
        <v>2354</v>
      </c>
      <c r="E619" s="0" t="s">
        <v>2355</v>
      </c>
      <c r="F619" s="4" t="s">
        <v>2356</v>
      </c>
      <c r="G619" s="0" t="n">
        <v>1</v>
      </c>
      <c r="H619" s="0" t="s">
        <v>66</v>
      </c>
      <c r="J619" s="0" t="s">
        <v>67</v>
      </c>
      <c r="K619" s="15" t="str">
        <f aca="false">"3.82 %"</f>
        <v>3.82 %</v>
      </c>
      <c r="L619" s="15" t="s">
        <v>1559</v>
      </c>
      <c r="M619" s="4" t="s">
        <v>2357</v>
      </c>
      <c r="N619" s="4" t="str">
        <f aca="false">"0.611"</f>
        <v>0.611</v>
      </c>
      <c r="O619" s="0" t="s">
        <v>2358</v>
      </c>
    </row>
    <row r="620" customFormat="false" ht="13.8" hidden="false" customHeight="false" outlineLevel="0" collapsed="false">
      <c r="A620" s="0" t="s">
        <v>2359</v>
      </c>
      <c r="B620" s="0" t="n">
        <v>1</v>
      </c>
      <c r="D620" s="4" t="s">
        <v>2360</v>
      </c>
      <c r="E620" s="0" t="s">
        <v>2361</v>
      </c>
      <c r="F620" s="4" t="s">
        <v>2362</v>
      </c>
      <c r="G620" s="0" t="n">
        <v>1</v>
      </c>
      <c r="H620" s="0" t="s">
        <v>27</v>
      </c>
      <c r="J620" s="0" t="s">
        <v>28</v>
      </c>
      <c r="K620" s="3" t="n">
        <v>0.0068</v>
      </c>
      <c r="O620" s="0" t="s">
        <v>2363</v>
      </c>
    </row>
    <row r="621" customFormat="false" ht="13.8" hidden="false" customHeight="false" outlineLevel="0" collapsed="false">
      <c r="A621" s="0" t="s">
        <v>2359</v>
      </c>
      <c r="B621" s="0" t="n">
        <v>1</v>
      </c>
      <c r="D621" s="0" t="s">
        <v>2364</v>
      </c>
      <c r="E621" s="0" t="s">
        <v>2365</v>
      </c>
      <c r="F621" s="0" t="s">
        <v>2366</v>
      </c>
      <c r="G621" s="0" t="n">
        <v>1</v>
      </c>
      <c r="H621" s="0" t="s">
        <v>27</v>
      </c>
      <c r="J621" s="0" t="s">
        <v>28</v>
      </c>
      <c r="K621" s="9" t="n">
        <v>0.0241</v>
      </c>
    </row>
    <row r="622" customFormat="false" ht="13.8" hidden="false" customHeight="false" outlineLevel="0" collapsed="false">
      <c r="A622" s="0" t="s">
        <v>2367</v>
      </c>
      <c r="B622" s="0" t="n">
        <v>1</v>
      </c>
      <c r="D622" s="0" t="s">
        <v>128</v>
      </c>
      <c r="E622" s="0" t="s">
        <v>2368</v>
      </c>
      <c r="F622" s="0" t="s">
        <v>130</v>
      </c>
      <c r="G622" s="0" t="n">
        <v>1</v>
      </c>
      <c r="H622" s="0" t="s">
        <v>33</v>
      </c>
      <c r="J622" s="0" t="s">
        <v>34</v>
      </c>
      <c r="K622" s="3" t="str">
        <f aca="false">"2.60 %"</f>
        <v>2.60 %</v>
      </c>
      <c r="O622" s="0" t="s">
        <v>2369</v>
      </c>
    </row>
    <row r="623" customFormat="false" ht="13.8" hidden="false" customHeight="false" outlineLevel="0" collapsed="false">
      <c r="A623" s="0" t="s">
        <v>2367</v>
      </c>
      <c r="B623" s="0" t="n">
        <v>1</v>
      </c>
      <c r="D623" s="0" t="s">
        <v>124</v>
      </c>
      <c r="E623" s="0" t="s">
        <v>2370</v>
      </c>
      <c r="F623" s="0" t="s">
        <v>427</v>
      </c>
      <c r="G623" s="0" t="n">
        <v>1</v>
      </c>
      <c r="H623" s="0" t="s">
        <v>33</v>
      </c>
      <c r="J623" s="0" t="s">
        <v>34</v>
      </c>
      <c r="K623" s="3" t="n">
        <v>0.0315</v>
      </c>
      <c r="O623" s="0" t="s">
        <v>2371</v>
      </c>
    </row>
    <row r="624" customFormat="false" ht="13.8" hidden="false" customHeight="false" outlineLevel="0" collapsed="false">
      <c r="A624" s="0" t="s">
        <v>2372</v>
      </c>
      <c r="B624" s="0" t="n">
        <v>1</v>
      </c>
      <c r="D624" s="4" t="s">
        <v>2373</v>
      </c>
      <c r="E624" s="0" t="s">
        <v>2374</v>
      </c>
      <c r="F624" s="4" t="s">
        <v>2375</v>
      </c>
      <c r="G624" s="0" t="n">
        <v>1</v>
      </c>
      <c r="H624" s="0" t="s">
        <v>33</v>
      </c>
      <c r="J624" s="0" t="s">
        <v>34</v>
      </c>
      <c r="K624" s="3" t="n">
        <v>0.0032</v>
      </c>
      <c r="O624" s="0" t="s">
        <v>2376</v>
      </c>
    </row>
    <row r="625" customFormat="false" ht="13.8" hidden="false" customHeight="false" outlineLevel="0" collapsed="false">
      <c r="A625" s="0" t="s">
        <v>2377</v>
      </c>
      <c r="B625" s="0" t="n">
        <v>1</v>
      </c>
      <c r="D625" s="0" t="s">
        <v>124</v>
      </c>
      <c r="E625" s="0" t="s">
        <v>2378</v>
      </c>
      <c r="F625" s="0" t="s">
        <v>427</v>
      </c>
      <c r="G625" s="0" t="n">
        <v>1</v>
      </c>
      <c r="H625" s="0" t="s">
        <v>76</v>
      </c>
      <c r="J625" s="0" t="s">
        <v>77</v>
      </c>
      <c r="K625" s="3" t="str">
        <f aca="false">"0.30 %"</f>
        <v>0.30 %</v>
      </c>
      <c r="O625" s="0" t="s">
        <v>2379</v>
      </c>
    </row>
    <row r="626" customFormat="false" ht="13.8" hidden="false" customHeight="false" outlineLevel="0" collapsed="false">
      <c r="A626" s="0" t="s">
        <v>2380</v>
      </c>
      <c r="B626" s="0" t="n">
        <v>1</v>
      </c>
      <c r="D626" s="4" t="s">
        <v>2311</v>
      </c>
      <c r="E626" s="0" t="s">
        <v>2381</v>
      </c>
      <c r="F626" s="4" t="s">
        <v>2382</v>
      </c>
      <c r="G626" s="0" t="n">
        <v>1</v>
      </c>
      <c r="H626" s="0" t="s">
        <v>33</v>
      </c>
      <c r="J626" s="0" t="s">
        <v>34</v>
      </c>
      <c r="K626" s="3" t="n">
        <v>0.0304</v>
      </c>
      <c r="L626" s="0" t="str">
        <f aca="false">"0.70 V"</f>
        <v>0.70 V</v>
      </c>
      <c r="M626" s="0" t="str">
        <f aca="false">"8.00 mA/cm^{2}"</f>
        <v>8.00 mA/cm^{2}</v>
      </c>
      <c r="N626" s="0" t="str">
        <f aca="false">"53.7 %"</f>
        <v>53.7 %</v>
      </c>
      <c r="O626" s="0" t="s">
        <v>2383</v>
      </c>
    </row>
    <row r="627" customFormat="false" ht="13.8" hidden="false" customHeight="false" outlineLevel="0" collapsed="false">
      <c r="A627" s="0" t="s">
        <v>2384</v>
      </c>
      <c r="B627" s="0" t="n">
        <v>1</v>
      </c>
      <c r="D627" s="4" t="s">
        <v>2385</v>
      </c>
      <c r="E627" s="0" t="s">
        <v>2386</v>
      </c>
      <c r="F627" s="0" t="s">
        <v>2387</v>
      </c>
      <c r="G627" s="0" t="n">
        <v>1</v>
      </c>
      <c r="H627" s="0" t="s">
        <v>76</v>
      </c>
      <c r="J627" s="0" t="s">
        <v>77</v>
      </c>
      <c r="K627" s="0" t="str">
        <f aca="false">"3.6 - 4.9 %"</f>
        <v>3.6 - 4.9 %</v>
      </c>
      <c r="M627" s="4" t="s">
        <v>2388</v>
      </c>
      <c r="O627" s="0" t="s">
        <v>2389</v>
      </c>
    </row>
    <row r="628" customFormat="false" ht="13.8" hidden="false" customHeight="false" outlineLevel="0" collapsed="false">
      <c r="A628" s="0" t="s">
        <v>2384</v>
      </c>
      <c r="B628" s="0" t="n">
        <v>1</v>
      </c>
      <c r="D628" s="4" t="s">
        <v>16</v>
      </c>
      <c r="E628" s="0" t="s">
        <v>17</v>
      </c>
      <c r="F628" s="0" t="s">
        <v>116</v>
      </c>
      <c r="G628" s="0" t="n">
        <v>1</v>
      </c>
      <c r="H628" s="0" t="s">
        <v>76</v>
      </c>
      <c r="J628" s="0" t="s">
        <v>77</v>
      </c>
      <c r="K628" s="0" t="str">
        <f aca="false">"3.4 %"</f>
        <v>3.4 %</v>
      </c>
      <c r="M628" s="4" t="s">
        <v>2390</v>
      </c>
    </row>
    <row r="629" customFormat="false" ht="13.8" hidden="false" customHeight="false" outlineLevel="0" collapsed="false">
      <c r="A629" s="0" t="s">
        <v>2391</v>
      </c>
      <c r="B629" s="0" t="n">
        <v>1</v>
      </c>
      <c r="D629" s="4" t="s">
        <v>2392</v>
      </c>
      <c r="E629" s="0" t="s">
        <v>2393</v>
      </c>
      <c r="F629" s="0" t="s">
        <v>40</v>
      </c>
      <c r="G629" s="0" t="n">
        <v>1</v>
      </c>
      <c r="H629" s="0" t="s">
        <v>66</v>
      </c>
      <c r="J629" s="0" t="s">
        <v>67</v>
      </c>
      <c r="K629" s="3" t="str">
        <f aca="false">"3.80 %"</f>
        <v>3.80 %</v>
      </c>
      <c r="O629" s="0" t="s">
        <v>2394</v>
      </c>
    </row>
    <row r="630" customFormat="false" ht="13.8" hidden="false" customHeight="false" outlineLevel="0" collapsed="false">
      <c r="A630" s="0" t="s">
        <v>2391</v>
      </c>
      <c r="B630" s="0" t="n">
        <v>1</v>
      </c>
      <c r="D630" s="27" t="s">
        <v>2395</v>
      </c>
      <c r="E630" s="0" t="s">
        <v>2396</v>
      </c>
      <c r="F630" s="0" t="s">
        <v>40</v>
      </c>
      <c r="G630" s="0" t="n">
        <v>1</v>
      </c>
      <c r="H630" s="0" t="s">
        <v>66</v>
      </c>
      <c r="J630" s="0" t="s">
        <v>67</v>
      </c>
      <c r="K630" s="9" t="n">
        <v>0.0164</v>
      </c>
    </row>
    <row r="631" customFormat="false" ht="13.8" hidden="false" customHeight="false" outlineLevel="0" collapsed="false">
      <c r="A631" s="0" t="s">
        <v>2397</v>
      </c>
      <c r="B631" s="0" t="n">
        <v>1</v>
      </c>
      <c r="D631" s="4" t="s">
        <v>2398</v>
      </c>
      <c r="E631" s="0" t="s">
        <v>2399</v>
      </c>
      <c r="F631" s="0" t="s">
        <v>2400</v>
      </c>
      <c r="G631" s="0" t="n">
        <v>1</v>
      </c>
      <c r="H631" s="0" t="s">
        <v>27</v>
      </c>
      <c r="J631" s="0" t="s">
        <v>28</v>
      </c>
      <c r="K631" s="28" t="str">
        <f aca="false">"6.2 %"</f>
        <v>6.2 %</v>
      </c>
      <c r="N631" s="32" t="str">
        <f aca="false">"0.70"</f>
        <v>0.70</v>
      </c>
      <c r="O631" s="0" t="s">
        <v>2401</v>
      </c>
    </row>
    <row r="632" customFormat="false" ht="13.8" hidden="false" customHeight="false" outlineLevel="0" collapsed="false">
      <c r="A632" s="0" t="s">
        <v>2402</v>
      </c>
      <c r="B632" s="0" t="n">
        <v>1</v>
      </c>
      <c r="D632" s="0" t="s">
        <v>2403</v>
      </c>
      <c r="E632" s="0" t="s">
        <v>2404</v>
      </c>
      <c r="F632" s="0" t="s">
        <v>2405</v>
      </c>
      <c r="G632" s="0" t="n">
        <v>1</v>
      </c>
      <c r="H632" s="0" t="s">
        <v>27</v>
      </c>
      <c r="J632" s="0" t="s">
        <v>28</v>
      </c>
      <c r="K632" s="9" t="n">
        <v>0.0433</v>
      </c>
      <c r="O632" s="0" t="s">
        <v>2406</v>
      </c>
    </row>
    <row r="633" customFormat="false" ht="13.8" hidden="false" customHeight="false" outlineLevel="0" collapsed="false">
      <c r="A633" s="0" t="s">
        <v>2402</v>
      </c>
      <c r="B633" s="0" t="n">
        <v>1</v>
      </c>
      <c r="D633" s="0" t="s">
        <v>2407</v>
      </c>
      <c r="E633" s="0" t="s">
        <v>2408</v>
      </c>
      <c r="F633" s="0" t="s">
        <v>2409</v>
      </c>
      <c r="G633" s="0" t="n">
        <v>1</v>
      </c>
      <c r="H633" s="0" t="s">
        <v>27</v>
      </c>
      <c r="J633" s="0" t="s">
        <v>28</v>
      </c>
      <c r="O633" s="0" t="s">
        <v>2410</v>
      </c>
    </row>
    <row r="634" customFormat="false" ht="13.8" hidden="false" customHeight="false" outlineLevel="0" collapsed="false">
      <c r="A634" s="0" t="s">
        <v>2411</v>
      </c>
      <c r="B634" s="0" t="n">
        <v>1</v>
      </c>
      <c r="D634" s="4" t="s">
        <v>124</v>
      </c>
      <c r="E634" s="0" t="s">
        <v>2412</v>
      </c>
      <c r="F634" s="0" t="s">
        <v>427</v>
      </c>
      <c r="G634" s="0" t="n">
        <v>1</v>
      </c>
      <c r="H634" s="4" t="s">
        <v>195</v>
      </c>
      <c r="J634" s="4" t="s">
        <v>28</v>
      </c>
      <c r="K634" s="0" t="str">
        <f aca="false">"1.42 %"</f>
        <v>1.42 %</v>
      </c>
      <c r="L634" s="0" t="str">
        <f aca="false">"0.765 V"</f>
        <v>0.765 V</v>
      </c>
      <c r="M634" s="0" t="str">
        <f aca="false">"5.82 mA/cm^{2}"</f>
        <v>5.82 mA/cm^{2}</v>
      </c>
      <c r="N634" s="0" t="str">
        <f aca="false">"0.32"</f>
        <v>0.32</v>
      </c>
      <c r="O634" s="0" t="s">
        <v>2413</v>
      </c>
    </row>
    <row r="635" customFormat="false" ht="13.8" hidden="false" customHeight="false" outlineLevel="0" collapsed="false">
      <c r="A635" s="0" t="s">
        <v>2411</v>
      </c>
      <c r="B635" s="0" t="n">
        <v>1</v>
      </c>
      <c r="D635" s="27" t="s">
        <v>128</v>
      </c>
      <c r="E635" s="0" t="s">
        <v>2414</v>
      </c>
      <c r="F635" s="0" t="s">
        <v>130</v>
      </c>
      <c r="G635" s="0" t="n">
        <v>1</v>
      </c>
      <c r="H635" s="4" t="s">
        <v>195</v>
      </c>
      <c r="J635" s="4" t="s">
        <v>28</v>
      </c>
    </row>
    <row r="636" customFormat="false" ht="13.8" hidden="false" customHeight="false" outlineLevel="0" collapsed="false">
      <c r="A636" s="0" t="s">
        <v>2411</v>
      </c>
      <c r="B636" s="0" t="n">
        <v>1</v>
      </c>
      <c r="D636" s="27" t="s">
        <v>253</v>
      </c>
      <c r="E636" s="0" t="s">
        <v>2415</v>
      </c>
      <c r="F636" s="0" t="s">
        <v>258</v>
      </c>
      <c r="G636" s="0" t="n">
        <v>1</v>
      </c>
      <c r="H636" s="4" t="s">
        <v>195</v>
      </c>
      <c r="J636" s="4" t="s">
        <v>28</v>
      </c>
    </row>
    <row r="637" customFormat="false" ht="13.8" hidden="false" customHeight="false" outlineLevel="0" collapsed="false">
      <c r="A637" s="0" t="s">
        <v>2411</v>
      </c>
      <c r="B637" s="0" t="n">
        <v>1</v>
      </c>
      <c r="D637" s="27" t="s">
        <v>2311</v>
      </c>
      <c r="E637" s="0" t="s">
        <v>2416</v>
      </c>
      <c r="F637" s="0" t="s">
        <v>2382</v>
      </c>
      <c r="G637" s="0" t="n">
        <v>1</v>
      </c>
      <c r="H637" s="4" t="s">
        <v>195</v>
      </c>
      <c r="J637" s="4" t="s">
        <v>28</v>
      </c>
    </row>
    <row r="638" customFormat="false" ht="13.8" hidden="false" customHeight="false" outlineLevel="0" collapsed="false">
      <c r="A638" s="0" t="s">
        <v>2417</v>
      </c>
      <c r="B638" s="0" t="n">
        <v>1</v>
      </c>
      <c r="D638" s="4" t="s">
        <v>2418</v>
      </c>
      <c r="E638" s="0" t="s">
        <v>2419</v>
      </c>
      <c r="F638" s="4" t="s">
        <v>2420</v>
      </c>
      <c r="G638" s="0" t="n">
        <v>1</v>
      </c>
      <c r="H638" s="0" t="s">
        <v>33</v>
      </c>
      <c r="J638" s="0" t="s">
        <v>34</v>
      </c>
      <c r="K638" s="0" t="str">
        <f aca="false">"0.17-0.59 %"</f>
        <v>0.17-0.59 %</v>
      </c>
      <c r="O638" s="0" t="s">
        <v>2421</v>
      </c>
    </row>
    <row r="639" customFormat="false" ht="13.8" hidden="false" customHeight="false" outlineLevel="0" collapsed="false">
      <c r="A639" s="0" t="s">
        <v>2422</v>
      </c>
      <c r="B639" s="0" t="n">
        <v>1</v>
      </c>
      <c r="D639" s="4" t="s">
        <v>2423</v>
      </c>
      <c r="E639" s="0" t="s">
        <v>2424</v>
      </c>
      <c r="F639" s="0" t="s">
        <v>2425</v>
      </c>
      <c r="G639" s="0" t="n">
        <v>1</v>
      </c>
      <c r="H639" s="0" t="s">
        <v>152</v>
      </c>
      <c r="J639" s="0" t="s">
        <v>40</v>
      </c>
      <c r="K639" s="0" t="str">
        <f aca="false">"0.25 %"</f>
        <v>0.25 %</v>
      </c>
      <c r="O639" s="0" t="s">
        <v>2426</v>
      </c>
    </row>
    <row r="640" customFormat="false" ht="13.8" hidden="false" customHeight="false" outlineLevel="0" collapsed="false">
      <c r="A640" s="0" t="s">
        <v>2427</v>
      </c>
      <c r="C640" s="0" t="n">
        <v>1</v>
      </c>
      <c r="D640" s="4" t="s">
        <v>16</v>
      </c>
      <c r="E640" s="0" t="s">
        <v>17</v>
      </c>
      <c r="F640" s="4" t="s">
        <v>116</v>
      </c>
      <c r="G640" s="0" t="n">
        <v>1</v>
      </c>
      <c r="H640" s="0" t="s">
        <v>33</v>
      </c>
      <c r="J640" s="0" t="s">
        <v>34</v>
      </c>
      <c r="K640" s="0" t="str">
        <f aca="false">"4.4 %"</f>
        <v>4.4 %</v>
      </c>
      <c r="O640" s="0" t="s">
        <v>2428</v>
      </c>
    </row>
    <row r="641" customFormat="false" ht="13.8" hidden="false" customHeight="false" outlineLevel="0" collapsed="false">
      <c r="A641" s="0" t="s">
        <v>2429</v>
      </c>
      <c r="B641" s="0" t="n">
        <v>1</v>
      </c>
      <c r="D641" s="0" t="s">
        <v>2430</v>
      </c>
      <c r="E641" s="0" t="s">
        <v>2431</v>
      </c>
      <c r="F641" s="0" t="s">
        <v>2432</v>
      </c>
      <c r="G641" s="0" t="n">
        <v>1</v>
      </c>
      <c r="H641" s="0" t="s">
        <v>27</v>
      </c>
      <c r="J641" s="0" t="s">
        <v>28</v>
      </c>
      <c r="K641" s="0" t="str">
        <f aca="false">"4.0 %"</f>
        <v>4.0 %</v>
      </c>
      <c r="L641" s="0" t="str">
        <f aca="false">"0.82 V"</f>
        <v>0.82 V</v>
      </c>
      <c r="M641" s="0" t="str">
        <f aca="false">"9.96 mA/cm^{2}"</f>
        <v>9.96 mA/cm^{2}</v>
      </c>
      <c r="N641" s="0" t="str">
        <f aca="false">"0.49"</f>
        <v>0.49</v>
      </c>
      <c r="O641" s="0" t="s">
        <v>2433</v>
      </c>
    </row>
    <row r="642" customFormat="false" ht="13.8" hidden="false" customHeight="false" outlineLevel="0" collapsed="false">
      <c r="A642" s="0" t="s">
        <v>2434</v>
      </c>
      <c r="B642" s="0" t="n">
        <v>1</v>
      </c>
      <c r="D642" s="0" t="s">
        <v>2435</v>
      </c>
      <c r="E642" s="0" t="s">
        <v>2436</v>
      </c>
      <c r="F642" s="0" t="s">
        <v>2437</v>
      </c>
      <c r="G642" s="0" t="n">
        <v>1</v>
      </c>
      <c r="H642" s="0" t="s">
        <v>33</v>
      </c>
      <c r="J642" s="0" t="s">
        <v>34</v>
      </c>
      <c r="K642" s="0" t="str">
        <f aca="false">"0.3 %"</f>
        <v>0.3 %</v>
      </c>
      <c r="O642" s="0" t="s">
        <v>2438</v>
      </c>
    </row>
    <row r="643" customFormat="false" ht="13.8" hidden="false" customHeight="false" outlineLevel="0" collapsed="false">
      <c r="A643" s="0" t="s">
        <v>2439</v>
      </c>
      <c r="B643" s="0" t="n">
        <v>1</v>
      </c>
      <c r="D643" s="4" t="s">
        <v>2440</v>
      </c>
      <c r="E643" s="0" t="s">
        <v>2441</v>
      </c>
      <c r="F643" s="0" t="s">
        <v>2442</v>
      </c>
      <c r="G643" s="0" t="n">
        <v>1</v>
      </c>
      <c r="H643" s="0" t="s">
        <v>33</v>
      </c>
      <c r="J643" s="0" t="s">
        <v>34</v>
      </c>
      <c r="K643" s="0" t="str">
        <f aca="false">"1.6 %"</f>
        <v>1.6 %</v>
      </c>
      <c r="L643" s="15" t="s">
        <v>2443</v>
      </c>
      <c r="M643" s="15" t="s">
        <v>2444</v>
      </c>
      <c r="N643" s="0" t="str">
        <f aca="false">"56 %"</f>
        <v>56 %</v>
      </c>
      <c r="O643" s="0" t="s">
        <v>2445</v>
      </c>
    </row>
    <row r="644" customFormat="false" ht="13.8" hidden="false" customHeight="false" outlineLevel="0" collapsed="false">
      <c r="A644" s="0" t="s">
        <v>2446</v>
      </c>
      <c r="B644" s="0" t="n">
        <v>1</v>
      </c>
      <c r="D644" s="0" t="s">
        <v>2447</v>
      </c>
      <c r="E644" s="0" t="s">
        <v>2448</v>
      </c>
      <c r="F644" s="15" t="s">
        <v>2449</v>
      </c>
      <c r="G644" s="0" t="n">
        <v>1</v>
      </c>
      <c r="H644" s="0" t="s">
        <v>66</v>
      </c>
      <c r="J644" s="0" t="s">
        <v>67</v>
      </c>
      <c r="K644" s="0" t="str">
        <f aca="false">"2.71 %"</f>
        <v>2.71 %</v>
      </c>
      <c r="M644" s="0" t="str">
        <f aca="false">"14.87 mA/cm^{2}"</f>
        <v>14.87 mA/cm^{2}</v>
      </c>
      <c r="O644" s="0" t="s">
        <v>2450</v>
      </c>
    </row>
    <row r="645" customFormat="false" ht="13.8" hidden="false" customHeight="false" outlineLevel="0" collapsed="false">
      <c r="A645" s="0" t="s">
        <v>2451</v>
      </c>
      <c r="B645" s="0" t="n">
        <v>1</v>
      </c>
      <c r="D645" s="0" t="s">
        <v>253</v>
      </c>
      <c r="E645" s="0" t="s">
        <v>2452</v>
      </c>
      <c r="F645" s="4" t="s">
        <v>2453</v>
      </c>
      <c r="G645" s="0" t="n">
        <v>1</v>
      </c>
      <c r="H645" s="0" t="s">
        <v>27</v>
      </c>
      <c r="J645" s="4" t="s">
        <v>2454</v>
      </c>
      <c r="K645" s="33" t="n">
        <v>0.03</v>
      </c>
      <c r="L645" s="0" t="str">
        <f aca="false">"~0.8 V"</f>
        <v>~0.8 V</v>
      </c>
      <c r="O645" s="0" t="s">
        <v>2455</v>
      </c>
    </row>
    <row r="646" customFormat="false" ht="13.8" hidden="false" customHeight="false" outlineLevel="0" collapsed="false">
      <c r="A646" s="0" t="s">
        <v>2451</v>
      </c>
      <c r="B646" s="0" t="n">
        <v>1</v>
      </c>
      <c r="D646" s="4" t="s">
        <v>128</v>
      </c>
      <c r="E646" s="0" t="s">
        <v>2456</v>
      </c>
      <c r="F646" s="0" t="s">
        <v>40</v>
      </c>
      <c r="G646" s="0" t="n">
        <v>1</v>
      </c>
      <c r="H646" s="0" t="s">
        <v>27</v>
      </c>
      <c r="J646" s="0" t="s">
        <v>28</v>
      </c>
      <c r="K646" s="28" t="n">
        <v>0.015</v>
      </c>
      <c r="L646" s="0" t="str">
        <f aca="false">"0.40-0.60 V"</f>
        <v>0.40-0.60 V</v>
      </c>
      <c r="O646" s="0" t="s">
        <v>2457</v>
      </c>
    </row>
    <row r="647" customFormat="false" ht="13.8" hidden="false" customHeight="false" outlineLevel="0" collapsed="false">
      <c r="A647" s="0" t="s">
        <v>2458</v>
      </c>
      <c r="B647" s="0" t="n">
        <v>1</v>
      </c>
      <c r="D647" s="4" t="s">
        <v>2459</v>
      </c>
      <c r="E647" s="0" t="s">
        <v>2460</v>
      </c>
      <c r="F647" s="0" t="s">
        <v>40</v>
      </c>
      <c r="G647" s="0" t="n">
        <v>1</v>
      </c>
      <c r="H647" s="0" t="s">
        <v>66</v>
      </c>
      <c r="J647" s="0" t="s">
        <v>67</v>
      </c>
      <c r="K647" s="28" t="n">
        <v>0.0303</v>
      </c>
      <c r="L647" s="0" t="str">
        <f aca="false">"0.51 V"</f>
        <v>0.51 V</v>
      </c>
      <c r="M647" s="15" t="s">
        <v>2461</v>
      </c>
      <c r="N647" s="0" t="str">
        <f aca="false">"0.48"</f>
        <v>0.48</v>
      </c>
      <c r="O647" s="0" t="s">
        <v>2462</v>
      </c>
    </row>
    <row r="648" customFormat="false" ht="13.8" hidden="false" customHeight="false" outlineLevel="0" collapsed="false">
      <c r="A648" s="0" t="s">
        <v>2463</v>
      </c>
      <c r="B648" s="0" t="n">
        <v>1</v>
      </c>
      <c r="D648" s="4" t="s">
        <v>63</v>
      </c>
      <c r="E648" s="0" t="s">
        <v>64</v>
      </c>
      <c r="F648" s="4" t="s">
        <v>65</v>
      </c>
      <c r="G648" s="0" t="n">
        <v>1</v>
      </c>
      <c r="H648" s="0" t="s">
        <v>27</v>
      </c>
      <c r="J648" s="0" t="s">
        <v>28</v>
      </c>
      <c r="K648" s="0" t="str">
        <f aca="false">"7.49 %"</f>
        <v>7.49 %</v>
      </c>
      <c r="O648" s="0" t="s">
        <v>2464</v>
      </c>
    </row>
    <row r="649" customFormat="false" ht="13.8" hidden="false" customHeight="false" outlineLevel="0" collapsed="false">
      <c r="A649" s="0" t="s">
        <v>2465</v>
      </c>
      <c r="B649" s="0" t="n">
        <v>1</v>
      </c>
      <c r="D649" s="0" t="s">
        <v>2466</v>
      </c>
      <c r="E649" s="0" t="s">
        <v>2467</v>
      </c>
      <c r="F649" s="0" t="s">
        <v>2468</v>
      </c>
      <c r="G649" s="0" t="n">
        <v>1</v>
      </c>
      <c r="H649" s="0" t="s">
        <v>27</v>
      </c>
      <c r="J649" s="0" t="s">
        <v>28</v>
      </c>
      <c r="K649" s="0" t="str">
        <f aca="false">"6.41 %"</f>
        <v>6.41 %</v>
      </c>
      <c r="O649" s="0" t="s">
        <v>2469</v>
      </c>
    </row>
    <row r="650" customFormat="false" ht="13.8" hidden="false" customHeight="false" outlineLevel="0" collapsed="false">
      <c r="A650" s="0" t="s">
        <v>2465</v>
      </c>
      <c r="B650" s="0" t="n">
        <v>1</v>
      </c>
      <c r="D650" s="0" t="s">
        <v>2470</v>
      </c>
      <c r="E650" s="0" t="s">
        <v>2471</v>
      </c>
      <c r="F650" s="0" t="s">
        <v>2472</v>
      </c>
      <c r="G650" s="0" t="n">
        <v>1</v>
      </c>
      <c r="H650" s="0" t="s">
        <v>27</v>
      </c>
      <c r="J650" s="0" t="s">
        <v>28</v>
      </c>
      <c r="L650" s="0" t="str">
        <f aca="false">"0.98 V"</f>
        <v>0.98 V</v>
      </c>
      <c r="O650" s="0" t="s">
        <v>2473</v>
      </c>
    </row>
    <row r="651" customFormat="false" ht="13.8" hidden="false" customHeight="false" outlineLevel="0" collapsed="false">
      <c r="A651" s="0" t="s">
        <v>2465</v>
      </c>
      <c r="B651" s="0" t="n">
        <v>1</v>
      </c>
      <c r="D651" s="27" t="s">
        <v>2474</v>
      </c>
      <c r="E651" s="0" t="s">
        <v>2475</v>
      </c>
      <c r="F651" s="0" t="s">
        <v>2476</v>
      </c>
      <c r="G651" s="0" t="n">
        <v>1</v>
      </c>
      <c r="H651" s="0" t="s">
        <v>27</v>
      </c>
      <c r="J651" s="0" t="s">
        <v>28</v>
      </c>
    </row>
    <row r="652" customFormat="false" ht="13.8" hidden="false" customHeight="false" outlineLevel="0" collapsed="false">
      <c r="A652" s="0" t="s">
        <v>2477</v>
      </c>
      <c r="B652" s="0" t="n">
        <v>1</v>
      </c>
      <c r="D652" s="0" t="s">
        <v>2478</v>
      </c>
      <c r="E652" s="0" t="s">
        <v>2479</v>
      </c>
      <c r="F652" s="0" t="s">
        <v>2480</v>
      </c>
      <c r="G652" s="0" t="n">
        <v>1</v>
      </c>
      <c r="H652" s="0" t="s">
        <v>27</v>
      </c>
      <c r="J652" s="0" t="s">
        <v>28</v>
      </c>
      <c r="K652" s="3" t="n">
        <v>0.057</v>
      </c>
      <c r="O652" s="0" t="s">
        <v>2481</v>
      </c>
    </row>
    <row r="653" customFormat="false" ht="13.8" hidden="false" customHeight="false" outlineLevel="0" collapsed="false">
      <c r="A653" s="0" t="s">
        <v>2482</v>
      </c>
      <c r="B653" s="0" t="n">
        <v>1</v>
      </c>
      <c r="D653" s="0" t="s">
        <v>2483</v>
      </c>
      <c r="E653" s="0" t="s">
        <v>2484</v>
      </c>
      <c r="F653" s="0" t="s">
        <v>2485</v>
      </c>
      <c r="G653" s="0" t="n">
        <v>0</v>
      </c>
      <c r="H653" s="0" t="s">
        <v>163</v>
      </c>
      <c r="I653" s="0" t="s">
        <v>164</v>
      </c>
      <c r="J653" s="0" t="s">
        <v>165</v>
      </c>
      <c r="K653" s="28" t="str">
        <f aca="false">"9.00 %"</f>
        <v>9.00 %</v>
      </c>
      <c r="L653" s="4" t="s">
        <v>683</v>
      </c>
      <c r="M653" s="0" t="str">
        <f aca="false">"15.26 mA cm^{-2}"</f>
        <v>15.26 mA cm^{-2}</v>
      </c>
      <c r="N653" s="0" t="str">
        <f aca="false">"67.0 %"</f>
        <v>67.0 %</v>
      </c>
      <c r="O653" s="0" t="s">
        <v>2486</v>
      </c>
    </row>
    <row r="654" customFormat="false" ht="13.8" hidden="false" customHeight="false" outlineLevel="0" collapsed="false">
      <c r="A654" s="0" t="s">
        <v>2482</v>
      </c>
      <c r="B654" s="0" t="n">
        <v>1</v>
      </c>
      <c r="D654" s="0" t="s">
        <v>2487</v>
      </c>
      <c r="E654" s="0" t="s">
        <v>2488</v>
      </c>
      <c r="F654" s="0" t="s">
        <v>2489</v>
      </c>
      <c r="G654" s="0" t="n">
        <v>0</v>
      </c>
      <c r="H654" s="0" t="s">
        <v>163</v>
      </c>
      <c r="I654" s="0" t="s">
        <v>164</v>
      </c>
      <c r="J654" s="0" t="s">
        <v>165</v>
      </c>
      <c r="K654" s="3" t="n">
        <v>0.0807</v>
      </c>
      <c r="L654" s="4" t="s">
        <v>1582</v>
      </c>
      <c r="M654" s="15" t="s">
        <v>2490</v>
      </c>
      <c r="N654" s="0" t="str">
        <f aca="false">"65 %"</f>
        <v>65 %</v>
      </c>
      <c r="O654" s="0" t="s">
        <v>2491</v>
      </c>
    </row>
    <row r="655" customFormat="false" ht="13.8" hidden="false" customHeight="false" outlineLevel="0" collapsed="false">
      <c r="A655" s="0" t="s">
        <v>2492</v>
      </c>
      <c r="B655" s="0" t="n">
        <v>1</v>
      </c>
      <c r="D655" s="0" t="s">
        <v>2493</v>
      </c>
      <c r="E655" s="0" t="s">
        <v>2494</v>
      </c>
      <c r="F655" s="0" t="s">
        <v>2495</v>
      </c>
      <c r="G655" s="0" t="n">
        <v>1</v>
      </c>
      <c r="H655" s="0" t="s">
        <v>27</v>
      </c>
      <c r="J655" s="0" t="s">
        <v>28</v>
      </c>
      <c r="K655" s="3" t="n">
        <v>0.0679</v>
      </c>
      <c r="O655" s="0" t="s">
        <v>2496</v>
      </c>
    </row>
    <row r="656" customFormat="false" ht="13.8" hidden="false" customHeight="false" outlineLevel="0" collapsed="false">
      <c r="A656" s="0" t="s">
        <v>2492</v>
      </c>
      <c r="B656" s="0" t="n">
        <v>1</v>
      </c>
      <c r="D656" s="0" t="s">
        <v>2497</v>
      </c>
      <c r="E656" s="0" t="s">
        <v>2494</v>
      </c>
      <c r="F656" s="0" t="s">
        <v>2498</v>
      </c>
      <c r="G656" s="0" t="n">
        <v>1</v>
      </c>
      <c r="H656" s="0" t="s">
        <v>27</v>
      </c>
      <c r="J656" s="0" t="s">
        <v>28</v>
      </c>
      <c r="K656" s="3" t="str">
        <f aca="false">"8.40 %"</f>
        <v>8.40 %</v>
      </c>
      <c r="O656" s="0" t="s">
        <v>2499</v>
      </c>
    </row>
    <row r="657" customFormat="false" ht="13.8" hidden="false" customHeight="false" outlineLevel="0" collapsed="false">
      <c r="A657" s="0" t="s">
        <v>2492</v>
      </c>
      <c r="B657" s="0" t="n">
        <v>1</v>
      </c>
      <c r="D657" s="0" t="s">
        <v>2493</v>
      </c>
      <c r="E657" s="0" t="s">
        <v>2494</v>
      </c>
      <c r="F657" s="0" t="s">
        <v>2495</v>
      </c>
      <c r="G657" s="0" t="n">
        <v>0</v>
      </c>
      <c r="H657" s="0" t="s">
        <v>1400</v>
      </c>
      <c r="I657" s="0" t="s">
        <v>1401</v>
      </c>
      <c r="J657" s="0" t="s">
        <v>1402</v>
      </c>
      <c r="K657" s="34" t="n">
        <v>0.1173</v>
      </c>
    </row>
    <row r="658" customFormat="false" ht="13.8" hidden="false" customHeight="false" outlineLevel="0" collapsed="false">
      <c r="A658" s="0" t="s">
        <v>2492</v>
      </c>
      <c r="B658" s="0" t="n">
        <v>1</v>
      </c>
      <c r="D658" s="0" t="s">
        <v>2497</v>
      </c>
      <c r="E658" s="0" t="s">
        <v>2494</v>
      </c>
      <c r="F658" s="0" t="s">
        <v>2498</v>
      </c>
      <c r="G658" s="0" t="n">
        <v>0</v>
      </c>
      <c r="H658" s="0" t="s">
        <v>1400</v>
      </c>
      <c r="I658" s="0" t="s">
        <v>1401</v>
      </c>
      <c r="J658" s="0" t="s">
        <v>1402</v>
      </c>
      <c r="K658" s="34" t="n">
        <v>0.1104</v>
      </c>
    </row>
    <row r="659" customFormat="false" ht="13.8" hidden="false" customHeight="false" outlineLevel="0" collapsed="false">
      <c r="A659" s="0" t="s">
        <v>2500</v>
      </c>
      <c r="B659" s="0" t="n">
        <v>1</v>
      </c>
      <c r="D659" s="0" t="s">
        <v>2501</v>
      </c>
      <c r="E659" s="0" t="s">
        <v>2502</v>
      </c>
      <c r="F659" s="0" t="s">
        <v>2503</v>
      </c>
      <c r="G659" s="0" t="n">
        <v>1</v>
      </c>
      <c r="H659" s="0" t="s">
        <v>27</v>
      </c>
      <c r="J659" s="0" t="s">
        <v>28</v>
      </c>
      <c r="K659" s="0" t="str">
        <f aca="false">"9.93 %"</f>
        <v>9.93 %</v>
      </c>
      <c r="L659" s="15" t="s">
        <v>428</v>
      </c>
      <c r="M659" s="0" t="str">
        <f aca="false">"16.77 mA cm^{-2}"</f>
        <v>16.77 mA cm^{-2}</v>
      </c>
      <c r="N659" s="0" t="str">
        <f aca="false">"64.36 %"</f>
        <v>64.36 %</v>
      </c>
      <c r="O659" s="0" t="s">
        <v>2504</v>
      </c>
    </row>
    <row r="660" customFormat="false" ht="13.8" hidden="false" customHeight="false" outlineLevel="0" collapsed="false">
      <c r="A660" s="0" t="s">
        <v>2505</v>
      </c>
      <c r="B660" s="0" t="n">
        <v>1</v>
      </c>
      <c r="D660" s="0" t="s">
        <v>2072</v>
      </c>
      <c r="E660" s="0" t="s">
        <v>2073</v>
      </c>
      <c r="F660" s="0" t="s">
        <v>2074</v>
      </c>
      <c r="G660" s="0" t="n">
        <v>1</v>
      </c>
      <c r="H660" s="0" t="s">
        <v>27</v>
      </c>
      <c r="J660" s="0" t="s">
        <v>28</v>
      </c>
      <c r="K660" s="3" t="n">
        <v>0.092</v>
      </c>
      <c r="L660" s="0" t="str">
        <f aca="false">"0.9 V"</f>
        <v>0.9 V</v>
      </c>
      <c r="M660" s="0" t="str">
        <f aca="false">"14.0 mA cm^{-2}"</f>
        <v>14.0 mA cm^{-2}</v>
      </c>
      <c r="N660" s="0" t="str">
        <f aca="false">"0.74"</f>
        <v>0.74</v>
      </c>
      <c r="O660" s="0" t="s">
        <v>2506</v>
      </c>
    </row>
    <row r="661" customFormat="false" ht="13.8" hidden="false" customHeight="false" outlineLevel="0" collapsed="false">
      <c r="A661" s="0" t="s">
        <v>2505</v>
      </c>
      <c r="B661" s="0" t="n">
        <v>1</v>
      </c>
      <c r="D661" s="0" t="s">
        <v>2072</v>
      </c>
      <c r="E661" s="0" t="s">
        <v>2073</v>
      </c>
      <c r="F661" s="0" t="s">
        <v>2074</v>
      </c>
      <c r="G661" s="0" t="n">
        <v>0</v>
      </c>
      <c r="H661" s="0" t="s">
        <v>163</v>
      </c>
      <c r="I661" s="0" t="s">
        <v>164</v>
      </c>
      <c r="J661" s="0" t="s">
        <v>165</v>
      </c>
      <c r="K661" s="9" t="n">
        <v>0.096</v>
      </c>
    </row>
    <row r="662" customFormat="false" ht="13.8" hidden="false" customHeight="false" outlineLevel="0" collapsed="false">
      <c r="A662" s="0" t="s">
        <v>2507</v>
      </c>
      <c r="B662" s="0" t="n">
        <v>1</v>
      </c>
      <c r="D662" s="4" t="s">
        <v>2508</v>
      </c>
      <c r="E662" s="0" t="s">
        <v>2509</v>
      </c>
      <c r="F662" s="4" t="s">
        <v>2510</v>
      </c>
      <c r="G662" s="0" t="n">
        <v>1</v>
      </c>
      <c r="H662" s="0" t="s">
        <v>66</v>
      </c>
      <c r="J662" s="0" t="s">
        <v>67</v>
      </c>
      <c r="K662" s="0" t="str">
        <f aca="false">"4.7 %"</f>
        <v>4.7 %</v>
      </c>
      <c r="L662" s="15" t="s">
        <v>344</v>
      </c>
      <c r="M662" s="0" t="str">
        <f aca="false">"10.6 mA/cm^{2}"</f>
        <v>10.6 mA/cm^{2}</v>
      </c>
      <c r="N662" s="15" t="str">
        <f aca="false">"0.64"</f>
        <v>0.64</v>
      </c>
      <c r="O662" s="0" t="s">
        <v>2511</v>
      </c>
    </row>
    <row r="663" customFormat="false" ht="13.8" hidden="false" customHeight="false" outlineLevel="0" collapsed="false">
      <c r="A663" s="0" t="s">
        <v>2507</v>
      </c>
      <c r="B663" s="0" t="n">
        <v>1</v>
      </c>
      <c r="D663" s="4" t="s">
        <v>2512</v>
      </c>
      <c r="E663" s="0" t="s">
        <v>2513</v>
      </c>
      <c r="F663" s="4" t="s">
        <v>2514</v>
      </c>
      <c r="G663" s="0" t="n">
        <v>1</v>
      </c>
      <c r="H663" s="0" t="s">
        <v>66</v>
      </c>
      <c r="J663" s="0" t="s">
        <v>67</v>
      </c>
      <c r="K663" s="28" t="str">
        <f aca="false">"5.3 %"</f>
        <v>5.3 %</v>
      </c>
      <c r="L663" s="0" t="str">
        <f aca="false">"0.72 V"</f>
        <v>0.72 V</v>
      </c>
      <c r="M663" s="0" t="str">
        <f aca="false">"13.5 mA/cm^{2}"</f>
        <v>13.5 mA/cm^{2}</v>
      </c>
      <c r="N663" s="4" t="str">
        <f aca="false">"0.54"</f>
        <v>0.54</v>
      </c>
      <c r="O663" s="0" t="s">
        <v>2515</v>
      </c>
    </row>
    <row r="664" customFormat="false" ht="13.8" hidden="false" customHeight="false" outlineLevel="0" collapsed="false">
      <c r="A664" s="0" t="s">
        <v>2516</v>
      </c>
      <c r="B664" s="0" t="n">
        <v>1</v>
      </c>
      <c r="D664" s="0" t="s">
        <v>2517</v>
      </c>
      <c r="E664" s="0" t="s">
        <v>2518</v>
      </c>
      <c r="F664" s="0" t="s">
        <v>2519</v>
      </c>
      <c r="G664" s="0" t="n">
        <v>1</v>
      </c>
      <c r="H664" s="0" t="s">
        <v>76</v>
      </c>
      <c r="J664" s="0" t="s">
        <v>77</v>
      </c>
      <c r="K664" s="0" t="str">
        <f aca="false">"4.2 %"</f>
        <v>4.2 %</v>
      </c>
      <c r="L664" s="0" t="str">
        <f aca="false">"0.86 V"</f>
        <v>0.86 V</v>
      </c>
      <c r="M664" s="0" t="str">
        <f aca="false">"8.8 mA/cm^{2}"</f>
        <v>8.8 mA/cm^{2}</v>
      </c>
      <c r="N664" s="0" t="str">
        <f aca="false">"56 %"</f>
        <v>56 %</v>
      </c>
      <c r="O664" s="0" t="s">
        <v>2520</v>
      </c>
    </row>
    <row r="665" customFormat="false" ht="13.8" hidden="false" customHeight="false" outlineLevel="0" collapsed="false">
      <c r="A665" s="0" t="s">
        <v>2521</v>
      </c>
      <c r="B665" s="0" t="n">
        <v>1</v>
      </c>
      <c r="D665" s="4" t="s">
        <v>2522</v>
      </c>
      <c r="E665" s="0" t="s">
        <v>2523</v>
      </c>
      <c r="F665" s="4" t="s">
        <v>2524</v>
      </c>
      <c r="G665" s="0" t="n">
        <v>1</v>
      </c>
      <c r="H665" s="0" t="s">
        <v>27</v>
      </c>
      <c r="J665" s="0" t="s">
        <v>28</v>
      </c>
      <c r="K665" s="0" t="str">
        <f aca="false">"3.16 %"</f>
        <v>3.16 %</v>
      </c>
      <c r="L665" s="0" t="str">
        <f aca="false">"0.81 V"</f>
        <v>0.81 V</v>
      </c>
      <c r="M665" s="0" t="str">
        <f aca="false">"9.61 mA/cm^{2}"</f>
        <v>9.61 mA/cm^{2}</v>
      </c>
      <c r="N665" s="0" t="str">
        <f aca="false">"41 %"</f>
        <v>41 %</v>
      </c>
      <c r="O665" s="0" t="s">
        <v>2525</v>
      </c>
    </row>
    <row r="666" customFormat="false" ht="13.8" hidden="false" customHeight="false" outlineLevel="0" collapsed="false">
      <c r="A666" s="0" t="s">
        <v>2526</v>
      </c>
      <c r="B666" s="0" t="n">
        <v>1</v>
      </c>
      <c r="D666" s="27" t="s">
        <v>2527</v>
      </c>
      <c r="E666" s="30" t="s">
        <v>2528</v>
      </c>
      <c r="F666" s="0" t="s">
        <v>40</v>
      </c>
      <c r="G666" s="0" t="n">
        <v>1</v>
      </c>
      <c r="H666" s="0" t="s">
        <v>758</v>
      </c>
      <c r="J666" s="0" t="s">
        <v>759</v>
      </c>
      <c r="K666" s="0" t="str">
        <f aca="false">"6 %"</f>
        <v>6 %</v>
      </c>
      <c r="O666" s="0" t="s">
        <v>2529</v>
      </c>
    </row>
    <row r="667" customFormat="false" ht="13.8" hidden="false" customHeight="false" outlineLevel="0" collapsed="false">
      <c r="A667" s="0" t="s">
        <v>2530</v>
      </c>
      <c r="B667" s="0" t="n">
        <v>1</v>
      </c>
      <c r="D667" s="0" t="s">
        <v>201</v>
      </c>
      <c r="E667" s="0" t="s">
        <v>202</v>
      </c>
      <c r="F667" s="0" t="s">
        <v>422</v>
      </c>
      <c r="G667" s="0" t="n">
        <v>0</v>
      </c>
      <c r="H667" s="0" t="s">
        <v>2531</v>
      </c>
      <c r="I667" s="0" t="s">
        <v>2532</v>
      </c>
      <c r="J667" s="0" t="s">
        <v>2533</v>
      </c>
      <c r="K667" s="0" t="str">
        <f aca="false">"5.03 %"</f>
        <v>5.03 %</v>
      </c>
      <c r="O667" s="0" t="s">
        <v>2534</v>
      </c>
    </row>
    <row r="668" customFormat="false" ht="13.8" hidden="false" customHeight="false" outlineLevel="0" collapsed="false">
      <c r="A668" s="0" t="s">
        <v>2530</v>
      </c>
      <c r="B668" s="0" t="n">
        <v>1</v>
      </c>
      <c r="D668" s="0" t="s">
        <v>201</v>
      </c>
      <c r="E668" s="0" t="s">
        <v>202</v>
      </c>
      <c r="F668" s="0" t="s">
        <v>422</v>
      </c>
      <c r="G668" s="0" t="n">
        <v>0</v>
      </c>
      <c r="H668" s="0" t="s">
        <v>224</v>
      </c>
      <c r="I668" s="0" t="s">
        <v>225</v>
      </c>
      <c r="J668" s="0" t="s">
        <v>1698</v>
      </c>
      <c r="K668" s="9" t="n">
        <v>0.0297</v>
      </c>
    </row>
    <row r="669" customFormat="false" ht="13.8" hidden="false" customHeight="false" outlineLevel="0" collapsed="false">
      <c r="A669" s="0" t="s">
        <v>2535</v>
      </c>
      <c r="B669" s="0" t="n">
        <v>1</v>
      </c>
      <c r="D669" s="0" t="s">
        <v>2536</v>
      </c>
      <c r="E669" s="0" t="s">
        <v>2537</v>
      </c>
      <c r="F669" s="0" t="s">
        <v>2538</v>
      </c>
      <c r="G669" s="0" t="n">
        <v>0</v>
      </c>
      <c r="H669" s="0" t="s">
        <v>1400</v>
      </c>
      <c r="I669" s="0" t="s">
        <v>1401</v>
      </c>
      <c r="J669" s="0" t="s">
        <v>1402</v>
      </c>
      <c r="K669" s="0" t="str">
        <f aca="false">"9.65 %"</f>
        <v>9.65 %</v>
      </c>
      <c r="N669" s="0" t="str">
        <f aca="false">"59.31 %"</f>
        <v>59.31 %</v>
      </c>
      <c r="O669" s="0" t="s">
        <v>2539</v>
      </c>
    </row>
    <row r="670" customFormat="false" ht="13.8" hidden="false" customHeight="false" outlineLevel="0" collapsed="false">
      <c r="A670" s="0" t="s">
        <v>2535</v>
      </c>
      <c r="B670" s="0" t="n">
        <v>1</v>
      </c>
      <c r="D670" s="0" t="s">
        <v>2540</v>
      </c>
      <c r="E670" s="0" t="s">
        <v>2541</v>
      </c>
      <c r="F670" s="0" t="s">
        <v>2542</v>
      </c>
      <c r="G670" s="0" t="n">
        <v>0</v>
      </c>
      <c r="H670" s="0" t="s">
        <v>1400</v>
      </c>
      <c r="I670" s="0" t="s">
        <v>1401</v>
      </c>
      <c r="J670" s="0" t="s">
        <v>1402</v>
      </c>
      <c r="K670" s="28" t="n">
        <v>0.1115</v>
      </c>
      <c r="N670" s="0" t="str">
        <f aca="false">"~70 %"</f>
        <v>~70 %</v>
      </c>
      <c r="O670" s="0" t="s">
        <v>2543</v>
      </c>
    </row>
    <row r="671" customFormat="false" ht="13.8" hidden="false" customHeight="false" outlineLevel="0" collapsed="false">
      <c r="A671" s="0" t="s">
        <v>2544</v>
      </c>
      <c r="B671" s="0" t="n">
        <v>1</v>
      </c>
      <c r="D671" s="0" t="s">
        <v>2545</v>
      </c>
      <c r="E671" s="0" t="s">
        <v>2546</v>
      </c>
      <c r="F671" s="0" t="s">
        <v>2547</v>
      </c>
      <c r="G671" s="0" t="n">
        <v>1</v>
      </c>
      <c r="H671" s="0" t="s">
        <v>27</v>
      </c>
      <c r="J671" s="0" t="s">
        <v>28</v>
      </c>
      <c r="K671" s="0" t="str">
        <f aca="false">"7.6 %"</f>
        <v>7.6 %</v>
      </c>
      <c r="L671" s="0" t="str">
        <f aca="false">"0.86 V"</f>
        <v>0.86 V</v>
      </c>
      <c r="O671" s="0" t="s">
        <v>2548</v>
      </c>
    </row>
    <row r="672" customFormat="false" ht="13.8" hidden="false" customHeight="false" outlineLevel="0" collapsed="false">
      <c r="A672" s="0" t="s">
        <v>2549</v>
      </c>
      <c r="B672" s="0" t="n">
        <v>1</v>
      </c>
      <c r="D672" s="0" t="s">
        <v>124</v>
      </c>
      <c r="E672" s="0" t="s">
        <v>2550</v>
      </c>
      <c r="F672" s="0" t="s">
        <v>427</v>
      </c>
      <c r="G672" s="0" t="n">
        <v>1</v>
      </c>
      <c r="H672" s="0" t="s">
        <v>27</v>
      </c>
      <c r="J672" s="0" t="s">
        <v>40</v>
      </c>
      <c r="K672" s="0" t="str">
        <f aca="false">"7.14 %"</f>
        <v>7.14 %</v>
      </c>
      <c r="L672" s="0" t="str">
        <f aca="false">"0.91 V"</f>
        <v>0.91 V</v>
      </c>
      <c r="O672" s="0" t="s">
        <v>2551</v>
      </c>
    </row>
    <row r="673" customFormat="false" ht="13.8" hidden="false" customHeight="false" outlineLevel="0" collapsed="false">
      <c r="A673" s="0" t="s">
        <v>2549</v>
      </c>
      <c r="B673" s="0" t="n">
        <v>1</v>
      </c>
      <c r="D673" s="0" t="s">
        <v>128</v>
      </c>
      <c r="E673" s="0" t="s">
        <v>2552</v>
      </c>
      <c r="F673" s="0" t="s">
        <v>130</v>
      </c>
      <c r="G673" s="0" t="n">
        <v>1</v>
      </c>
      <c r="H673" s="0" t="s">
        <v>27</v>
      </c>
      <c r="J673" s="0" t="s">
        <v>40</v>
      </c>
      <c r="K673" s="0" t="str">
        <f aca="false">"1.82 %"</f>
        <v>1.82 %</v>
      </c>
      <c r="L673" s="0" t="str">
        <f aca="false">"0.71 V"</f>
        <v>0.71 V</v>
      </c>
      <c r="O673" s="0" t="s">
        <v>2553</v>
      </c>
    </row>
    <row r="674" customFormat="false" ht="13.8" hidden="false" customHeight="false" outlineLevel="0" collapsed="false">
      <c r="A674" s="0" t="s">
        <v>2554</v>
      </c>
      <c r="C674" s="0" t="n">
        <v>1</v>
      </c>
      <c r="D674" s="4" t="s">
        <v>2555</v>
      </c>
      <c r="E674" s="0" t="s">
        <v>2556</v>
      </c>
      <c r="F674" s="15" t="s">
        <v>2557</v>
      </c>
      <c r="G674" s="0" t="n">
        <v>1</v>
      </c>
      <c r="H674" s="0" t="s">
        <v>27</v>
      </c>
      <c r="J674" s="0" t="s">
        <v>28</v>
      </c>
      <c r="K674" s="0" t="str">
        <f aca="false">"2.8 %"</f>
        <v>2.8 %</v>
      </c>
      <c r="O674" s="0" t="s">
        <v>2558</v>
      </c>
    </row>
    <row r="675" customFormat="false" ht="13.8" hidden="false" customHeight="false" outlineLevel="0" collapsed="false">
      <c r="A675" s="0" t="s">
        <v>2559</v>
      </c>
      <c r="B675" s="0" t="n">
        <v>1</v>
      </c>
      <c r="D675" s="0" t="s">
        <v>2560</v>
      </c>
      <c r="E675" s="0" t="s">
        <v>2561</v>
      </c>
      <c r="F675" s="0" t="s">
        <v>2562</v>
      </c>
      <c r="G675" s="0" t="n">
        <v>1</v>
      </c>
      <c r="H675" s="0" t="s">
        <v>27</v>
      </c>
      <c r="J675" s="0" t="s">
        <v>28</v>
      </c>
      <c r="K675" s="0" t="str">
        <f aca="false">"5.07 %"</f>
        <v>5.07 %</v>
      </c>
      <c r="O675" s="0" t="s">
        <v>2563</v>
      </c>
    </row>
    <row r="676" customFormat="false" ht="13.8" hidden="false" customHeight="false" outlineLevel="0" collapsed="false">
      <c r="A676" s="0" t="s">
        <v>2559</v>
      </c>
      <c r="B676" s="0" t="n">
        <v>1</v>
      </c>
      <c r="D676" s="4" t="s">
        <v>2564</v>
      </c>
      <c r="E676" s="0" t="s">
        <v>2565</v>
      </c>
      <c r="F676" s="4" t="s">
        <v>2566</v>
      </c>
      <c r="G676" s="0" t="n">
        <v>1</v>
      </c>
      <c r="H676" s="0" t="s">
        <v>27</v>
      </c>
      <c r="J676" s="0" t="s">
        <v>40</v>
      </c>
      <c r="K676" s="3" t="str">
        <f aca="false">"3.22 %"</f>
        <v>3.22 %</v>
      </c>
    </row>
    <row r="677" customFormat="false" ht="13.8" hidden="false" customHeight="false" outlineLevel="0" collapsed="false">
      <c r="A677" s="0" t="s">
        <v>2567</v>
      </c>
      <c r="B677" s="0" t="n">
        <v>1</v>
      </c>
      <c r="D677" s="0" t="s">
        <v>2568</v>
      </c>
      <c r="E677" s="0" t="s">
        <v>2569</v>
      </c>
      <c r="F677" s="0" t="s">
        <v>2570</v>
      </c>
      <c r="G677" s="0" t="n">
        <v>1</v>
      </c>
      <c r="H677" s="0" t="s">
        <v>27</v>
      </c>
      <c r="J677" s="0" t="s">
        <v>2571</v>
      </c>
      <c r="K677" s="0" t="str">
        <f aca="false">"5.05 %"</f>
        <v>5.05 %</v>
      </c>
      <c r="O677" s="0" t="s">
        <v>2572</v>
      </c>
    </row>
    <row r="678" customFormat="false" ht="13.8" hidden="false" customHeight="false" outlineLevel="0" collapsed="false">
      <c r="A678" s="0" t="s">
        <v>2573</v>
      </c>
      <c r="B678" s="0" t="n">
        <v>1</v>
      </c>
      <c r="D678" s="0" t="s">
        <v>2574</v>
      </c>
      <c r="E678" s="0" t="s">
        <v>2575</v>
      </c>
      <c r="F678" s="0" t="s">
        <v>2576</v>
      </c>
      <c r="G678" s="0" t="n">
        <v>1</v>
      </c>
      <c r="H678" s="0" t="s">
        <v>27</v>
      </c>
      <c r="J678" s="0" t="s">
        <v>28</v>
      </c>
      <c r="K678" s="0" t="str">
        <f aca="false">"6.33 %"</f>
        <v>6.33 %</v>
      </c>
      <c r="M678" s="15" t="str">
        <f aca="false">"16 mA/cm^{2}"</f>
        <v>16 mA/cm^{2}</v>
      </c>
      <c r="O678" s="0" t="s">
        <v>2577</v>
      </c>
    </row>
    <row r="679" customFormat="false" ht="15.75" hidden="false" customHeight="true" outlineLevel="0" collapsed="false">
      <c r="A679" s="0" t="s">
        <v>2578</v>
      </c>
      <c r="B679" s="0" t="n">
        <v>1</v>
      </c>
      <c r="D679" s="0" t="s">
        <v>2579</v>
      </c>
      <c r="E679" s="26" t="s">
        <v>2580</v>
      </c>
      <c r="F679" s="0" t="s">
        <v>40</v>
      </c>
      <c r="G679" s="0" t="n">
        <v>1</v>
      </c>
      <c r="H679" s="0" t="s">
        <v>575</v>
      </c>
      <c r="J679" s="0" t="s">
        <v>576</v>
      </c>
      <c r="K679" s="0" t="str">
        <f aca="false">"0.5 %"</f>
        <v>0.5 %</v>
      </c>
      <c r="O679" s="0" t="s">
        <v>2581</v>
      </c>
    </row>
    <row r="680" customFormat="false" ht="13.8" hidden="false" customHeight="false" outlineLevel="0" collapsed="false">
      <c r="A680" s="0" t="s">
        <v>2582</v>
      </c>
      <c r="B680" s="0" t="n">
        <v>1</v>
      </c>
      <c r="D680" s="4" t="s">
        <v>2583</v>
      </c>
      <c r="E680" s="0" t="s">
        <v>2584</v>
      </c>
      <c r="F680" s="4" t="s">
        <v>2585</v>
      </c>
      <c r="G680" s="4" t="n">
        <v>1</v>
      </c>
      <c r="H680" s="0" t="s">
        <v>2586</v>
      </c>
      <c r="J680" s="4" t="s">
        <v>67</v>
      </c>
      <c r="K680" s="3" t="n">
        <v>0.0621</v>
      </c>
      <c r="L680" s="15" t="s">
        <v>683</v>
      </c>
      <c r="M680" s="15" t="s">
        <v>2587</v>
      </c>
      <c r="O680" s="0" t="s">
        <v>2588</v>
      </c>
    </row>
    <row r="681" customFormat="false" ht="13.8" hidden="false" customHeight="false" outlineLevel="0" collapsed="false">
      <c r="A681" s="0" t="s">
        <v>2582</v>
      </c>
      <c r="B681" s="0" t="n">
        <v>1</v>
      </c>
      <c r="D681" s="4" t="s">
        <v>2589</v>
      </c>
      <c r="E681" s="0" t="s">
        <v>2590</v>
      </c>
      <c r="F681" s="4" t="s">
        <v>2591</v>
      </c>
      <c r="G681" s="0" t="n">
        <v>1</v>
      </c>
      <c r="H681" s="0" t="s">
        <v>2586</v>
      </c>
      <c r="J681" s="0" t="s">
        <v>40</v>
      </c>
      <c r="K681" s="8" t="n">
        <v>0.05</v>
      </c>
      <c r="L681" s="0" t="str">
        <f aca="false">"0.88 V"</f>
        <v>0.88 V</v>
      </c>
      <c r="M681" s="4" t="s">
        <v>2592</v>
      </c>
      <c r="O681" s="0" t="s">
        <v>2593</v>
      </c>
    </row>
    <row r="682" customFormat="false" ht="13.8" hidden="false" customHeight="false" outlineLevel="0" collapsed="false">
      <c r="A682" s="0" t="s">
        <v>2594</v>
      </c>
      <c r="B682" s="0" t="n">
        <v>1</v>
      </c>
      <c r="D682" s="0" t="s">
        <v>2595</v>
      </c>
      <c r="E682" s="0" t="s">
        <v>2596</v>
      </c>
      <c r="F682" s="0" t="s">
        <v>2597</v>
      </c>
      <c r="G682" s="0" t="n">
        <v>1</v>
      </c>
      <c r="H682" s="0" t="s">
        <v>27</v>
      </c>
      <c r="J682" s="0" t="s">
        <v>28</v>
      </c>
      <c r="K682" s="0" t="str">
        <f aca="false">"4.45 %"</f>
        <v>4.45 %</v>
      </c>
      <c r="O682" s="0" t="s">
        <v>2598</v>
      </c>
    </row>
    <row r="683" customFormat="false" ht="13.8" hidden="false" customHeight="false" outlineLevel="0" collapsed="false">
      <c r="A683" s="0" t="s">
        <v>2599</v>
      </c>
      <c r="B683" s="0" t="n">
        <v>1</v>
      </c>
      <c r="D683" s="0" t="s">
        <v>2600</v>
      </c>
      <c r="E683" s="0" t="s">
        <v>2601</v>
      </c>
      <c r="F683" s="0" t="s">
        <v>2602</v>
      </c>
      <c r="G683" s="0" t="n">
        <v>1</v>
      </c>
      <c r="H683" s="0" t="s">
        <v>33</v>
      </c>
      <c r="J683" s="0" t="s">
        <v>34</v>
      </c>
      <c r="K683" s="15" t="s">
        <v>2603</v>
      </c>
      <c r="O683" s="0" t="s">
        <v>2604</v>
      </c>
    </row>
    <row r="684" customFormat="false" ht="13.8" hidden="false" customHeight="false" outlineLevel="0" collapsed="false">
      <c r="A684" s="0" t="s">
        <v>2599</v>
      </c>
      <c r="B684" s="0" t="n">
        <v>1</v>
      </c>
      <c r="D684" s="0" t="s">
        <v>2605</v>
      </c>
      <c r="E684" s="0" t="s">
        <v>2606</v>
      </c>
      <c r="F684" s="0" t="s">
        <v>2607</v>
      </c>
      <c r="G684" s="0" t="n">
        <v>1</v>
      </c>
      <c r="H684" s="0" t="s">
        <v>33</v>
      </c>
      <c r="J684" s="0" t="s">
        <v>34</v>
      </c>
      <c r="K684" s="15" t="s">
        <v>2608</v>
      </c>
    </row>
    <row r="685" customFormat="false" ht="13.8" hidden="false" customHeight="false" outlineLevel="0" collapsed="false">
      <c r="A685" s="0" t="s">
        <v>2599</v>
      </c>
      <c r="B685" s="0" t="n">
        <v>1</v>
      </c>
      <c r="D685" s="0" t="s">
        <v>2609</v>
      </c>
      <c r="E685" s="0" t="s">
        <v>2610</v>
      </c>
      <c r="F685" s="0" t="s">
        <v>2611</v>
      </c>
      <c r="G685" s="0" t="n">
        <v>1</v>
      </c>
      <c r="H685" s="0" t="s">
        <v>33</v>
      </c>
      <c r="J685" s="0" t="s">
        <v>34</v>
      </c>
      <c r="K685" s="15" t="s">
        <v>2612</v>
      </c>
    </row>
    <row r="686" customFormat="false" ht="13.8" hidden="false" customHeight="false" outlineLevel="0" collapsed="false">
      <c r="A686" s="0" t="s">
        <v>2599</v>
      </c>
      <c r="B686" s="0" t="n">
        <v>1</v>
      </c>
      <c r="D686" s="0" t="s">
        <v>2613</v>
      </c>
      <c r="E686" s="0" t="s">
        <v>2614</v>
      </c>
      <c r="F686" s="0" t="s">
        <v>2615</v>
      </c>
      <c r="G686" s="0" t="n">
        <v>1</v>
      </c>
      <c r="H686" s="0" t="s">
        <v>33</v>
      </c>
      <c r="J686" s="0" t="s">
        <v>34</v>
      </c>
      <c r="K686" s="15" t="s">
        <v>2616</v>
      </c>
    </row>
    <row r="687" customFormat="false" ht="13.8" hidden="false" customHeight="false" outlineLevel="0" collapsed="false">
      <c r="A687" s="0" t="s">
        <v>2617</v>
      </c>
      <c r="B687" s="0" t="n">
        <v>1</v>
      </c>
      <c r="D687" s="4" t="s">
        <v>2618</v>
      </c>
      <c r="E687" s="0" t="s">
        <v>2619</v>
      </c>
      <c r="F687" s="4" t="s">
        <v>2620</v>
      </c>
      <c r="G687" s="0" t="n">
        <v>1</v>
      </c>
      <c r="H687" s="0" t="s">
        <v>27</v>
      </c>
      <c r="J687" s="0" t="s">
        <v>40</v>
      </c>
      <c r="K687" s="0" t="str">
        <f aca="false">"3.72 %"</f>
        <v>3.72 %</v>
      </c>
      <c r="O687" s="0" t="s">
        <v>2621</v>
      </c>
    </row>
    <row r="688" customFormat="false" ht="13.8" hidden="false" customHeight="false" outlineLevel="0" collapsed="false">
      <c r="A688" s="0" t="s">
        <v>2617</v>
      </c>
      <c r="B688" s="0" t="n">
        <v>1</v>
      </c>
      <c r="D688" s="4" t="s">
        <v>2622</v>
      </c>
      <c r="E688" s="0" t="s">
        <v>2623</v>
      </c>
      <c r="F688" s="15" t="s">
        <v>2624</v>
      </c>
      <c r="G688" s="0" t="n">
        <v>1</v>
      </c>
      <c r="H688" s="0" t="s">
        <v>27</v>
      </c>
      <c r="J688" s="0" t="s">
        <v>40</v>
      </c>
      <c r="K688" s="0" t="str">
        <f aca="false">"4.93 %"</f>
        <v>4.93 %</v>
      </c>
      <c r="O688" s="0" t="s">
        <v>2625</v>
      </c>
    </row>
    <row r="689" customFormat="false" ht="13.8" hidden="false" customHeight="false" outlineLevel="0" collapsed="false">
      <c r="A689" s="0" t="s">
        <v>2617</v>
      </c>
      <c r="B689" s="0" t="n">
        <v>1</v>
      </c>
      <c r="D689" s="0" t="s">
        <v>2626</v>
      </c>
      <c r="E689" s="0" t="s">
        <v>2627</v>
      </c>
      <c r="F689" s="0" t="s">
        <v>2628</v>
      </c>
      <c r="G689" s="0" t="n">
        <v>1</v>
      </c>
      <c r="H689" s="0" t="s">
        <v>27</v>
      </c>
      <c r="J689" s="0" t="s">
        <v>40</v>
      </c>
      <c r="K689" s="9" t="n">
        <v>0.0281</v>
      </c>
    </row>
    <row r="690" customFormat="false" ht="13.8" hidden="false" customHeight="false" outlineLevel="0" collapsed="false">
      <c r="A690" s="0" t="s">
        <v>2629</v>
      </c>
      <c r="B690" s="0" t="n">
        <v>1</v>
      </c>
      <c r="D690" s="0" t="s">
        <v>2630</v>
      </c>
      <c r="E690" s="0" t="s">
        <v>2631</v>
      </c>
      <c r="F690" s="0" t="s">
        <v>2632</v>
      </c>
      <c r="G690" s="0" t="n">
        <v>1</v>
      </c>
      <c r="H690" s="0" t="s">
        <v>27</v>
      </c>
      <c r="J690" s="0" t="s">
        <v>28</v>
      </c>
      <c r="K690" s="28" t="n">
        <v>0.046</v>
      </c>
      <c r="L690" s="15" t="s">
        <v>1383</v>
      </c>
      <c r="O690" s="0" t="s">
        <v>2633</v>
      </c>
    </row>
    <row r="691" customFormat="false" ht="13.5" hidden="false" customHeight="true" outlineLevel="0" collapsed="false">
      <c r="A691" s="0" t="s">
        <v>2634</v>
      </c>
      <c r="B691" s="0" t="n">
        <v>1</v>
      </c>
      <c r="D691" s="4" t="s">
        <v>128</v>
      </c>
      <c r="E691" s="26" t="s">
        <v>2635</v>
      </c>
      <c r="F691" s="4" t="s">
        <v>130</v>
      </c>
      <c r="G691" s="0" t="n">
        <v>1</v>
      </c>
      <c r="H691" s="0" t="s">
        <v>76</v>
      </c>
      <c r="J691" s="0" t="s">
        <v>40</v>
      </c>
      <c r="K691" s="0" t="str">
        <f aca="false">"0.6 %"</f>
        <v>0.6 %</v>
      </c>
      <c r="O691" s="0" t="s">
        <v>2636</v>
      </c>
    </row>
    <row r="692" customFormat="false" ht="13.8" hidden="false" customHeight="false" outlineLevel="0" collapsed="false">
      <c r="A692" s="0" t="s">
        <v>2637</v>
      </c>
      <c r="B692" s="0" t="n">
        <v>1</v>
      </c>
      <c r="D692" s="0" t="s">
        <v>128</v>
      </c>
      <c r="E692" s="0" t="s">
        <v>2638</v>
      </c>
      <c r="F692" s="0" t="s">
        <v>130</v>
      </c>
      <c r="G692" s="0" t="n">
        <v>1</v>
      </c>
      <c r="H692" s="0" t="s">
        <v>33</v>
      </c>
      <c r="J692" s="0" t="s">
        <v>34</v>
      </c>
      <c r="K692" s="0" t="str">
        <f aca="false">"3.04 %"</f>
        <v>3.04 %</v>
      </c>
      <c r="L692" s="0" t="str">
        <f aca="false">"0.80 V"</f>
        <v>0.80 V</v>
      </c>
      <c r="M692" s="0" t="str">
        <f aca="false">"6.60 mA/cm^{2}"</f>
        <v>6.60 mA/cm^{2}</v>
      </c>
      <c r="N692" s="0" t="str">
        <f aca="false">"0.576"</f>
        <v>0.576</v>
      </c>
      <c r="O692" s="0" t="s">
        <v>2639</v>
      </c>
    </row>
    <row r="693" customFormat="false" ht="13.8" hidden="false" customHeight="false" outlineLevel="0" collapsed="false">
      <c r="A693" s="0" t="s">
        <v>2640</v>
      </c>
      <c r="B693" s="0" t="n">
        <v>1</v>
      </c>
      <c r="D693" s="0" t="s">
        <v>2641</v>
      </c>
      <c r="E693" s="0" t="s">
        <v>2642</v>
      </c>
      <c r="F693" s="0" t="s">
        <v>2643</v>
      </c>
      <c r="G693" s="0" t="n">
        <v>1</v>
      </c>
      <c r="H693" s="0" t="s">
        <v>27</v>
      </c>
      <c r="J693" s="0" t="s">
        <v>28</v>
      </c>
      <c r="K693" s="0" t="str">
        <f aca="false">"3.4 %"</f>
        <v>3.4 %</v>
      </c>
      <c r="O693" s="0" t="s">
        <v>2644</v>
      </c>
    </row>
    <row r="694" customFormat="false" ht="13.8" hidden="false" customHeight="false" outlineLevel="0" collapsed="false">
      <c r="A694" s="0" t="s">
        <v>2640</v>
      </c>
      <c r="B694" s="0" t="n">
        <v>1</v>
      </c>
      <c r="D694" s="0" t="s">
        <v>2645</v>
      </c>
      <c r="E694" s="0" t="s">
        <v>2646</v>
      </c>
      <c r="G694" s="0" t="n">
        <v>1</v>
      </c>
      <c r="H694" s="0" t="s">
        <v>27</v>
      </c>
      <c r="J694" s="0" t="s">
        <v>28</v>
      </c>
    </row>
    <row r="695" customFormat="false" ht="13.8" hidden="false" customHeight="false" outlineLevel="0" collapsed="false">
      <c r="A695" s="0" t="s">
        <v>2640</v>
      </c>
      <c r="B695" s="0" t="n">
        <v>1</v>
      </c>
      <c r="D695" s="0" t="s">
        <v>2647</v>
      </c>
      <c r="E695" s="0" t="s">
        <v>2648</v>
      </c>
      <c r="G695" s="0" t="n">
        <v>1</v>
      </c>
      <c r="H695" s="0" t="s">
        <v>27</v>
      </c>
      <c r="I695" s="0" t="s">
        <v>2649</v>
      </c>
      <c r="J695" s="0" t="s">
        <v>28</v>
      </c>
    </row>
    <row r="696" customFormat="false" ht="13.8" hidden="false" customHeight="false" outlineLevel="0" collapsed="false">
      <c r="A696" s="0" t="s">
        <v>2650</v>
      </c>
      <c r="B696" s="0" t="n">
        <v>1</v>
      </c>
      <c r="D696" s="0" t="s">
        <v>2651</v>
      </c>
      <c r="E696" s="0" t="s">
        <v>2652</v>
      </c>
      <c r="F696" s="0" t="s">
        <v>2653</v>
      </c>
      <c r="G696" s="0" t="n">
        <v>1</v>
      </c>
      <c r="H696" s="0" t="s">
        <v>66</v>
      </c>
      <c r="J696" s="0" t="s">
        <v>67</v>
      </c>
      <c r="K696" s="0" t="str">
        <f aca="false">"4.57 %"</f>
        <v>4.57 %</v>
      </c>
      <c r="L696" s="0" t="str">
        <f aca="false">"0.82 V"</f>
        <v>0.82 V</v>
      </c>
      <c r="M696" s="0" t="str">
        <f aca="false">"9.89 mA/cm^{2}"</f>
        <v>9.89 mA/cm^{2}</v>
      </c>
      <c r="N696" s="0" t="str">
        <f aca="false">"0.563"</f>
        <v>0.563</v>
      </c>
      <c r="O696" s="0" t="s">
        <v>2654</v>
      </c>
    </row>
    <row r="697" customFormat="false" ht="13.8" hidden="false" customHeight="false" outlineLevel="0" collapsed="false">
      <c r="A697" s="0" t="s">
        <v>2650</v>
      </c>
      <c r="B697" s="0" t="n">
        <v>1</v>
      </c>
      <c r="D697" s="0" t="s">
        <v>2651</v>
      </c>
      <c r="E697" s="0" t="s">
        <v>2652</v>
      </c>
      <c r="F697" s="0" t="s">
        <v>2653</v>
      </c>
      <c r="G697" s="0" t="n">
        <v>1</v>
      </c>
      <c r="H697" s="0" t="s">
        <v>117</v>
      </c>
      <c r="J697" s="0" t="s">
        <v>2655</v>
      </c>
      <c r="K697" s="9" t="n">
        <v>0.0535</v>
      </c>
      <c r="L697" s="0" t="s">
        <v>2656</v>
      </c>
      <c r="M697" s="0" t="s">
        <v>2657</v>
      </c>
      <c r="N697" s="0" t="str">
        <f aca="false">"0.608"</f>
        <v>0.608</v>
      </c>
    </row>
    <row r="698" customFormat="false" ht="13.8" hidden="false" customHeight="false" outlineLevel="0" collapsed="false">
      <c r="A698" s="0" t="s">
        <v>2658</v>
      </c>
      <c r="B698" s="0" t="n">
        <v>1</v>
      </c>
      <c r="D698" s="0" t="s">
        <v>208</v>
      </c>
      <c r="E698" s="0" t="s">
        <v>17</v>
      </c>
      <c r="F698" s="0" t="s">
        <v>209</v>
      </c>
      <c r="G698" s="0" t="n">
        <v>0</v>
      </c>
      <c r="H698" s="0" t="s">
        <v>2659</v>
      </c>
      <c r="I698" s="0" t="s">
        <v>2660</v>
      </c>
      <c r="J698" s="0" t="s">
        <v>2661</v>
      </c>
      <c r="K698" s="0" t="str">
        <f aca="false">"0.9 %"</f>
        <v>0.9 %</v>
      </c>
      <c r="O698" s="0" t="s">
        <v>2662</v>
      </c>
    </row>
    <row r="699" customFormat="false" ht="13.8" hidden="false" customHeight="false" outlineLevel="0" collapsed="false">
      <c r="A699" s="0" t="s">
        <v>2663</v>
      </c>
      <c r="B699" s="0" t="n">
        <v>1</v>
      </c>
      <c r="D699" s="0" t="s">
        <v>16</v>
      </c>
      <c r="E699" s="0" t="s">
        <v>17</v>
      </c>
      <c r="F699" s="0" t="s">
        <v>116</v>
      </c>
      <c r="G699" s="0" t="n">
        <v>0</v>
      </c>
      <c r="H699" s="0" t="s">
        <v>2664</v>
      </c>
      <c r="I699" s="0" t="s">
        <v>2665</v>
      </c>
      <c r="J699" s="0" t="s">
        <v>2666</v>
      </c>
      <c r="K699" s="0" t="str">
        <f aca="false">"1.28 %"</f>
        <v>1.28 %</v>
      </c>
      <c r="L699" s="0" t="str">
        <f aca="false">"0.56 V"</f>
        <v>0.56 V</v>
      </c>
      <c r="M699" s="15" t="s">
        <v>555</v>
      </c>
      <c r="N699" s="0" t="str">
        <f aca="false">"0.50"</f>
        <v>0.50</v>
      </c>
      <c r="O699" s="0" t="s">
        <v>2667</v>
      </c>
    </row>
    <row r="700" customFormat="false" ht="13.8" hidden="false" customHeight="false" outlineLevel="0" collapsed="false">
      <c r="A700" s="0" t="s">
        <v>2668</v>
      </c>
      <c r="B700" s="0" t="n">
        <v>1</v>
      </c>
      <c r="D700" s="4" t="s">
        <v>2669</v>
      </c>
      <c r="E700" s="0" t="s">
        <v>2670</v>
      </c>
      <c r="F700" s="15" t="s">
        <v>2671</v>
      </c>
      <c r="G700" s="0" t="n">
        <v>1</v>
      </c>
      <c r="H700" s="0" t="s">
        <v>27</v>
      </c>
      <c r="J700" s="0" t="s">
        <v>28</v>
      </c>
      <c r="K700" s="0" t="str">
        <f aca="false">"4.89 %"</f>
        <v>4.89 %</v>
      </c>
      <c r="L700" s="15" t="s">
        <v>763</v>
      </c>
      <c r="M700" s="0" t="str">
        <f aca="false">"10.04 mA cm^{-2}"</f>
        <v>10.04 mA cm^{-2}</v>
      </c>
      <c r="N700" s="31" t="str">
        <f aca="false">"56.0 %"</f>
        <v>56.0 %</v>
      </c>
      <c r="O700" s="0" t="s">
        <v>2672</v>
      </c>
    </row>
    <row r="701" customFormat="false" ht="13.8" hidden="false" customHeight="false" outlineLevel="0" collapsed="false">
      <c r="A701" s="0" t="s">
        <v>2673</v>
      </c>
      <c r="B701" s="0" t="n">
        <v>1</v>
      </c>
      <c r="D701" s="0" t="s">
        <v>2674</v>
      </c>
      <c r="E701" s="0" t="s">
        <v>2675</v>
      </c>
      <c r="F701" s="0" t="s">
        <v>2676</v>
      </c>
      <c r="G701" s="0" t="n">
        <v>1</v>
      </c>
      <c r="H701" s="0" t="s">
        <v>66</v>
      </c>
      <c r="J701" s="0" t="s">
        <v>67</v>
      </c>
      <c r="K701" s="3" t="n">
        <v>0.0518</v>
      </c>
      <c r="O701" s="0" t="s">
        <v>2677</v>
      </c>
    </row>
    <row r="702" customFormat="false" ht="13.8" hidden="false" customHeight="false" outlineLevel="0" collapsed="false">
      <c r="A702" s="0" t="s">
        <v>2678</v>
      </c>
      <c r="B702" s="0" t="n">
        <v>1</v>
      </c>
      <c r="D702" s="4" t="s">
        <v>2679</v>
      </c>
      <c r="E702" s="0" t="s">
        <v>2680</v>
      </c>
      <c r="F702" s="4" t="s">
        <v>2681</v>
      </c>
      <c r="G702" s="0" t="n">
        <v>1</v>
      </c>
      <c r="H702" s="0" t="s">
        <v>76</v>
      </c>
      <c r="J702" s="0" t="s">
        <v>77</v>
      </c>
      <c r="K702" s="0" t="str">
        <f aca="false">"1.16 %"</f>
        <v>1.16 %</v>
      </c>
      <c r="O702" s="0" t="s">
        <v>2682</v>
      </c>
    </row>
    <row r="703" customFormat="false" ht="13.8" hidden="false" customHeight="false" outlineLevel="0" collapsed="false">
      <c r="A703" s="0" t="s">
        <v>2678</v>
      </c>
      <c r="B703" s="0" t="n">
        <v>1</v>
      </c>
      <c r="D703" s="0" t="s">
        <v>2683</v>
      </c>
      <c r="E703" s="0" t="s">
        <v>2684</v>
      </c>
      <c r="F703" s="0" t="s">
        <v>2685</v>
      </c>
      <c r="G703" s="0" t="n">
        <v>1</v>
      </c>
      <c r="H703" s="0" t="s">
        <v>76</v>
      </c>
      <c r="J703" s="0" t="s">
        <v>77</v>
      </c>
      <c r="K703" s="9" t="n">
        <v>0.0418</v>
      </c>
    </row>
    <row r="704" customFormat="false" ht="13.8" hidden="false" customHeight="false" outlineLevel="0" collapsed="false">
      <c r="A704" s="0" t="s">
        <v>2678</v>
      </c>
      <c r="B704" s="0" t="n">
        <v>1</v>
      </c>
      <c r="D704" s="27" t="s">
        <v>2686</v>
      </c>
      <c r="E704" s="0" t="s">
        <v>2687</v>
      </c>
      <c r="F704" s="27" t="s">
        <v>2688</v>
      </c>
      <c r="G704" s="0" t="n">
        <v>1</v>
      </c>
      <c r="H704" s="0" t="s">
        <v>76</v>
      </c>
      <c r="J704" s="0" t="s">
        <v>77</v>
      </c>
      <c r="K704" s="9" t="n">
        <v>0.0248</v>
      </c>
    </row>
    <row r="705" customFormat="false" ht="13.8" hidden="false" customHeight="false" outlineLevel="0" collapsed="false">
      <c r="A705" s="0" t="s">
        <v>2689</v>
      </c>
      <c r="B705" s="0" t="n">
        <v>1</v>
      </c>
      <c r="D705" s="0" t="s">
        <v>253</v>
      </c>
      <c r="E705" s="0" t="s">
        <v>2690</v>
      </c>
      <c r="F705" s="4" t="s">
        <v>258</v>
      </c>
      <c r="G705" s="0" t="n">
        <v>1</v>
      </c>
      <c r="H705" s="0" t="s">
        <v>27</v>
      </c>
      <c r="J705" s="0" t="s">
        <v>28</v>
      </c>
      <c r="K705" s="3" t="n">
        <v>0.0448</v>
      </c>
      <c r="L705" s="15" t="s">
        <v>2691</v>
      </c>
      <c r="M705" s="15" t="s">
        <v>2692</v>
      </c>
      <c r="N705" s="4" t="str">
        <f aca="false">"0.58"</f>
        <v>0.58</v>
      </c>
      <c r="O705" s="0" t="s">
        <v>2693</v>
      </c>
    </row>
    <row r="706" customFormat="false" ht="13.8" hidden="false" customHeight="false" outlineLevel="0" collapsed="false">
      <c r="A706" s="0" t="s">
        <v>2689</v>
      </c>
      <c r="B706" s="0" t="n">
        <v>1</v>
      </c>
      <c r="D706" s="0" t="s">
        <v>128</v>
      </c>
      <c r="E706" s="0" t="s">
        <v>2694</v>
      </c>
      <c r="F706" s="0" t="s">
        <v>130</v>
      </c>
      <c r="G706" s="0" t="n">
        <v>1</v>
      </c>
      <c r="H706" s="0" t="s">
        <v>27</v>
      </c>
      <c r="J706" s="0" t="s">
        <v>28</v>
      </c>
      <c r="K706" s="9" t="n">
        <v>0.0171</v>
      </c>
    </row>
    <row r="707" customFormat="false" ht="13.8" hidden="false" customHeight="false" outlineLevel="0" collapsed="false">
      <c r="A707" s="0" t="s">
        <v>2689</v>
      </c>
      <c r="B707" s="0" t="n">
        <v>1</v>
      </c>
      <c r="D707" s="0" t="s">
        <v>124</v>
      </c>
      <c r="E707" s="0" t="s">
        <v>2695</v>
      </c>
      <c r="F707" s="0" t="s">
        <v>427</v>
      </c>
      <c r="G707" s="0" t="n">
        <v>1</v>
      </c>
      <c r="H707" s="0" t="s">
        <v>27</v>
      </c>
      <c r="J707" s="0" t="s">
        <v>28</v>
      </c>
      <c r="K707" s="9" t="n">
        <v>0.0102</v>
      </c>
    </row>
    <row r="708" customFormat="false" ht="13.8" hidden="false" customHeight="false" outlineLevel="0" collapsed="false">
      <c r="A708" s="0" t="s">
        <v>2696</v>
      </c>
      <c r="B708" s="0" t="n">
        <v>1</v>
      </c>
      <c r="D708" s="4" t="s">
        <v>2697</v>
      </c>
      <c r="E708" s="0" t="s">
        <v>2698</v>
      </c>
      <c r="F708" s="4" t="s">
        <v>2699</v>
      </c>
      <c r="G708" s="0" t="n">
        <v>1</v>
      </c>
      <c r="H708" s="0" t="s">
        <v>27</v>
      </c>
      <c r="J708" s="0" t="s">
        <v>28</v>
      </c>
      <c r="K708" s="0" t="str">
        <f aca="false">"1.45 %"</f>
        <v>1.45 %</v>
      </c>
      <c r="O708" s="0" t="s">
        <v>2700</v>
      </c>
    </row>
    <row r="709" customFormat="false" ht="13.8" hidden="false" customHeight="false" outlineLevel="0" collapsed="false">
      <c r="A709" s="0" t="s">
        <v>2696</v>
      </c>
      <c r="B709" s="0" t="n">
        <v>1</v>
      </c>
      <c r="D709" s="0" t="s">
        <v>2701</v>
      </c>
      <c r="E709" s="0" t="s">
        <v>2702</v>
      </c>
      <c r="F709" s="0" t="s">
        <v>2703</v>
      </c>
      <c r="G709" s="0" t="n">
        <v>1</v>
      </c>
      <c r="H709" s="0" t="s">
        <v>27</v>
      </c>
      <c r="J709" s="0" t="s">
        <v>28</v>
      </c>
      <c r="K709" s="9" t="n">
        <v>0.0253</v>
      </c>
    </row>
    <row r="710" customFormat="false" ht="13.8" hidden="false" customHeight="false" outlineLevel="0" collapsed="false">
      <c r="A710" s="0" t="s">
        <v>2696</v>
      </c>
      <c r="B710" s="0" t="n">
        <v>1</v>
      </c>
      <c r="D710" s="0" t="s">
        <v>2704</v>
      </c>
      <c r="E710" s="0" t="s">
        <v>2705</v>
      </c>
      <c r="F710" s="0" t="s">
        <v>2706</v>
      </c>
      <c r="G710" s="0" t="n">
        <v>1</v>
      </c>
      <c r="H710" s="0" t="s">
        <v>27</v>
      </c>
      <c r="J710" s="0" t="s">
        <v>28</v>
      </c>
      <c r="K710" s="9" t="n">
        <v>0.0197</v>
      </c>
    </row>
    <row r="711" customFormat="false" ht="13.8" hidden="false" customHeight="false" outlineLevel="0" collapsed="false">
      <c r="A711" s="0" t="s">
        <v>2696</v>
      </c>
      <c r="B711" s="0" t="n">
        <v>1</v>
      </c>
      <c r="D711" s="0" t="s">
        <v>2707</v>
      </c>
      <c r="E711" s="0" t="s">
        <v>2708</v>
      </c>
      <c r="F711" s="0" t="s">
        <v>2709</v>
      </c>
      <c r="G711" s="0" t="n">
        <v>1</v>
      </c>
      <c r="H711" s="0" t="s">
        <v>27</v>
      </c>
      <c r="J711" s="0" t="s">
        <v>28</v>
      </c>
      <c r="K711" s="9" t="n">
        <v>0.0097</v>
      </c>
    </row>
    <row r="712" customFormat="false" ht="13.8" hidden="false" customHeight="false" outlineLevel="0" collapsed="false">
      <c r="A712" s="0" t="s">
        <v>2710</v>
      </c>
      <c r="B712" s="0" t="n">
        <v>1</v>
      </c>
      <c r="D712" s="4" t="s">
        <v>2711</v>
      </c>
      <c r="E712" s="0" t="s">
        <v>2712</v>
      </c>
      <c r="F712" s="4" t="s">
        <v>2713</v>
      </c>
      <c r="G712" s="0" t="n">
        <v>1</v>
      </c>
      <c r="H712" s="0" t="s">
        <v>27</v>
      </c>
      <c r="J712" s="0" t="s">
        <v>28</v>
      </c>
      <c r="K712" s="0" t="str">
        <f aca="false">"3.8 %"</f>
        <v>3.8 %</v>
      </c>
      <c r="O712" s="0" t="s">
        <v>2714</v>
      </c>
    </row>
    <row r="713" customFormat="false" ht="13.8" hidden="false" customHeight="false" outlineLevel="0" collapsed="false">
      <c r="A713" s="0" t="s">
        <v>2710</v>
      </c>
      <c r="B713" s="0" t="n">
        <v>1</v>
      </c>
      <c r="D713" s="4" t="s">
        <v>2715</v>
      </c>
      <c r="E713" s="0" t="s">
        <v>2716</v>
      </c>
      <c r="F713" s="4" t="s">
        <v>2717</v>
      </c>
      <c r="G713" s="0" t="n">
        <v>1</v>
      </c>
      <c r="H713" s="0" t="s">
        <v>27</v>
      </c>
      <c r="J713" s="0" t="s">
        <v>28</v>
      </c>
      <c r="K713" s="0" t="str">
        <f aca="false">"4.2 %"</f>
        <v>4.2 %</v>
      </c>
      <c r="L713" s="0" t="str">
        <f aca="false">"0.9 V"</f>
        <v>0.9 V</v>
      </c>
      <c r="M713" s="15" t="str">
        <f aca="false">"10.08 mA/cm^{2}"</f>
        <v>10.08 mA/cm^{2}</v>
      </c>
      <c r="O713" s="0" t="s">
        <v>2718</v>
      </c>
    </row>
    <row r="714" customFormat="false" ht="13.8" hidden="false" customHeight="false" outlineLevel="0" collapsed="false">
      <c r="A714" s="0" t="s">
        <v>2710</v>
      </c>
      <c r="B714" s="0" t="n">
        <v>1</v>
      </c>
      <c r="D714" s="4" t="s">
        <v>2719</v>
      </c>
      <c r="E714" s="0" t="s">
        <v>2720</v>
      </c>
      <c r="F714" s="4" t="s">
        <v>2721</v>
      </c>
      <c r="G714" s="0" t="n">
        <v>1</v>
      </c>
      <c r="H714" s="0" t="s">
        <v>27</v>
      </c>
      <c r="J714" s="0" t="s">
        <v>28</v>
      </c>
      <c r="K714" s="0" t="str">
        <f aca="false">"4.3 %"</f>
        <v>4.3 %</v>
      </c>
      <c r="O714" s="0" t="s">
        <v>2722</v>
      </c>
    </row>
    <row r="715" customFormat="false" ht="13.8" hidden="false" customHeight="false" outlineLevel="0" collapsed="false">
      <c r="A715" s="0" t="s">
        <v>2723</v>
      </c>
      <c r="B715" s="0" t="n">
        <v>1</v>
      </c>
      <c r="D715" s="4" t="s">
        <v>2724</v>
      </c>
      <c r="E715" s="0" t="s">
        <v>2725</v>
      </c>
      <c r="F715" s="0" t="s">
        <v>2726</v>
      </c>
      <c r="G715" s="0" t="n">
        <v>1</v>
      </c>
      <c r="H715" s="0" t="s">
        <v>27</v>
      </c>
      <c r="J715" s="0" t="s">
        <v>28</v>
      </c>
      <c r="K715" s="28" t="n">
        <v>0.0279</v>
      </c>
      <c r="O715" s="0" t="s">
        <v>2727</v>
      </c>
    </row>
    <row r="716" customFormat="false" ht="13.8" hidden="false" customHeight="false" outlineLevel="0" collapsed="false">
      <c r="A716" s="0" t="s">
        <v>2723</v>
      </c>
      <c r="B716" s="0" t="n">
        <v>1</v>
      </c>
      <c r="D716" s="4" t="s">
        <v>2728</v>
      </c>
      <c r="E716" s="0" t="s">
        <v>2729</v>
      </c>
      <c r="F716" s="4" t="s">
        <v>2730</v>
      </c>
      <c r="G716" s="0" t="n">
        <v>1</v>
      </c>
      <c r="H716" s="0" t="s">
        <v>27</v>
      </c>
      <c r="J716" s="0" t="s">
        <v>28</v>
      </c>
      <c r="K716" s="0" t="str">
        <f aca="false">"4.8 %"</f>
        <v>4.8 %</v>
      </c>
      <c r="L716" s="0" t="str">
        <f aca="false">"0.86 V"</f>
        <v>0.86 V</v>
      </c>
      <c r="N716" s="0" t="str">
        <f aca="false">"54 %"</f>
        <v>54 %</v>
      </c>
      <c r="O716" s="0" t="s">
        <v>2731</v>
      </c>
    </row>
    <row r="717" customFormat="false" ht="13.8" hidden="false" customHeight="false" outlineLevel="0" collapsed="false">
      <c r="A717" s="0" t="s">
        <v>2723</v>
      </c>
      <c r="B717" s="0" t="n">
        <v>1</v>
      </c>
      <c r="D717" s="27" t="s">
        <v>2732</v>
      </c>
      <c r="E717" s="0" t="s">
        <v>2733</v>
      </c>
      <c r="F717" s="27" t="s">
        <v>2734</v>
      </c>
      <c r="G717" s="0" t="n">
        <v>1</v>
      </c>
      <c r="H717" s="0" t="s">
        <v>27</v>
      </c>
      <c r="J717" s="0" t="s">
        <v>28</v>
      </c>
      <c r="K717" s="9" t="n">
        <v>0.0152</v>
      </c>
    </row>
    <row r="718" customFormat="false" ht="13.8" hidden="false" customHeight="false" outlineLevel="0" collapsed="false">
      <c r="A718" s="0" t="s">
        <v>2735</v>
      </c>
      <c r="B718" s="0" t="n">
        <v>1</v>
      </c>
      <c r="D718" s="0" t="s">
        <v>2736</v>
      </c>
      <c r="E718" s="0" t="s">
        <v>2737</v>
      </c>
      <c r="F718" s="0" t="s">
        <v>2738</v>
      </c>
      <c r="G718" s="0" t="n">
        <v>1</v>
      </c>
      <c r="H718" s="0" t="s">
        <v>27</v>
      </c>
      <c r="J718" s="0" t="s">
        <v>28</v>
      </c>
      <c r="K718" s="0" t="str">
        <f aca="false">"8.30 %"</f>
        <v>8.30 %</v>
      </c>
      <c r="O718" s="0" t="s">
        <v>2739</v>
      </c>
    </row>
    <row r="719" customFormat="false" ht="13.8" hidden="false" customHeight="false" outlineLevel="0" collapsed="false">
      <c r="A719" s="0" t="s">
        <v>2735</v>
      </c>
      <c r="B719" s="0" t="n">
        <v>1</v>
      </c>
      <c r="D719" s="0" t="s">
        <v>2740</v>
      </c>
      <c r="E719" s="0" t="s">
        <v>2737</v>
      </c>
      <c r="F719" s="0" t="s">
        <v>2741</v>
      </c>
      <c r="G719" s="0" t="n">
        <v>1</v>
      </c>
      <c r="H719" s="0" t="s">
        <v>27</v>
      </c>
      <c r="J719" s="0" t="s">
        <v>28</v>
      </c>
      <c r="K719" s="0" t="str">
        <f aca="false">"6.90 %"</f>
        <v>6.90 %</v>
      </c>
      <c r="O719" s="0" t="s">
        <v>2742</v>
      </c>
    </row>
    <row r="720" customFormat="false" ht="13.8" hidden="false" customHeight="false" outlineLevel="0" collapsed="false">
      <c r="A720" s="0" t="s">
        <v>2743</v>
      </c>
      <c r="B720" s="0" t="n">
        <v>1</v>
      </c>
      <c r="D720" s="4" t="s">
        <v>2744</v>
      </c>
      <c r="E720" s="0" t="s">
        <v>2745</v>
      </c>
      <c r="F720" s="4" t="s">
        <v>2746</v>
      </c>
      <c r="G720" s="0" t="n">
        <v>1</v>
      </c>
      <c r="H720" s="0" t="s">
        <v>195</v>
      </c>
      <c r="J720" s="0" t="s">
        <v>2747</v>
      </c>
      <c r="K720" s="0" t="str">
        <f aca="false">"4.14 %"</f>
        <v>4.14 %</v>
      </c>
      <c r="O720" s="0" t="s">
        <v>2748</v>
      </c>
    </row>
    <row r="721" customFormat="false" ht="13.8" hidden="false" customHeight="false" outlineLevel="0" collapsed="false">
      <c r="A721" s="0" t="s">
        <v>2743</v>
      </c>
      <c r="B721" s="0" t="n">
        <v>1</v>
      </c>
      <c r="D721" s="27" t="s">
        <v>2749</v>
      </c>
      <c r="E721" s="0" t="s">
        <v>2750</v>
      </c>
      <c r="F721" s="27" t="s">
        <v>2751</v>
      </c>
      <c r="G721" s="0" t="n">
        <v>1</v>
      </c>
      <c r="H721" s="0" t="s">
        <v>195</v>
      </c>
      <c r="J721" s="0" t="s">
        <v>2747</v>
      </c>
      <c r="K721" s="9" t="str">
        <f aca="false">"6.70 %"</f>
        <v>6.70 %</v>
      </c>
    </row>
    <row r="722" customFormat="false" ht="13.8" hidden="false" customHeight="false" outlineLevel="0" collapsed="false">
      <c r="A722" s="0" t="s">
        <v>2743</v>
      </c>
      <c r="B722" s="0" t="n">
        <v>1</v>
      </c>
      <c r="D722" s="0" t="s">
        <v>2752</v>
      </c>
      <c r="E722" s="0" t="s">
        <v>2753</v>
      </c>
      <c r="F722" s="0" t="s">
        <v>2754</v>
      </c>
      <c r="G722" s="0" t="n">
        <v>1</v>
      </c>
      <c r="H722" s="0" t="s">
        <v>195</v>
      </c>
      <c r="J722" s="0" t="s">
        <v>2747</v>
      </c>
      <c r="K722" s="9" t="n">
        <v>0.0811</v>
      </c>
    </row>
    <row r="723" customFormat="false" ht="13.8" hidden="false" customHeight="false" outlineLevel="0" collapsed="false">
      <c r="A723" s="0" t="s">
        <v>2755</v>
      </c>
      <c r="B723" s="0" t="n">
        <v>1</v>
      </c>
      <c r="D723" s="0" t="s">
        <v>2756</v>
      </c>
      <c r="E723" s="0" t="s">
        <v>2757</v>
      </c>
      <c r="F723" s="0" t="s">
        <v>2758</v>
      </c>
      <c r="G723" s="0" t="n">
        <v>1</v>
      </c>
      <c r="H723" s="0" t="s">
        <v>76</v>
      </c>
      <c r="J723" s="0" t="s">
        <v>77</v>
      </c>
      <c r="K723" s="0" t="str">
        <f aca="false">"7.32 %"</f>
        <v>7.32 %</v>
      </c>
      <c r="L723" s="0" t="str">
        <f aca="false">"0.85 V"</f>
        <v>0.85 V</v>
      </c>
      <c r="M723" s="0" t="str">
        <f aca="false">"13.4 mA cm^{-2}"</f>
        <v>13.4 mA cm^{-2}</v>
      </c>
      <c r="N723" s="0" t="str">
        <f aca="false">"0.65"</f>
        <v>0.65</v>
      </c>
      <c r="O723" s="0" t="s">
        <v>2759</v>
      </c>
    </row>
    <row r="724" customFormat="false" ht="13.8" hidden="false" customHeight="false" outlineLevel="0" collapsed="false">
      <c r="A724" s="0" t="s">
        <v>2760</v>
      </c>
      <c r="B724" s="0" t="n">
        <v>1</v>
      </c>
      <c r="D724" s="0" t="s">
        <v>2761</v>
      </c>
      <c r="E724" s="0" t="s">
        <v>2762</v>
      </c>
      <c r="F724" s="0" t="s">
        <v>2763</v>
      </c>
      <c r="G724" s="0" t="n">
        <v>1</v>
      </c>
      <c r="H724" s="0" t="s">
        <v>2764</v>
      </c>
      <c r="J724" s="15" t="s">
        <v>2765</v>
      </c>
      <c r="K724" s="0" t="str">
        <f aca="false">"3.6 %"</f>
        <v>3.6 %</v>
      </c>
      <c r="L724" s="0" t="str">
        <f aca="false">"0.94 V"</f>
        <v>0.94 V</v>
      </c>
      <c r="O724" s="0" t="s">
        <v>2766</v>
      </c>
    </row>
    <row r="725" customFormat="false" ht="13.8" hidden="false" customHeight="false" outlineLevel="0" collapsed="false">
      <c r="A725" s="0" t="s">
        <v>2767</v>
      </c>
      <c r="B725" s="0" t="n">
        <v>1</v>
      </c>
      <c r="D725" s="4" t="s">
        <v>2768</v>
      </c>
      <c r="E725" s="0" t="s">
        <v>2769</v>
      </c>
      <c r="F725" s="4" t="s">
        <v>2770</v>
      </c>
      <c r="G725" s="0" t="n">
        <v>0</v>
      </c>
      <c r="H725" s="4" t="s">
        <v>2771</v>
      </c>
      <c r="I725" s="0" t="s">
        <v>2772</v>
      </c>
      <c r="J725" s="4" t="s">
        <v>2773</v>
      </c>
      <c r="K725" s="28" t="str">
        <f aca="false">"2.60 %"</f>
        <v>2.60 %</v>
      </c>
      <c r="M725" s="15" t="s">
        <v>2774</v>
      </c>
      <c r="O725" s="0" t="s">
        <v>2775</v>
      </c>
    </row>
    <row r="726" customFormat="false" ht="13.8" hidden="false" customHeight="false" outlineLevel="0" collapsed="false">
      <c r="A726" s="0" t="s">
        <v>2767</v>
      </c>
      <c r="B726" s="0" t="n">
        <v>1</v>
      </c>
      <c r="D726" s="0" t="s">
        <v>2768</v>
      </c>
      <c r="E726" s="0" t="s">
        <v>2769</v>
      </c>
      <c r="F726" s="0" t="s">
        <v>2770</v>
      </c>
      <c r="G726" s="0" t="n">
        <v>0</v>
      </c>
      <c r="H726" s="0" t="s">
        <v>2776</v>
      </c>
      <c r="I726" s="0" t="s">
        <v>2777</v>
      </c>
      <c r="J726" s="0" t="s">
        <v>2778</v>
      </c>
      <c r="K726" s="9" t="n">
        <v>0.0075</v>
      </c>
    </row>
    <row r="727" customFormat="false" ht="13.8" hidden="false" customHeight="false" outlineLevel="0" collapsed="false">
      <c r="A727" s="0" t="s">
        <v>2779</v>
      </c>
      <c r="B727" s="0" t="n">
        <v>1</v>
      </c>
      <c r="D727" s="4" t="s">
        <v>2493</v>
      </c>
      <c r="E727" s="0" t="s">
        <v>2494</v>
      </c>
      <c r="F727" s="4" t="s">
        <v>2780</v>
      </c>
      <c r="G727" s="0" t="n">
        <v>0</v>
      </c>
      <c r="H727" s="0" t="s">
        <v>2781</v>
      </c>
      <c r="I727" s="0" t="s">
        <v>2782</v>
      </c>
      <c r="J727" s="0" t="s">
        <v>2783</v>
      </c>
      <c r="K727" s="0" t="str">
        <f aca="false">"9.12 %"</f>
        <v>9.12 %</v>
      </c>
      <c r="O727" s="0" t="s">
        <v>2784</v>
      </c>
    </row>
    <row r="728" customFormat="false" ht="13.8" hidden="false" customHeight="false" outlineLevel="0" collapsed="false">
      <c r="A728" s="0" t="s">
        <v>2785</v>
      </c>
      <c r="B728" s="27" t="n">
        <v>1</v>
      </c>
      <c r="D728" s="0" t="s">
        <v>201</v>
      </c>
      <c r="E728" s="0" t="s">
        <v>202</v>
      </c>
      <c r="F728" s="0" t="s">
        <v>422</v>
      </c>
      <c r="G728" s="0" t="n">
        <v>0</v>
      </c>
      <c r="H728" s="4" t="s">
        <v>2786</v>
      </c>
      <c r="I728" s="0" t="s">
        <v>2787</v>
      </c>
      <c r="J728" s="4" t="s">
        <v>2788</v>
      </c>
      <c r="K728" s="0" t="str">
        <f aca="false">"6.39 %"</f>
        <v>6.39 %</v>
      </c>
      <c r="O728" s="0" t="s">
        <v>2789</v>
      </c>
    </row>
    <row r="729" customFormat="false" ht="13.8" hidden="false" customHeight="false" outlineLevel="0" collapsed="false">
      <c r="A729" s="0" t="s">
        <v>2790</v>
      </c>
      <c r="B729" s="0" t="n">
        <v>1</v>
      </c>
      <c r="D729" s="4" t="s">
        <v>2791</v>
      </c>
      <c r="E729" s="0" t="s">
        <v>2792</v>
      </c>
      <c r="F729" s="4" t="s">
        <v>2793</v>
      </c>
      <c r="G729" s="4" t="n">
        <v>1</v>
      </c>
      <c r="H729" s="4" t="s">
        <v>195</v>
      </c>
      <c r="J729" s="4" t="s">
        <v>28</v>
      </c>
      <c r="K729" s="0" t="str">
        <f aca="false">"8.16 %"</f>
        <v>8.16 %</v>
      </c>
      <c r="M729" s="0" t="str">
        <f aca="false">"18.51 mA cm^{-2}"</f>
        <v>18.51 mA cm^{-2}</v>
      </c>
      <c r="O729" s="0" t="s">
        <v>2794</v>
      </c>
    </row>
    <row r="730" customFormat="false" ht="13.8" hidden="false" customHeight="false" outlineLevel="0" collapsed="false">
      <c r="A730" s="0" t="s">
        <v>2795</v>
      </c>
      <c r="B730" s="0" t="n">
        <v>1</v>
      </c>
      <c r="D730" s="0" t="s">
        <v>2796</v>
      </c>
      <c r="E730" s="0" t="s">
        <v>2797</v>
      </c>
      <c r="F730" s="0" t="s">
        <v>2798</v>
      </c>
      <c r="G730" s="0" t="n">
        <v>1</v>
      </c>
      <c r="H730" s="0" t="s">
        <v>27</v>
      </c>
      <c r="J730" s="0" t="s">
        <v>28</v>
      </c>
      <c r="K730" s="0" t="str">
        <f aca="false">"6.3 %"</f>
        <v>6.3 %</v>
      </c>
      <c r="L730" s="0" t="str">
        <f aca="false">"0.935 V"</f>
        <v>0.935 V</v>
      </c>
      <c r="M730" s="15" t="s">
        <v>2799</v>
      </c>
      <c r="N730" s="0" t="str">
        <f aca="false">"65.0 %"</f>
        <v>65.0 %</v>
      </c>
      <c r="O730" s="0" t="s">
        <v>2800</v>
      </c>
    </row>
    <row r="731" customFormat="false" ht="13.8" hidden="false" customHeight="false" outlineLevel="0" collapsed="false">
      <c r="A731" s="0" t="s">
        <v>2795</v>
      </c>
      <c r="B731" s="0" t="n">
        <v>1</v>
      </c>
      <c r="D731" s="0" t="s">
        <v>2801</v>
      </c>
      <c r="E731" s="0" t="s">
        <v>2802</v>
      </c>
      <c r="F731" s="0" t="s">
        <v>2803</v>
      </c>
      <c r="G731" s="0" t="n">
        <v>1</v>
      </c>
      <c r="H731" s="0" t="s">
        <v>27</v>
      </c>
      <c r="J731" s="0" t="s">
        <v>28</v>
      </c>
      <c r="M731" s="0" t="str">
        <f aca="false">"3.19 mA/cm^{2}"</f>
        <v>3.19 mA/cm^{2}</v>
      </c>
      <c r="O731" s="0" t="s">
        <v>2804</v>
      </c>
    </row>
    <row r="732" customFormat="false" ht="13.8" hidden="false" customHeight="false" outlineLevel="0" collapsed="false">
      <c r="A732" s="0" t="s">
        <v>2805</v>
      </c>
      <c r="B732" s="0" t="n">
        <v>1</v>
      </c>
      <c r="D732" s="0" t="s">
        <v>2806</v>
      </c>
      <c r="E732" s="0" t="s">
        <v>2807</v>
      </c>
      <c r="F732" s="0" t="s">
        <v>2808</v>
      </c>
      <c r="G732" s="0" t="n">
        <v>0</v>
      </c>
      <c r="H732" s="0" t="s">
        <v>1121</v>
      </c>
      <c r="I732" s="0" t="s">
        <v>225</v>
      </c>
      <c r="J732" s="0" t="s">
        <v>1122</v>
      </c>
      <c r="K732" s="0" t="str">
        <f aca="false">"7.91 %"</f>
        <v>7.91 %</v>
      </c>
      <c r="O732" s="0" t="s">
        <v>2809</v>
      </c>
    </row>
    <row r="733" customFormat="false" ht="13.8" hidden="false" customHeight="false" outlineLevel="0" collapsed="false">
      <c r="A733" s="0" t="s">
        <v>2810</v>
      </c>
      <c r="B733" s="0" t="n">
        <v>1</v>
      </c>
      <c r="D733" s="0" t="s">
        <v>2811</v>
      </c>
      <c r="E733" s="0" t="s">
        <v>2812</v>
      </c>
      <c r="F733" s="0" t="s">
        <v>2813</v>
      </c>
      <c r="G733" s="0" t="n">
        <v>1</v>
      </c>
      <c r="H733" s="0" t="s">
        <v>27</v>
      </c>
      <c r="J733" s="0" t="s">
        <v>28</v>
      </c>
      <c r="K733" s="0" t="str">
        <f aca="false">"2.5 %"</f>
        <v>2.5 %</v>
      </c>
      <c r="L733" s="0" t="str">
        <f aca="false">"0.79 V"</f>
        <v>0.79 V</v>
      </c>
      <c r="M733" s="0" t="str">
        <f aca="false">"5.6 mA cm^{-2}"</f>
        <v>5.6 mA cm^{-2}</v>
      </c>
      <c r="N733" s="0" t="str">
        <f aca="false">"55.8 %"</f>
        <v>55.8 %</v>
      </c>
      <c r="O733" s="0" t="s">
        <v>2814</v>
      </c>
    </row>
    <row r="734" customFormat="false" ht="13.8" hidden="false" customHeight="false" outlineLevel="0" collapsed="false">
      <c r="A734" s="0" t="s">
        <v>2815</v>
      </c>
      <c r="B734" s="0" t="n">
        <v>1</v>
      </c>
      <c r="D734" s="4" t="s">
        <v>2816</v>
      </c>
      <c r="E734" s="0" t="s">
        <v>2817</v>
      </c>
      <c r="F734" s="4" t="s">
        <v>2818</v>
      </c>
      <c r="G734" s="0" t="n">
        <v>1</v>
      </c>
      <c r="H734" s="23" t="s">
        <v>195</v>
      </c>
      <c r="J734" s="23" t="s">
        <v>28</v>
      </c>
      <c r="K734" s="0" t="str">
        <f aca="false">"5.07 %"</f>
        <v>5.07 %</v>
      </c>
      <c r="M734" s="0" t="str">
        <f aca="false">"11.85 mA/cm^{2}"</f>
        <v>11.85 mA/cm^{2}</v>
      </c>
      <c r="O734" s="0" t="s">
        <v>2819</v>
      </c>
    </row>
    <row r="735" customFormat="false" ht="13.8" hidden="false" customHeight="false" outlineLevel="0" collapsed="false">
      <c r="A735" s="0" t="s">
        <v>2820</v>
      </c>
      <c r="B735" s="0" t="n">
        <v>1</v>
      </c>
      <c r="D735" s="4" t="s">
        <v>2821</v>
      </c>
      <c r="E735" s="0" t="s">
        <v>2822</v>
      </c>
      <c r="F735" s="4" t="s">
        <v>2823</v>
      </c>
      <c r="G735" s="0" t="n">
        <v>1</v>
      </c>
      <c r="H735" s="4" t="s">
        <v>27</v>
      </c>
      <c r="J735" s="4" t="s">
        <v>701</v>
      </c>
      <c r="K735" s="0" t="str">
        <f aca="false">"4.12 %"</f>
        <v>4.12 %</v>
      </c>
      <c r="L735" s="0" t="str">
        <f aca="false">"0.79 V"</f>
        <v>0.79 V</v>
      </c>
      <c r="M735" s="15" t="s">
        <v>2824</v>
      </c>
      <c r="N735" s="0" t="str">
        <f aca="false">"45 %"</f>
        <v>45 %</v>
      </c>
      <c r="O735" s="0" t="s">
        <v>2825</v>
      </c>
    </row>
    <row r="736" customFormat="false" ht="13.8" hidden="false" customHeight="false" outlineLevel="0" collapsed="false">
      <c r="A736" s="0" t="s">
        <v>2826</v>
      </c>
      <c r="B736" s="0" t="n">
        <v>1</v>
      </c>
      <c r="D736" s="4" t="s">
        <v>2827</v>
      </c>
      <c r="E736" s="0" t="s">
        <v>2828</v>
      </c>
      <c r="F736" s="4" t="s">
        <v>2829</v>
      </c>
      <c r="G736" s="0" t="n">
        <v>1</v>
      </c>
      <c r="H736" s="0" t="s">
        <v>27</v>
      </c>
      <c r="J736" s="0" t="s">
        <v>28</v>
      </c>
      <c r="K736" s="3" t="n">
        <v>0.0733</v>
      </c>
      <c r="L736" s="0" t="str">
        <f aca="false">"0.96 V"</f>
        <v>0.96 V</v>
      </c>
      <c r="M736" s="0" t="str">
        <f aca="false">"13.24 mA cm^{-2}"</f>
        <v>13.24 mA cm^{-2}</v>
      </c>
      <c r="N736" s="0" t="str">
        <f aca="false">"0.577"</f>
        <v>0.577</v>
      </c>
      <c r="O736" s="0" t="s">
        <v>2830</v>
      </c>
    </row>
    <row r="737" customFormat="false" ht="13.8" hidden="false" customHeight="false" outlineLevel="0" collapsed="false">
      <c r="A737" s="0" t="s">
        <v>2826</v>
      </c>
      <c r="B737" s="0" t="n">
        <v>1</v>
      </c>
      <c r="D737" s="4" t="s">
        <v>2831</v>
      </c>
      <c r="E737" s="0" t="s">
        <v>2832</v>
      </c>
      <c r="F737" s="4" t="s">
        <v>2833</v>
      </c>
      <c r="G737" s="0" t="n">
        <v>1</v>
      </c>
      <c r="H737" s="0" t="s">
        <v>27</v>
      </c>
      <c r="J737" s="0" t="s">
        <v>28</v>
      </c>
      <c r="K737" s="28" t="n">
        <v>0.0713</v>
      </c>
      <c r="L737" s="0" t="str">
        <f aca="false">"0.90 V"</f>
        <v>0.90 V</v>
      </c>
      <c r="M737" s="0" t="str">
        <f aca="false">"13.26 mA cm^{-2}"</f>
        <v>13.26 mA cm^{-2}</v>
      </c>
      <c r="N737" s="4" t="str">
        <f aca="false">"0.598"</f>
        <v>0.598</v>
      </c>
      <c r="O737" s="0" t="s">
        <v>2834</v>
      </c>
    </row>
    <row r="738" customFormat="false" ht="13.8" hidden="false" customHeight="false" outlineLevel="0" collapsed="false">
      <c r="A738" s="0" t="s">
        <v>2835</v>
      </c>
      <c r="B738" s="0" t="n">
        <v>1</v>
      </c>
      <c r="D738" s="4" t="s">
        <v>2836</v>
      </c>
      <c r="E738" s="0" t="s">
        <v>2837</v>
      </c>
      <c r="F738" s="4" t="s">
        <v>2838</v>
      </c>
      <c r="G738" s="4" t="n">
        <v>1</v>
      </c>
      <c r="H738" s="4" t="s">
        <v>195</v>
      </c>
      <c r="J738" s="23" t="s">
        <v>28</v>
      </c>
      <c r="K738" s="0" t="str">
        <f aca="false">"7.6 %"</f>
        <v>7.6 %</v>
      </c>
      <c r="O738" s="0" t="s">
        <v>2839</v>
      </c>
    </row>
    <row r="739" customFormat="false" ht="13.8" hidden="false" customHeight="false" outlineLevel="0" collapsed="false">
      <c r="A739" s="0" t="s">
        <v>2840</v>
      </c>
      <c r="B739" s="0" t="n">
        <v>1</v>
      </c>
      <c r="D739" s="0" t="s">
        <v>2841</v>
      </c>
      <c r="E739" s="0" t="s">
        <v>2842</v>
      </c>
      <c r="F739" s="0" t="s">
        <v>2843</v>
      </c>
      <c r="G739" s="0" t="n">
        <v>1</v>
      </c>
      <c r="H739" s="0" t="s">
        <v>27</v>
      </c>
      <c r="J739" s="0" t="s">
        <v>28</v>
      </c>
      <c r="K739" s="0" t="str">
        <f aca="false">"6.86 %"</f>
        <v>6.86 %</v>
      </c>
      <c r="O739" s="0" t="s">
        <v>2844</v>
      </c>
    </row>
    <row r="740" customFormat="false" ht="13.8" hidden="false" customHeight="false" outlineLevel="0" collapsed="false">
      <c r="A740" s="0" t="s">
        <v>2845</v>
      </c>
      <c r="B740" s="0" t="n">
        <v>1</v>
      </c>
      <c r="D740" s="4" t="s">
        <v>253</v>
      </c>
      <c r="E740" s="0" t="s">
        <v>2846</v>
      </c>
      <c r="F740" s="4" t="s">
        <v>258</v>
      </c>
      <c r="G740" s="0" t="n">
        <v>1</v>
      </c>
      <c r="H740" s="0" t="s">
        <v>76</v>
      </c>
      <c r="J740" s="0" t="s">
        <v>77</v>
      </c>
      <c r="K740" s="35" t="n">
        <v>0.066</v>
      </c>
      <c r="O740" s="0" t="s">
        <v>2847</v>
      </c>
    </row>
    <row r="741" customFormat="false" ht="13.8" hidden="false" customHeight="false" outlineLevel="0" collapsed="false">
      <c r="A741" s="0" t="s">
        <v>2848</v>
      </c>
      <c r="B741" s="0" t="n">
        <v>1</v>
      </c>
      <c r="D741" s="0" t="s">
        <v>2849</v>
      </c>
      <c r="E741" s="0" t="s">
        <v>2850</v>
      </c>
      <c r="F741" s="0" t="s">
        <v>2851</v>
      </c>
      <c r="G741" s="0" t="n">
        <v>1</v>
      </c>
      <c r="H741" s="0" t="s">
        <v>66</v>
      </c>
      <c r="J741" s="0" t="s">
        <v>40</v>
      </c>
      <c r="K741" s="0" t="str">
        <f aca="false">"4.45 %"</f>
        <v>4.45 %</v>
      </c>
      <c r="L741" s="0" t="str">
        <f aca="false">"0.72 V"</f>
        <v>0.72 V</v>
      </c>
      <c r="M741" s="15" t="s">
        <v>2852</v>
      </c>
      <c r="N741" s="31" t="n">
        <v>0.618</v>
      </c>
      <c r="O741" s="0" t="s">
        <v>2853</v>
      </c>
    </row>
    <row r="742" customFormat="false" ht="13.8" hidden="false" customHeight="false" outlineLevel="0" collapsed="false">
      <c r="A742" s="0" t="s">
        <v>2854</v>
      </c>
      <c r="B742" s="0" t="n">
        <v>1</v>
      </c>
      <c r="D742" s="0" t="s">
        <v>2855</v>
      </c>
      <c r="E742" s="0" t="s">
        <v>2856</v>
      </c>
      <c r="F742" s="0" t="s">
        <v>2857</v>
      </c>
      <c r="G742" s="0" t="n">
        <v>1</v>
      </c>
      <c r="H742" s="0" t="s">
        <v>27</v>
      </c>
      <c r="J742" s="0" t="s">
        <v>28</v>
      </c>
      <c r="K742" s="0" t="str">
        <f aca="false">"8.31 %"</f>
        <v>8.31 %</v>
      </c>
      <c r="L742" s="0" t="str">
        <f aca="false">"0.82 V"</f>
        <v>0.82 V</v>
      </c>
      <c r="O742" s="0" t="s">
        <v>2858</v>
      </c>
    </row>
    <row r="743" customFormat="false" ht="13.8" hidden="false" customHeight="false" outlineLevel="0" collapsed="false">
      <c r="A743" s="0" t="s">
        <v>2859</v>
      </c>
      <c r="B743" s="0" t="n">
        <v>1</v>
      </c>
      <c r="D743" s="4" t="s">
        <v>85</v>
      </c>
      <c r="E743" s="0" t="s">
        <v>86</v>
      </c>
      <c r="F743" s="4" t="s">
        <v>87</v>
      </c>
      <c r="G743" s="0" t="n">
        <v>1</v>
      </c>
      <c r="H743" s="27" t="s">
        <v>27</v>
      </c>
      <c r="J743" s="0" t="s">
        <v>2860</v>
      </c>
      <c r="K743" s="0" t="str">
        <f aca="false">"8.02 %"</f>
        <v>8.02 %</v>
      </c>
      <c r="O743" s="0" t="s">
        <v>2861</v>
      </c>
    </row>
    <row r="744" customFormat="false" ht="13.8" hidden="false" customHeight="false" outlineLevel="0" collapsed="false">
      <c r="A744" s="0" t="s">
        <v>2859</v>
      </c>
      <c r="B744" s="0" t="n">
        <v>1</v>
      </c>
      <c r="D744" s="0" t="s">
        <v>16</v>
      </c>
      <c r="E744" s="0" t="s">
        <v>17</v>
      </c>
      <c r="F744" s="0" t="s">
        <v>116</v>
      </c>
      <c r="G744" s="0" t="n">
        <v>1</v>
      </c>
      <c r="H744" s="0" t="s">
        <v>76</v>
      </c>
      <c r="J744" s="0" t="s">
        <v>2862</v>
      </c>
      <c r="K744" s="9" t="n">
        <v>0.0403</v>
      </c>
    </row>
    <row r="745" customFormat="false" ht="13.8" hidden="false" customHeight="false" outlineLevel="0" collapsed="false">
      <c r="A745" s="0" t="s">
        <v>2863</v>
      </c>
      <c r="B745" s="0" t="n">
        <v>1</v>
      </c>
      <c r="D745" s="0" t="s">
        <v>2864</v>
      </c>
      <c r="E745" s="0" t="s">
        <v>2865</v>
      </c>
      <c r="F745" s="0" t="s">
        <v>2866</v>
      </c>
      <c r="G745" s="0" t="n">
        <v>0</v>
      </c>
      <c r="H745" s="4" t="s">
        <v>2867</v>
      </c>
      <c r="I745" s="0" t="s">
        <v>1713</v>
      </c>
      <c r="J745" s="4" t="s">
        <v>1714</v>
      </c>
      <c r="K745" s="0" t="str">
        <f aca="false">"8.31 %"</f>
        <v>8.31 %</v>
      </c>
      <c r="L745" s="0" t="str">
        <f aca="false">"0.90 V"</f>
        <v>0.90 V</v>
      </c>
      <c r="M745" s="0" t="str">
        <f aca="false">"14.07 mA cm^{-2}"</f>
        <v>14.07 mA cm^{-2}</v>
      </c>
      <c r="N745" s="0" t="str">
        <f aca="false">"66.0 %"</f>
        <v>66.0 %</v>
      </c>
      <c r="O745" s="0" t="s">
        <v>2868</v>
      </c>
    </row>
    <row r="746" customFormat="false" ht="13.8" hidden="false" customHeight="false" outlineLevel="0" collapsed="false">
      <c r="A746" s="0" t="s">
        <v>2863</v>
      </c>
      <c r="B746" s="0" t="n">
        <v>1</v>
      </c>
      <c r="D746" s="0" t="s">
        <v>2869</v>
      </c>
      <c r="E746" s="0" t="s">
        <v>2870</v>
      </c>
      <c r="F746" s="0" t="s">
        <v>2871</v>
      </c>
      <c r="G746" s="0" t="n">
        <v>0</v>
      </c>
      <c r="H746" s="4" t="s">
        <v>2867</v>
      </c>
      <c r="I746" s="0" t="s">
        <v>1713</v>
      </c>
      <c r="J746" s="4" t="s">
        <v>1714</v>
      </c>
      <c r="K746" s="0" t="str">
        <f aca="false">"9.48 %"</f>
        <v>9.48 %</v>
      </c>
      <c r="L746" s="0" t="str">
        <f aca="false">"0.93 V"</f>
        <v>0.93 V</v>
      </c>
      <c r="M746" s="0" t="str">
        <f aca="false">"15.92 mA cm^{-2}"</f>
        <v>15.92 mA cm^{-2}</v>
      </c>
      <c r="N746" s="0" t="str">
        <f aca="false">"63.9 %"</f>
        <v>63.9 %</v>
      </c>
      <c r="O746" s="0" t="s">
        <v>2872</v>
      </c>
    </row>
    <row r="747" customFormat="false" ht="18" hidden="false" customHeight="false" outlineLevel="0" collapsed="false">
      <c r="A747" s="0" t="s">
        <v>2873</v>
      </c>
      <c r="B747" s="0" t="n">
        <v>1</v>
      </c>
      <c r="D747" s="4" t="s">
        <v>453</v>
      </c>
      <c r="E747" s="6" t="s">
        <v>454</v>
      </c>
      <c r="F747" s="4" t="s">
        <v>2874</v>
      </c>
      <c r="G747" s="4" t="n">
        <v>1</v>
      </c>
      <c r="H747" s="4" t="s">
        <v>195</v>
      </c>
      <c r="J747" s="0" t="s">
        <v>28</v>
      </c>
      <c r="K747" s="0" t="str">
        <f aca="false">"3.0 %"</f>
        <v>3.0 %</v>
      </c>
      <c r="O747" s="0" t="s">
        <v>2875</v>
      </c>
    </row>
    <row r="748" customFormat="false" ht="13.8" hidden="false" customHeight="false" outlineLevel="0" collapsed="false">
      <c r="A748" s="0" t="s">
        <v>2873</v>
      </c>
      <c r="B748" s="0" t="n">
        <v>1</v>
      </c>
      <c r="D748" s="4" t="s">
        <v>2876</v>
      </c>
      <c r="E748" s="0" t="s">
        <v>2877</v>
      </c>
      <c r="F748" s="4" t="s">
        <v>2878</v>
      </c>
      <c r="G748" s="4" t="n">
        <v>1</v>
      </c>
      <c r="H748" s="4" t="s">
        <v>195</v>
      </c>
      <c r="J748" s="0" t="s">
        <v>28</v>
      </c>
      <c r="O748" s="0" t="s">
        <v>2879</v>
      </c>
    </row>
    <row r="749" customFormat="false" ht="13.8" hidden="false" customHeight="false" outlineLevel="0" collapsed="false">
      <c r="A749" s="0" t="s">
        <v>2880</v>
      </c>
      <c r="B749" s="0" t="n">
        <v>1</v>
      </c>
      <c r="D749" s="4" t="s">
        <v>2881</v>
      </c>
      <c r="E749" s="0" t="s">
        <v>2882</v>
      </c>
      <c r="F749" s="4" t="s">
        <v>40</v>
      </c>
      <c r="G749" s="0" t="n">
        <v>0</v>
      </c>
      <c r="H749" s="0" t="s">
        <v>2883</v>
      </c>
      <c r="I749" s="0" t="s">
        <v>2884</v>
      </c>
      <c r="J749" s="0" t="s">
        <v>2885</v>
      </c>
      <c r="K749" s="0" t="str">
        <f aca="false">"4.93 %"</f>
        <v>4.93 %</v>
      </c>
      <c r="O749" s="0" t="s">
        <v>2886</v>
      </c>
    </row>
    <row r="750" customFormat="false" ht="13.8" hidden="false" customHeight="false" outlineLevel="0" collapsed="false">
      <c r="A750" s="0" t="s">
        <v>2880</v>
      </c>
      <c r="B750" s="0" t="n">
        <v>1</v>
      </c>
      <c r="D750" s="27" t="s">
        <v>2887</v>
      </c>
      <c r="E750" s="0" t="s">
        <v>2888</v>
      </c>
      <c r="F750" s="4" t="s">
        <v>40</v>
      </c>
      <c r="G750" s="0" t="n">
        <v>0</v>
      </c>
      <c r="H750" s="0" t="s">
        <v>2883</v>
      </c>
      <c r="I750" s="0" t="s">
        <v>2884</v>
      </c>
      <c r="J750" s="0" t="s">
        <v>2885</v>
      </c>
      <c r="K750" s="9" t="n">
        <v>0.0481</v>
      </c>
    </row>
    <row r="751" customFormat="false" ht="13.8" hidden="false" customHeight="false" outlineLevel="0" collapsed="false">
      <c r="A751" s="0" t="s">
        <v>2880</v>
      </c>
      <c r="B751" s="0" t="n">
        <v>1</v>
      </c>
      <c r="D751" s="27" t="s">
        <v>2889</v>
      </c>
      <c r="E751" s="0" t="s">
        <v>2890</v>
      </c>
      <c r="F751" s="4" t="s">
        <v>40</v>
      </c>
      <c r="G751" s="0" t="n">
        <v>0</v>
      </c>
      <c r="H751" s="0" t="s">
        <v>2883</v>
      </c>
      <c r="I751" s="0" t="s">
        <v>2884</v>
      </c>
      <c r="J751" s="0" t="s">
        <v>2885</v>
      </c>
      <c r="K751" s="9" t="n">
        <v>0.0613</v>
      </c>
    </row>
    <row r="752" customFormat="false" ht="13.8" hidden="false" customHeight="false" outlineLevel="0" collapsed="false">
      <c r="A752" s="0" t="s">
        <v>2891</v>
      </c>
      <c r="C752" s="0" t="n">
        <v>1</v>
      </c>
      <c r="D752" s="0" t="s">
        <v>2892</v>
      </c>
      <c r="E752" s="0" t="s">
        <v>2893</v>
      </c>
      <c r="F752" s="0" t="s">
        <v>2894</v>
      </c>
      <c r="G752" s="0" t="n">
        <v>0</v>
      </c>
      <c r="H752" s="0" t="s">
        <v>2895</v>
      </c>
      <c r="I752" s="0" t="s">
        <v>2893</v>
      </c>
      <c r="J752" s="0" t="s">
        <v>2894</v>
      </c>
      <c r="K752" s="0" t="str">
        <f aca="false">"0.49 %"</f>
        <v>0.49 %</v>
      </c>
      <c r="O752" s="0" t="s">
        <v>2896</v>
      </c>
    </row>
    <row r="753" customFormat="false" ht="13.8" hidden="false" customHeight="false" outlineLevel="0" collapsed="false">
      <c r="A753" s="0" t="s">
        <v>2897</v>
      </c>
      <c r="B753" s="0" t="n">
        <v>1</v>
      </c>
      <c r="D753" s="0" t="s">
        <v>2898</v>
      </c>
      <c r="E753" s="0" t="s">
        <v>2899</v>
      </c>
      <c r="F753" s="0" t="s">
        <v>2900</v>
      </c>
      <c r="G753" s="0" t="n">
        <v>1</v>
      </c>
      <c r="H753" s="0" t="s">
        <v>27</v>
      </c>
      <c r="J753" s="0" t="s">
        <v>28</v>
      </c>
      <c r="K753" s="0" t="str">
        <f aca="false">"5.31 %"</f>
        <v>5.31 %</v>
      </c>
      <c r="L753" s="0" t="str">
        <f aca="false">"0.89 V"</f>
        <v>0.89 V</v>
      </c>
      <c r="M753" s="0" t="str">
        <f aca="false">"9.03 mA cm^{-2}"</f>
        <v>9.03 mA cm^{-2}</v>
      </c>
      <c r="N753" s="0" t="str">
        <f aca="false">"3.45 %"</f>
        <v>3.45 %</v>
      </c>
      <c r="O753" s="0" t="s">
        <v>2901</v>
      </c>
    </row>
    <row r="754" customFormat="false" ht="13.8" hidden="false" customHeight="false" outlineLevel="0" collapsed="false">
      <c r="A754" s="0" t="s">
        <v>2897</v>
      </c>
      <c r="B754" s="0" t="n">
        <v>1</v>
      </c>
      <c r="D754" s="0" t="s">
        <v>2902</v>
      </c>
      <c r="E754" s="0" t="s">
        <v>2903</v>
      </c>
      <c r="F754" s="0" t="s">
        <v>2904</v>
      </c>
      <c r="G754" s="0" t="n">
        <v>1</v>
      </c>
      <c r="H754" s="0" t="s">
        <v>27</v>
      </c>
      <c r="J754" s="0" t="s">
        <v>28</v>
      </c>
      <c r="K754" s="9" t="n">
        <v>0.0345</v>
      </c>
    </row>
    <row r="755" customFormat="false" ht="13.8" hidden="false" customHeight="false" outlineLevel="0" collapsed="false">
      <c r="A755" s="0" t="s">
        <v>2905</v>
      </c>
      <c r="B755" s="0" t="n">
        <v>1</v>
      </c>
      <c r="D755" s="4" t="s">
        <v>2906</v>
      </c>
      <c r="E755" s="0" t="s">
        <v>2907</v>
      </c>
      <c r="F755" s="4" t="s">
        <v>2908</v>
      </c>
      <c r="G755" s="0" t="n">
        <v>1</v>
      </c>
      <c r="H755" s="0" t="s">
        <v>27</v>
      </c>
      <c r="J755" s="0" t="s">
        <v>28</v>
      </c>
      <c r="K755" s="0" t="str">
        <f aca="false">"5.90 %"</f>
        <v>5.90 %</v>
      </c>
      <c r="O755" s="0" t="s">
        <v>2909</v>
      </c>
    </row>
    <row r="756" customFormat="false" ht="13.8" hidden="false" customHeight="false" outlineLevel="0" collapsed="false">
      <c r="A756" s="0" t="s">
        <v>2910</v>
      </c>
      <c r="B756" s="0" t="n">
        <v>1</v>
      </c>
      <c r="D756" s="0" t="s">
        <v>2911</v>
      </c>
      <c r="E756" s="0" t="s">
        <v>2912</v>
      </c>
      <c r="F756" s="0" t="s">
        <v>2913</v>
      </c>
      <c r="G756" s="0" t="n">
        <v>1</v>
      </c>
      <c r="H756" s="0" t="s">
        <v>27</v>
      </c>
      <c r="J756" s="0" t="s">
        <v>28</v>
      </c>
      <c r="K756" s="0" t="str">
        <f aca="false">"6.1 %"</f>
        <v>6.1 %</v>
      </c>
      <c r="L756" s="0" t="str">
        <f aca="false">"0.75 V"</f>
        <v>0.75 V</v>
      </c>
      <c r="M756" s="0" t="str">
        <f aca="false">"14.6 mA cm^{-2}"</f>
        <v>14.6 mA cm^{-2}</v>
      </c>
      <c r="N756" s="0" t="str">
        <f aca="false">"56.1 %"</f>
        <v>56.1 %</v>
      </c>
      <c r="O756" s="0" t="s">
        <v>2914</v>
      </c>
    </row>
    <row r="757" customFormat="false" ht="13.8" hidden="false" customHeight="false" outlineLevel="0" collapsed="false">
      <c r="A757" s="0" t="s">
        <v>2915</v>
      </c>
      <c r="B757" s="0" t="n">
        <v>1</v>
      </c>
      <c r="D757" s="0" t="s">
        <v>2916</v>
      </c>
      <c r="E757" s="0" t="s">
        <v>2917</v>
      </c>
      <c r="F757" s="4" t="s">
        <v>2918</v>
      </c>
      <c r="G757" s="0" t="n">
        <v>1</v>
      </c>
      <c r="H757" s="0" t="s">
        <v>33</v>
      </c>
      <c r="J757" s="0" t="s">
        <v>34</v>
      </c>
      <c r="K757" s="0" t="str">
        <f aca="false">"4.0 %"</f>
        <v>4.0 %</v>
      </c>
      <c r="L757" s="15" t="str">
        <f aca="false">"0.80 eV"</f>
        <v>0.80 eV</v>
      </c>
      <c r="M757" s="0" t="str">
        <f aca="false">"11.6 mA cm^{-2}"</f>
        <v>11.6 mA cm^{-2}</v>
      </c>
      <c r="N757" s="31" t="str">
        <f aca="false">"43.0 %"</f>
        <v>43.0 %</v>
      </c>
      <c r="O757" s="0" t="s">
        <v>2919</v>
      </c>
    </row>
    <row r="758" customFormat="false" ht="13.8" hidden="false" customHeight="false" outlineLevel="0" collapsed="false">
      <c r="A758" s="0" t="s">
        <v>2920</v>
      </c>
      <c r="B758" s="0" t="n">
        <v>1</v>
      </c>
      <c r="D758" s="4" t="s">
        <v>2921</v>
      </c>
      <c r="E758" s="0" t="s">
        <v>2922</v>
      </c>
      <c r="F758" s="4" t="s">
        <v>2923</v>
      </c>
      <c r="G758" s="0" t="n">
        <v>1</v>
      </c>
      <c r="H758" s="0" t="s">
        <v>27</v>
      </c>
      <c r="J758" s="0" t="s">
        <v>28</v>
      </c>
      <c r="K758" s="0" t="str">
        <f aca="false">"4.42 %"</f>
        <v>4.42 %</v>
      </c>
      <c r="O758" s="0" t="s">
        <v>2924</v>
      </c>
    </row>
    <row r="759" customFormat="false" ht="13.8" hidden="false" customHeight="false" outlineLevel="0" collapsed="false">
      <c r="A759" s="0" t="s">
        <v>2920</v>
      </c>
      <c r="B759" s="0" t="n">
        <v>1</v>
      </c>
      <c r="D759" s="27" t="s">
        <v>2921</v>
      </c>
      <c r="E759" s="0" t="s">
        <v>2922</v>
      </c>
      <c r="F759" s="27" t="s">
        <v>2923</v>
      </c>
      <c r="G759" s="0" t="n">
        <v>1</v>
      </c>
      <c r="H759" s="0" t="s">
        <v>76</v>
      </c>
      <c r="J759" s="0" t="s">
        <v>77</v>
      </c>
      <c r="K759" s="9" t="n">
        <v>0.0375</v>
      </c>
    </row>
    <row r="760" customFormat="false" ht="13.8" hidden="false" customHeight="false" outlineLevel="0" collapsed="false">
      <c r="A760" s="0" t="s">
        <v>2920</v>
      </c>
      <c r="B760" s="0" t="n">
        <v>1</v>
      </c>
      <c r="D760" s="0" t="s">
        <v>2925</v>
      </c>
      <c r="E760" s="0" t="s">
        <v>2926</v>
      </c>
      <c r="F760" s="0" t="s">
        <v>2927</v>
      </c>
      <c r="G760" s="0" t="n">
        <v>1</v>
      </c>
      <c r="H760" s="0" t="s">
        <v>76</v>
      </c>
      <c r="J760" s="0" t="s">
        <v>77</v>
      </c>
      <c r="K760" s="9" t="n">
        <v>0.0263</v>
      </c>
    </row>
    <row r="761" customFormat="false" ht="13.8" hidden="false" customHeight="false" outlineLevel="0" collapsed="false">
      <c r="A761" s="0" t="s">
        <v>2928</v>
      </c>
      <c r="B761" s="0" t="n">
        <v>1</v>
      </c>
      <c r="D761" s="4" t="s">
        <v>2929</v>
      </c>
      <c r="E761" s="0" t="s">
        <v>2930</v>
      </c>
      <c r="F761" s="4" t="s">
        <v>2931</v>
      </c>
      <c r="G761" s="0" t="n">
        <v>1</v>
      </c>
      <c r="H761" s="0" t="s">
        <v>33</v>
      </c>
      <c r="J761" s="0" t="s">
        <v>34</v>
      </c>
      <c r="K761" s="0" t="str">
        <f aca="false">"3.57 %"</f>
        <v>3.57 %</v>
      </c>
      <c r="L761" s="0" t="str">
        <f aca="false">"0.78 V"</f>
        <v>0.78 V</v>
      </c>
      <c r="M761" s="0" t="str">
        <f aca="false">"8.83 mA cm^{-2}"</f>
        <v>8.83 mA cm^{-2}</v>
      </c>
      <c r="N761" s="0" t="str">
        <f aca="false">"53 %"</f>
        <v>53 %</v>
      </c>
      <c r="O761" s="0" t="s">
        <v>2932</v>
      </c>
    </row>
    <row r="762" customFormat="false" ht="13.8" hidden="false" customHeight="false" outlineLevel="0" collapsed="false">
      <c r="A762" s="0" t="s">
        <v>2933</v>
      </c>
      <c r="B762" s="0" t="n">
        <v>1</v>
      </c>
      <c r="D762" s="0" t="s">
        <v>2934</v>
      </c>
      <c r="E762" s="0" t="s">
        <v>2935</v>
      </c>
      <c r="F762" s="0" t="s">
        <v>2936</v>
      </c>
      <c r="G762" s="0" t="n">
        <v>1</v>
      </c>
      <c r="H762" s="0" t="s">
        <v>76</v>
      </c>
      <c r="J762" s="0" t="s">
        <v>77</v>
      </c>
      <c r="K762" s="0" t="str">
        <f aca="false">"5.22 %"</f>
        <v>5.22 %</v>
      </c>
      <c r="L762" s="0" t="str">
        <f aca="false">"0.89 V"</f>
        <v>0.89 V</v>
      </c>
      <c r="M762" s="0" t="str">
        <f aca="false">"8.21 mA cm^{-2}"</f>
        <v>8.21 mA cm^{-2}</v>
      </c>
      <c r="N762" s="0" t="str">
        <f aca="false">"0.72"</f>
        <v>0.72</v>
      </c>
      <c r="O762" s="0" t="s">
        <v>2937</v>
      </c>
    </row>
    <row r="763" customFormat="false" ht="13.8" hidden="false" customHeight="false" outlineLevel="0" collapsed="false">
      <c r="A763" s="0" t="s">
        <v>2938</v>
      </c>
      <c r="B763" s="0" t="n">
        <v>1</v>
      </c>
      <c r="D763" s="4" t="s">
        <v>2939</v>
      </c>
      <c r="E763" s="0" t="s">
        <v>2940</v>
      </c>
      <c r="F763" s="4" t="s">
        <v>2941</v>
      </c>
      <c r="G763" s="0" t="n">
        <v>1</v>
      </c>
      <c r="H763" s="0" t="s">
        <v>33</v>
      </c>
      <c r="J763" s="0" t="s">
        <v>34</v>
      </c>
      <c r="K763" s="0" t="str">
        <f aca="false">"5.62 %"</f>
        <v>5.62 %</v>
      </c>
      <c r="M763" s="0" t="str">
        <f aca="false">"15 mA cm^{-2}"</f>
        <v>15 mA cm^{-2}</v>
      </c>
      <c r="O763" s="0" t="s">
        <v>2942</v>
      </c>
    </row>
    <row r="764" customFormat="false" ht="13.8" hidden="false" customHeight="false" outlineLevel="0" collapsed="false">
      <c r="A764" s="0" t="s">
        <v>2943</v>
      </c>
      <c r="B764" s="0" t="n">
        <v>1</v>
      </c>
      <c r="D764" s="0" t="s">
        <v>128</v>
      </c>
      <c r="E764" s="0" t="s">
        <v>2944</v>
      </c>
      <c r="F764" s="0" t="s">
        <v>130</v>
      </c>
      <c r="G764" s="0" t="n">
        <v>1</v>
      </c>
      <c r="H764" s="0" t="s">
        <v>27</v>
      </c>
      <c r="J764" s="0" t="s">
        <v>28</v>
      </c>
      <c r="K764" s="0" t="str">
        <f aca="false">"3.41 %"</f>
        <v>3.41 %</v>
      </c>
      <c r="L764" s="0" t="str">
        <f aca="false">"0.85 V"</f>
        <v>0.85 V</v>
      </c>
      <c r="M764" s="0" t="str">
        <f aca="false">"7.57 mA cm^{-2}"</f>
        <v>7.57 mA cm^{-2}</v>
      </c>
      <c r="N764" s="0" t="str">
        <f aca="false">"53 %"</f>
        <v>53 %</v>
      </c>
      <c r="O764" s="0" t="s">
        <v>2945</v>
      </c>
    </row>
    <row r="765" customFormat="false" ht="13.8" hidden="false" customHeight="false" outlineLevel="0" collapsed="false">
      <c r="A765" s="0" t="s">
        <v>2943</v>
      </c>
      <c r="B765" s="0" t="n">
        <v>1</v>
      </c>
      <c r="D765" s="27" t="s">
        <v>124</v>
      </c>
      <c r="E765" s="0" t="s">
        <v>2946</v>
      </c>
      <c r="F765" s="27" t="s">
        <v>427</v>
      </c>
      <c r="G765" s="0" t="n">
        <v>1</v>
      </c>
      <c r="H765" s="0" t="s">
        <v>27</v>
      </c>
      <c r="J765" s="0" t="s">
        <v>28</v>
      </c>
    </row>
    <row r="766" customFormat="false" ht="13.8" hidden="false" customHeight="false" outlineLevel="0" collapsed="false">
      <c r="A766" s="0" t="s">
        <v>2943</v>
      </c>
      <c r="B766" s="0" t="n">
        <v>1</v>
      </c>
      <c r="D766" s="0" t="s">
        <v>253</v>
      </c>
      <c r="E766" s="0" t="s">
        <v>2947</v>
      </c>
      <c r="F766" s="0" t="s">
        <v>258</v>
      </c>
      <c r="G766" s="0" t="n">
        <v>1</v>
      </c>
      <c r="H766" s="0" t="s">
        <v>27</v>
      </c>
      <c r="J766" s="0" t="s">
        <v>28</v>
      </c>
    </row>
    <row r="767" customFormat="false" ht="13.8" hidden="false" customHeight="false" outlineLevel="0" collapsed="false">
      <c r="A767" s="0" t="s">
        <v>2948</v>
      </c>
      <c r="B767" s="0" t="n">
        <v>1</v>
      </c>
      <c r="D767" s="0" t="s">
        <v>2949</v>
      </c>
      <c r="E767" s="0" t="s">
        <v>2950</v>
      </c>
      <c r="F767" s="0" t="s">
        <v>2951</v>
      </c>
      <c r="G767" s="0" t="n">
        <v>1</v>
      </c>
      <c r="H767" s="0" t="s">
        <v>27</v>
      </c>
      <c r="J767" s="0" t="s">
        <v>28</v>
      </c>
      <c r="K767" s="0" t="str">
        <f aca="false">"7.34 %"</f>
        <v>7.34 %</v>
      </c>
      <c r="L767" s="15" t="s">
        <v>344</v>
      </c>
      <c r="M767" s="0" t="str">
        <f aca="false">"15.8 mA cm^{-2}"</f>
        <v>15.8 mA cm^{-2}</v>
      </c>
      <c r="N767" s="0" t="str">
        <f aca="false">"66.4 %"</f>
        <v>66.4 %</v>
      </c>
      <c r="O767" s="0" t="s">
        <v>2952</v>
      </c>
    </row>
    <row r="768" customFormat="false" ht="13.8" hidden="false" customHeight="false" outlineLevel="0" collapsed="false">
      <c r="A768" s="0" t="s">
        <v>2953</v>
      </c>
      <c r="B768" s="0" t="n">
        <v>1</v>
      </c>
      <c r="D768" s="4" t="s">
        <v>2954</v>
      </c>
      <c r="E768" s="0" t="s">
        <v>2955</v>
      </c>
      <c r="F768" s="4" t="s">
        <v>2956</v>
      </c>
      <c r="G768" s="0" t="n">
        <v>1</v>
      </c>
      <c r="H768" s="0" t="s">
        <v>66</v>
      </c>
      <c r="J768" s="0" t="s">
        <v>67</v>
      </c>
      <c r="K768" s="0" t="str">
        <f aca="false">"3.12 %"</f>
        <v>3.12 %</v>
      </c>
      <c r="O768" s="0" t="s">
        <v>2957</v>
      </c>
    </row>
    <row r="769" customFormat="false" ht="13.8" hidden="false" customHeight="false" outlineLevel="0" collapsed="false">
      <c r="A769" s="0" t="s">
        <v>2958</v>
      </c>
      <c r="B769" s="0" t="n">
        <v>1</v>
      </c>
      <c r="D769" s="0" t="s">
        <v>2959</v>
      </c>
      <c r="E769" s="0" t="s">
        <v>2960</v>
      </c>
      <c r="F769" s="0" t="s">
        <v>2961</v>
      </c>
      <c r="G769" s="0" t="n">
        <v>1</v>
      </c>
      <c r="H769" s="0" t="s">
        <v>27</v>
      </c>
      <c r="J769" s="0" t="s">
        <v>28</v>
      </c>
      <c r="K769" s="0" t="str">
        <f aca="false">"5.6 %"</f>
        <v>5.6 %</v>
      </c>
      <c r="L769" s="0" t="str">
        <f aca="false">"0.80 V"</f>
        <v>0.80 V</v>
      </c>
      <c r="M769" s="0" t="str">
        <f aca="false">"12.30 mA cm^{-2}"</f>
        <v>12.30 mA cm^{-2}</v>
      </c>
      <c r="N769" s="0" t="str">
        <f aca="false">"0.57"</f>
        <v>0.57</v>
      </c>
      <c r="O769" s="0" t="s">
        <v>2962</v>
      </c>
    </row>
    <row r="770" customFormat="false" ht="13.8" hidden="false" customHeight="false" outlineLevel="0" collapsed="false">
      <c r="A770" s="0" t="s">
        <v>2963</v>
      </c>
      <c r="B770" s="0" t="n">
        <v>1</v>
      </c>
      <c r="D770" s="0" t="s">
        <v>2964</v>
      </c>
      <c r="E770" s="0" t="s">
        <v>2965</v>
      </c>
      <c r="F770" s="0" t="s">
        <v>2966</v>
      </c>
      <c r="G770" s="0" t="n">
        <v>1</v>
      </c>
      <c r="H770" s="0" t="s">
        <v>27</v>
      </c>
      <c r="J770" s="0" t="s">
        <v>28</v>
      </c>
      <c r="K770" s="0" t="str">
        <f aca="false">"3.9 %"</f>
        <v>3.9 %</v>
      </c>
      <c r="O770" s="0" t="s">
        <v>2967</v>
      </c>
    </row>
    <row r="771" customFormat="false" ht="13.8" hidden="false" customHeight="false" outlineLevel="0" collapsed="false">
      <c r="A771" s="0" t="s">
        <v>2968</v>
      </c>
      <c r="B771" s="0" t="n">
        <v>1</v>
      </c>
      <c r="D771" s="4" t="s">
        <v>2969</v>
      </c>
      <c r="E771" s="0" t="s">
        <v>2970</v>
      </c>
      <c r="F771" s="4" t="s">
        <v>2971</v>
      </c>
      <c r="G771" s="0" t="n">
        <v>1</v>
      </c>
      <c r="H771" s="0" t="s">
        <v>27</v>
      </c>
      <c r="J771" s="0" t="s">
        <v>28</v>
      </c>
      <c r="K771" s="0" t="str">
        <f aca="false">"4.11 %"</f>
        <v>4.11 %</v>
      </c>
      <c r="O771" s="0" t="s">
        <v>2972</v>
      </c>
    </row>
    <row r="772" customFormat="false" ht="13.8" hidden="false" customHeight="false" outlineLevel="0" collapsed="false">
      <c r="A772" s="0" t="s">
        <v>2973</v>
      </c>
      <c r="B772" s="0" t="n">
        <v>1</v>
      </c>
      <c r="D772" s="0" t="s">
        <v>2974</v>
      </c>
      <c r="E772" s="0" t="s">
        <v>2975</v>
      </c>
      <c r="F772" s="0" t="s">
        <v>2976</v>
      </c>
      <c r="G772" s="0" t="n">
        <v>1</v>
      </c>
      <c r="H772" s="0" t="s">
        <v>27</v>
      </c>
      <c r="J772" s="0" t="s">
        <v>28</v>
      </c>
      <c r="K772" s="0" t="str">
        <f aca="false">"5.53 %"</f>
        <v>5.53 %</v>
      </c>
      <c r="L772" s="0" t="str">
        <f aca="false">"1 V"</f>
        <v>1 V</v>
      </c>
      <c r="O772" s="0" t="s">
        <v>2977</v>
      </c>
    </row>
    <row r="773" customFormat="false" ht="13.8" hidden="false" customHeight="false" outlineLevel="0" collapsed="false">
      <c r="A773" s="0" t="s">
        <v>2978</v>
      </c>
      <c r="B773" s="0" t="n">
        <v>1</v>
      </c>
      <c r="D773" s="4" t="s">
        <v>2979</v>
      </c>
      <c r="E773" s="0" t="s">
        <v>2980</v>
      </c>
      <c r="F773" s="4" t="s">
        <v>2981</v>
      </c>
      <c r="G773" s="0" t="n">
        <v>1</v>
      </c>
      <c r="H773" s="0" t="s">
        <v>27</v>
      </c>
      <c r="J773" s="0" t="s">
        <v>2982</v>
      </c>
      <c r="K773" s="0" t="str">
        <f aca="false">"6.27 %"</f>
        <v>6.27 %</v>
      </c>
      <c r="O773" s="0" t="s">
        <v>2983</v>
      </c>
    </row>
    <row r="774" customFormat="false" ht="13.8" hidden="false" customHeight="false" outlineLevel="0" collapsed="false">
      <c r="A774" s="0" t="s">
        <v>2984</v>
      </c>
      <c r="B774" s="0" t="n">
        <v>1</v>
      </c>
      <c r="D774" s="0" t="s">
        <v>2985</v>
      </c>
      <c r="E774" s="0" t="s">
        <v>2986</v>
      </c>
      <c r="F774" s="0" t="s">
        <v>2987</v>
      </c>
      <c r="G774" s="0" t="n">
        <v>1</v>
      </c>
      <c r="H774" s="0" t="s">
        <v>66</v>
      </c>
      <c r="J774" s="0" t="s">
        <v>67</v>
      </c>
      <c r="K774" s="0" t="str">
        <f aca="false">"1.53 %"</f>
        <v>1.53 %</v>
      </c>
      <c r="L774" s="0" t="str">
        <f aca="false">"0.6V"</f>
        <v>0.6V</v>
      </c>
      <c r="M774" s="0" t="str">
        <f aca="false">"6.83 mA cm^{-2}"</f>
        <v>6.83 mA cm^{-2}</v>
      </c>
      <c r="N774" s="0" t="str">
        <f aca="false">"0.374"</f>
        <v>0.374</v>
      </c>
      <c r="O774" s="0" t="s">
        <v>2988</v>
      </c>
    </row>
    <row r="775" customFormat="false" ht="13.8" hidden="false" customHeight="false" outlineLevel="0" collapsed="false">
      <c r="A775" s="0" t="s">
        <v>2989</v>
      </c>
      <c r="B775" s="0" t="n">
        <v>1</v>
      </c>
      <c r="D775" s="4" t="s">
        <v>2990</v>
      </c>
      <c r="E775" s="0" t="s">
        <v>2991</v>
      </c>
      <c r="F775" s="4" t="s">
        <v>2992</v>
      </c>
      <c r="G775" s="0" t="n">
        <v>1</v>
      </c>
      <c r="H775" s="0" t="s">
        <v>66</v>
      </c>
      <c r="J775" s="0" t="s">
        <v>67</v>
      </c>
      <c r="O775" s="0" t="s">
        <v>2993</v>
      </c>
    </row>
    <row r="776" customFormat="false" ht="13.8" hidden="false" customHeight="false" outlineLevel="0" collapsed="false">
      <c r="A776" s="0" t="s">
        <v>2989</v>
      </c>
      <c r="B776" s="0" t="n">
        <v>1</v>
      </c>
      <c r="D776" s="0" t="s">
        <v>2994</v>
      </c>
      <c r="E776" s="0" t="s">
        <v>2995</v>
      </c>
      <c r="F776" s="0" t="s">
        <v>2996</v>
      </c>
      <c r="G776" s="0" t="n">
        <v>1</v>
      </c>
      <c r="H776" s="0" t="s">
        <v>66</v>
      </c>
      <c r="J776" s="0" t="s">
        <v>67</v>
      </c>
      <c r="K776" s="0" t="str">
        <f aca="false">"1.52 %"</f>
        <v>1.52 %</v>
      </c>
      <c r="L776" s="15" t="s">
        <v>683</v>
      </c>
      <c r="M776" s="0" t="str">
        <f aca="false">"5.67 mA cm^{-2}"</f>
        <v>5.67 mA cm^{-2}</v>
      </c>
      <c r="O776" s="0" t="s">
        <v>2997</v>
      </c>
    </row>
    <row r="777" customFormat="false" ht="13.8" hidden="false" customHeight="false" outlineLevel="0" collapsed="false">
      <c r="A777" s="0" t="s">
        <v>2998</v>
      </c>
      <c r="B777" s="0" t="n">
        <v>1</v>
      </c>
      <c r="D777" s="4" t="s">
        <v>2999</v>
      </c>
      <c r="E777" s="0" t="s">
        <v>3000</v>
      </c>
      <c r="F777" s="4" t="s">
        <v>3001</v>
      </c>
      <c r="G777" s="0" t="n">
        <v>1</v>
      </c>
      <c r="H777" s="0" t="s">
        <v>3002</v>
      </c>
      <c r="J777" s="0" t="s">
        <v>3003</v>
      </c>
      <c r="K777" s="0" t="str">
        <f aca="false">"1.49 %"</f>
        <v>1.49 %</v>
      </c>
      <c r="L777" s="0" t="str">
        <f aca="false">"0.72 V"</f>
        <v>0.72 V</v>
      </c>
      <c r="M777" s="0" t="str">
        <f aca="false">"4.77 mA cm^{-2}"</f>
        <v>4.77 mA cm^{-2}</v>
      </c>
      <c r="O777" s="0" t="s">
        <v>3004</v>
      </c>
    </row>
    <row r="778" customFormat="false" ht="13.8" hidden="false" customHeight="false" outlineLevel="0" collapsed="false">
      <c r="A778" s="0" t="s">
        <v>3005</v>
      </c>
      <c r="B778" s="0" t="n">
        <v>1</v>
      </c>
      <c r="D778" s="0" t="s">
        <v>3006</v>
      </c>
      <c r="E778" s="0" t="s">
        <v>3007</v>
      </c>
      <c r="F778" s="0" t="s">
        <v>3008</v>
      </c>
      <c r="G778" s="0" t="n">
        <v>1</v>
      </c>
      <c r="H778" s="4" t="s">
        <v>117</v>
      </c>
      <c r="J778" s="4" t="s">
        <v>118</v>
      </c>
      <c r="K778" s="0" t="str">
        <f aca="false">"4.99 %"</f>
        <v>4.99 %</v>
      </c>
      <c r="L778" s="0" t="str">
        <f aca="false">"0.85 V"</f>
        <v>0.85 V</v>
      </c>
      <c r="O778" s="0" t="s">
        <v>3009</v>
      </c>
    </row>
    <row r="779" customFormat="false" ht="13.8" hidden="false" customHeight="false" outlineLevel="0" collapsed="false">
      <c r="A779" s="0" t="s">
        <v>3005</v>
      </c>
      <c r="B779" s="0" t="n">
        <v>1</v>
      </c>
      <c r="D779" s="0" t="s">
        <v>3006</v>
      </c>
      <c r="E779" s="0" t="s">
        <v>3007</v>
      </c>
      <c r="F779" s="0" t="s">
        <v>3008</v>
      </c>
      <c r="G779" s="0" t="n">
        <v>1</v>
      </c>
      <c r="H779" s="0" t="s">
        <v>66</v>
      </c>
      <c r="J779" s="0" t="s">
        <v>67</v>
      </c>
      <c r="K779" s="9" t="n">
        <v>0.0393</v>
      </c>
      <c r="L779" s="0" t="s">
        <v>3010</v>
      </c>
    </row>
    <row r="780" customFormat="false" ht="13.8" hidden="false" customHeight="false" outlineLevel="0" collapsed="false">
      <c r="A780" s="0" t="s">
        <v>3011</v>
      </c>
      <c r="B780" s="0" t="n">
        <v>1</v>
      </c>
      <c r="D780" s="0" t="s">
        <v>85</v>
      </c>
      <c r="E780" s="0" t="s">
        <v>86</v>
      </c>
      <c r="F780" s="0" t="s">
        <v>3012</v>
      </c>
      <c r="G780" s="0" t="n">
        <v>1</v>
      </c>
      <c r="H780" s="0" t="s">
        <v>758</v>
      </c>
      <c r="J780" s="0" t="s">
        <v>759</v>
      </c>
      <c r="K780" s="0" t="str">
        <f aca="false">"4.25 %"</f>
        <v>4.25 %</v>
      </c>
      <c r="O780" s="0" t="s">
        <v>3013</v>
      </c>
    </row>
    <row r="781" customFormat="false" ht="13.8" hidden="false" customHeight="false" outlineLevel="0" collapsed="false">
      <c r="A781" s="0" t="s">
        <v>3011</v>
      </c>
      <c r="B781" s="0" t="n">
        <v>1</v>
      </c>
      <c r="D781" s="0" t="s">
        <v>109</v>
      </c>
      <c r="E781" s="0" t="s">
        <v>110</v>
      </c>
      <c r="F781" s="0" t="s">
        <v>1750</v>
      </c>
      <c r="G781" s="0" t="n">
        <v>1</v>
      </c>
      <c r="H781" s="0" t="s">
        <v>758</v>
      </c>
      <c r="J781" s="0" t="s">
        <v>759</v>
      </c>
      <c r="K781" s="0" t="str">
        <f aca="false">"5.50 %"</f>
        <v>5.50 %</v>
      </c>
      <c r="O781" s="0" t="s">
        <v>3014</v>
      </c>
    </row>
    <row r="782" customFormat="false" ht="13.8" hidden="false" customHeight="false" outlineLevel="0" collapsed="false">
      <c r="A782" s="0" t="s">
        <v>3015</v>
      </c>
      <c r="B782" s="0" t="n">
        <v>1</v>
      </c>
      <c r="D782" s="0" t="s">
        <v>3016</v>
      </c>
      <c r="E782" s="0" t="s">
        <v>3017</v>
      </c>
      <c r="F782" s="0" t="s">
        <v>3018</v>
      </c>
      <c r="G782" s="0" t="n">
        <v>1</v>
      </c>
      <c r="H782" s="0" t="s">
        <v>33</v>
      </c>
      <c r="J782" s="0" t="s">
        <v>34</v>
      </c>
      <c r="K782" s="0" t="str">
        <f aca="false">"0.7 %"</f>
        <v>0.7 %</v>
      </c>
      <c r="O782" s="0" t="s">
        <v>3019</v>
      </c>
    </row>
    <row r="783" customFormat="false" ht="13.8" hidden="false" customHeight="false" outlineLevel="0" collapsed="false">
      <c r="A783" s="0" t="s">
        <v>3020</v>
      </c>
      <c r="B783" s="0" t="n">
        <v>1</v>
      </c>
      <c r="D783" s="4" t="s">
        <v>3021</v>
      </c>
      <c r="E783" s="0" t="s">
        <v>3022</v>
      </c>
      <c r="F783" s="4" t="s">
        <v>3023</v>
      </c>
      <c r="G783" s="0" t="n">
        <v>1</v>
      </c>
      <c r="H783" s="0" t="s">
        <v>33</v>
      </c>
      <c r="J783" s="0" t="s">
        <v>40</v>
      </c>
      <c r="K783" s="0" t="str">
        <f aca="false">"1.7 %"</f>
        <v>1.7 %</v>
      </c>
      <c r="L783" s="0" t="str">
        <f aca="false">"0.73 V"</f>
        <v>0.73 V</v>
      </c>
      <c r="M783" s="0" t="str">
        <f aca="false">"4.2 mA cm^{-2}"</f>
        <v>4.2 mA cm^{-2}</v>
      </c>
      <c r="N783" s="0" t="str">
        <f aca="false">"0.54"</f>
        <v>0.54</v>
      </c>
      <c r="O783" s="0" t="s">
        <v>3024</v>
      </c>
    </row>
    <row r="784" customFormat="false" ht="13.8" hidden="false" customHeight="false" outlineLevel="0" collapsed="false">
      <c r="A784" s="0" t="s">
        <v>3025</v>
      </c>
      <c r="B784" s="0" t="n">
        <v>1</v>
      </c>
      <c r="D784" s="4" t="s">
        <v>3026</v>
      </c>
      <c r="E784" s="0" t="s">
        <v>3027</v>
      </c>
      <c r="F784" s="4" t="s">
        <v>3028</v>
      </c>
      <c r="G784" s="0" t="n">
        <v>1</v>
      </c>
      <c r="H784" s="0" t="s">
        <v>27</v>
      </c>
      <c r="J784" s="0" t="s">
        <v>28</v>
      </c>
      <c r="K784" s="28" t="str">
        <f aca="false">"5.10 %"</f>
        <v>5.10 %</v>
      </c>
      <c r="L784" s="15" t="s">
        <v>3029</v>
      </c>
      <c r="M784" s="0" t="str">
        <f aca="false">"13.92 mA cm^{-2}"</f>
        <v>13.92 mA cm^{-2}</v>
      </c>
      <c r="N784" s="0" t="str">
        <f aca="false">"0.50"</f>
        <v>0.50</v>
      </c>
      <c r="O784" s="0" t="s">
        <v>3030</v>
      </c>
    </row>
    <row r="785" customFormat="false" ht="13.8" hidden="false" customHeight="false" outlineLevel="0" collapsed="false">
      <c r="A785" s="0" t="s">
        <v>3031</v>
      </c>
      <c r="B785" s="0" t="n">
        <v>1</v>
      </c>
      <c r="D785" s="4" t="s">
        <v>3032</v>
      </c>
      <c r="E785" s="0" t="s">
        <v>3033</v>
      </c>
      <c r="F785" s="4" t="s">
        <v>3034</v>
      </c>
      <c r="G785" s="0" t="n">
        <v>1</v>
      </c>
      <c r="H785" s="0" t="s">
        <v>27</v>
      </c>
      <c r="J785" s="0" t="s">
        <v>28</v>
      </c>
      <c r="K785" s="0" t="str">
        <f aca="false">"7.02 %"</f>
        <v>7.02 %</v>
      </c>
      <c r="O785" s="0" t="s">
        <v>3035</v>
      </c>
    </row>
    <row r="786" customFormat="false" ht="13.8" hidden="false" customHeight="false" outlineLevel="0" collapsed="false">
      <c r="A786" s="0" t="s">
        <v>3031</v>
      </c>
      <c r="B786" s="0" t="n">
        <v>1</v>
      </c>
      <c r="D786" s="27" t="s">
        <v>3036</v>
      </c>
      <c r="E786" s="0" t="s">
        <v>3037</v>
      </c>
      <c r="F786" s="27" t="s">
        <v>3038</v>
      </c>
      <c r="G786" s="0" t="n">
        <v>1</v>
      </c>
      <c r="H786" s="0" t="s">
        <v>27</v>
      </c>
      <c r="J786" s="0" t="s">
        <v>28</v>
      </c>
      <c r="K786" s="9" t="n">
        <v>0.0851</v>
      </c>
    </row>
    <row r="787" customFormat="false" ht="13.8" hidden="false" customHeight="false" outlineLevel="0" collapsed="false">
      <c r="A787" s="0" t="s">
        <v>3039</v>
      </c>
      <c r="B787" s="0" t="n">
        <v>1</v>
      </c>
      <c r="D787" s="0" t="s">
        <v>201</v>
      </c>
      <c r="E787" s="0" t="s">
        <v>202</v>
      </c>
      <c r="F787" s="0" t="s">
        <v>422</v>
      </c>
      <c r="G787" s="0" t="n">
        <v>1</v>
      </c>
      <c r="H787" s="0" t="s">
        <v>27</v>
      </c>
      <c r="J787" s="0" t="s">
        <v>28</v>
      </c>
      <c r="K787" s="0" t="str">
        <f aca="false">"7.92 %"</f>
        <v>7.92 %</v>
      </c>
      <c r="O787" s="0" t="s">
        <v>3040</v>
      </c>
    </row>
    <row r="788" customFormat="false" ht="13.8" hidden="false" customHeight="false" outlineLevel="0" collapsed="false">
      <c r="A788" s="0" t="s">
        <v>3039</v>
      </c>
      <c r="B788" s="0" t="n">
        <v>1</v>
      </c>
      <c r="D788" s="27" t="s">
        <v>3041</v>
      </c>
      <c r="E788" s="0" t="s">
        <v>3042</v>
      </c>
      <c r="F788" s="0" t="s">
        <v>3043</v>
      </c>
      <c r="G788" s="0" t="n">
        <v>1</v>
      </c>
      <c r="H788" s="0" t="s">
        <v>27</v>
      </c>
      <c r="J788" s="0" t="s">
        <v>28</v>
      </c>
      <c r="K788" s="9" t="n">
        <v>0.0845</v>
      </c>
    </row>
    <row r="789" customFormat="false" ht="13.8" hidden="false" customHeight="false" outlineLevel="0" collapsed="false">
      <c r="A789" s="0" t="s">
        <v>3044</v>
      </c>
      <c r="B789" s="0" t="n">
        <v>1</v>
      </c>
      <c r="D789" s="4" t="s">
        <v>3045</v>
      </c>
      <c r="E789" s="4" t="s">
        <v>3046</v>
      </c>
      <c r="F789" s="4" t="s">
        <v>3047</v>
      </c>
      <c r="G789" s="0" t="n">
        <v>1</v>
      </c>
      <c r="H789" s="0" t="s">
        <v>27</v>
      </c>
      <c r="J789" s="15" t="s">
        <v>28</v>
      </c>
      <c r="K789" s="0" t="str">
        <f aca="false">"6.96 %"</f>
        <v>6.96 %</v>
      </c>
      <c r="O789" s="0" t="s">
        <v>3048</v>
      </c>
    </row>
    <row r="790" customFormat="false" ht="13.8" hidden="false" customHeight="false" outlineLevel="0" collapsed="false">
      <c r="A790" s="0" t="s">
        <v>3044</v>
      </c>
      <c r="B790" s="0" t="n">
        <v>1</v>
      </c>
      <c r="D790" s="4" t="s">
        <v>16</v>
      </c>
      <c r="E790" s="0" t="s">
        <v>17</v>
      </c>
      <c r="F790" s="4" t="s">
        <v>116</v>
      </c>
      <c r="G790" s="0" t="n">
        <v>1</v>
      </c>
      <c r="H790" s="0" t="s">
        <v>27</v>
      </c>
      <c r="J790" s="15" t="s">
        <v>28</v>
      </c>
      <c r="K790" s="0" t="str">
        <f aca="false">"0.44 %"</f>
        <v>0.44 %</v>
      </c>
      <c r="O790" s="0" t="s">
        <v>3049</v>
      </c>
    </row>
    <row r="791" customFormat="false" ht="13.8" hidden="false" customHeight="false" outlineLevel="0" collapsed="false">
      <c r="A791" s="0" t="s">
        <v>3044</v>
      </c>
      <c r="B791" s="0" t="n">
        <v>1</v>
      </c>
      <c r="D791" s="27" t="s">
        <v>3050</v>
      </c>
      <c r="E791" s="0" t="s">
        <v>3051</v>
      </c>
      <c r="F791" s="27" t="s">
        <v>3052</v>
      </c>
      <c r="G791" s="0" t="n">
        <v>1</v>
      </c>
      <c r="H791" s="0" t="s">
        <v>27</v>
      </c>
      <c r="J791" s="27" t="s">
        <v>28</v>
      </c>
    </row>
    <row r="792" customFormat="false" ht="13.8" hidden="false" customHeight="false" outlineLevel="0" collapsed="false">
      <c r="A792" s="0" t="s">
        <v>3044</v>
      </c>
      <c r="B792" s="0" t="n">
        <v>1</v>
      </c>
      <c r="D792" s="27" t="s">
        <v>3053</v>
      </c>
      <c r="E792" s="0" t="s">
        <v>3054</v>
      </c>
      <c r="F792" s="27" t="s">
        <v>3055</v>
      </c>
      <c r="G792" s="0" t="n">
        <v>1</v>
      </c>
      <c r="H792" s="0" t="s">
        <v>27</v>
      </c>
      <c r="J792" s="27" t="s">
        <v>28</v>
      </c>
      <c r="K792" s="9" t="n">
        <v>0.0562</v>
      </c>
    </row>
    <row r="793" customFormat="false" ht="13.8" hidden="false" customHeight="false" outlineLevel="0" collapsed="false">
      <c r="A793" s="0" t="s">
        <v>3056</v>
      </c>
      <c r="B793" s="0" t="n">
        <v>1</v>
      </c>
      <c r="D793" s="4" t="s">
        <v>3057</v>
      </c>
      <c r="E793" s="0" t="s">
        <v>3058</v>
      </c>
      <c r="F793" s="4" t="s">
        <v>3059</v>
      </c>
      <c r="G793" s="0" t="n">
        <v>0</v>
      </c>
      <c r="H793" s="4" t="s">
        <v>3060</v>
      </c>
      <c r="I793" s="0" t="s">
        <v>3061</v>
      </c>
      <c r="J793" s="4" t="s">
        <v>3062</v>
      </c>
      <c r="K793" s="0" t="str">
        <f aca="false">"4.23 %"</f>
        <v>4.23 %</v>
      </c>
      <c r="L793" s="0" t="str">
        <f aca="false">"0.77 V"</f>
        <v>0.77 V</v>
      </c>
      <c r="M793" s="0" t="str">
        <f aca="false">"9.8 mA cm^{-2}"</f>
        <v>9.8 mA cm^{-2}</v>
      </c>
      <c r="N793" s="0" t="str">
        <f aca="false">"0.56"</f>
        <v>0.56</v>
      </c>
      <c r="O793" s="0" t="s">
        <v>3063</v>
      </c>
    </row>
    <row r="794" customFormat="false" ht="13.8" hidden="false" customHeight="false" outlineLevel="0" collapsed="false">
      <c r="A794" s="0" t="s">
        <v>3056</v>
      </c>
      <c r="B794" s="0" t="n">
        <v>1</v>
      </c>
      <c r="D794" s="27" t="s">
        <v>3057</v>
      </c>
      <c r="E794" s="0" t="s">
        <v>3058</v>
      </c>
      <c r="F794" s="27" t="s">
        <v>3059</v>
      </c>
      <c r="G794" s="0" t="n">
        <v>1</v>
      </c>
      <c r="H794" s="0" t="s">
        <v>27</v>
      </c>
      <c r="J794" s="0" t="s">
        <v>28</v>
      </c>
      <c r="K794" s="9" t="n">
        <v>0.0702</v>
      </c>
      <c r="L794" s="0" t="s">
        <v>3064</v>
      </c>
      <c r="M794" s="0" t="s">
        <v>3065</v>
      </c>
      <c r="N794" s="0" t="str">
        <f aca="false">"0.67"</f>
        <v>0.67</v>
      </c>
    </row>
    <row r="795" customFormat="false" ht="13.8" hidden="false" customHeight="false" outlineLevel="0" collapsed="false">
      <c r="A795" s="0" t="s">
        <v>3066</v>
      </c>
      <c r="B795" s="0" t="n">
        <v>1</v>
      </c>
      <c r="D795" s="4" t="s">
        <v>128</v>
      </c>
      <c r="E795" s="0" t="s">
        <v>3067</v>
      </c>
      <c r="F795" s="4" t="s">
        <v>130</v>
      </c>
      <c r="G795" s="0" t="n">
        <v>1</v>
      </c>
      <c r="H795" s="0" t="s">
        <v>27</v>
      </c>
      <c r="J795" s="0" t="s">
        <v>28</v>
      </c>
      <c r="K795" s="0" t="str">
        <f aca="false">"5.33 %"</f>
        <v>5.33 %</v>
      </c>
      <c r="O795" s="0" t="s">
        <v>3068</v>
      </c>
    </row>
    <row r="796" customFormat="false" ht="13.8" hidden="false" customHeight="false" outlineLevel="0" collapsed="false">
      <c r="A796" s="0" t="s">
        <v>3066</v>
      </c>
      <c r="B796" s="0" t="n">
        <v>1</v>
      </c>
      <c r="D796" s="0" t="s">
        <v>124</v>
      </c>
      <c r="E796" s="0" t="s">
        <v>3069</v>
      </c>
      <c r="F796" s="0" t="s">
        <v>427</v>
      </c>
      <c r="G796" s="0" t="n">
        <v>1</v>
      </c>
      <c r="H796" s="0" t="s">
        <v>27</v>
      </c>
      <c r="J796" s="0" t="s">
        <v>28</v>
      </c>
      <c r="K796" s="9" t="n">
        <v>0.0766</v>
      </c>
    </row>
    <row r="797" customFormat="false" ht="13.8" hidden="false" customHeight="false" outlineLevel="0" collapsed="false">
      <c r="A797" s="0" t="s">
        <v>3070</v>
      </c>
      <c r="B797" s="0" t="n">
        <v>1</v>
      </c>
      <c r="D797" s="0" t="s">
        <v>85</v>
      </c>
      <c r="E797" s="0" t="s">
        <v>86</v>
      </c>
      <c r="F797" s="0" t="s">
        <v>87</v>
      </c>
      <c r="G797" s="0" t="n">
        <v>0</v>
      </c>
      <c r="H797" s="4" t="s">
        <v>3071</v>
      </c>
      <c r="I797" s="0" t="s">
        <v>3072</v>
      </c>
      <c r="J797" s="4" t="s">
        <v>3073</v>
      </c>
      <c r="K797" s="0" t="str">
        <f aca="false">"2.13 %"</f>
        <v>2.13 %</v>
      </c>
      <c r="O797" s="0" t="s">
        <v>3074</v>
      </c>
    </row>
    <row r="798" customFormat="false" ht="13.8" hidden="false" customHeight="false" outlineLevel="0" collapsed="false">
      <c r="A798" s="0" t="s">
        <v>3075</v>
      </c>
      <c r="B798" s="0" t="n">
        <v>1</v>
      </c>
      <c r="D798" s="0" t="s">
        <v>16</v>
      </c>
      <c r="E798" s="0" t="s">
        <v>17</v>
      </c>
      <c r="F798" s="0" t="s">
        <v>18</v>
      </c>
      <c r="G798" s="0" t="n">
        <v>1</v>
      </c>
      <c r="H798" s="0" t="s">
        <v>33</v>
      </c>
      <c r="J798" s="0" t="s">
        <v>34</v>
      </c>
      <c r="K798" s="0" t="str">
        <f aca="false">"3.40 %"</f>
        <v>3.40 %</v>
      </c>
      <c r="O798" s="0" t="s">
        <v>3076</v>
      </c>
    </row>
    <row r="799" customFormat="false" ht="13.8" hidden="false" customHeight="false" outlineLevel="0" collapsed="false">
      <c r="A799" s="0" t="s">
        <v>3077</v>
      </c>
      <c r="B799" s="0" t="n">
        <v>1</v>
      </c>
      <c r="D799" s="4" t="s">
        <v>3078</v>
      </c>
      <c r="E799" s="0" t="s">
        <v>3079</v>
      </c>
      <c r="F799" s="4" t="s">
        <v>3080</v>
      </c>
      <c r="G799" s="0" t="n">
        <v>1</v>
      </c>
      <c r="H799" s="0" t="s">
        <v>27</v>
      </c>
      <c r="J799" s="0" t="s">
        <v>28</v>
      </c>
      <c r="K799" s="0" t="str">
        <f aca="false">"1.40 %"</f>
        <v>1.40 %</v>
      </c>
      <c r="O799" s="0" t="s">
        <v>3081</v>
      </c>
    </row>
    <row r="800" customFormat="false" ht="15.75" hidden="false" customHeight="false" outlineLevel="0" collapsed="false">
      <c r="A800" s="0" t="s">
        <v>3077</v>
      </c>
      <c r="B800" s="0" t="n">
        <v>1</v>
      </c>
      <c r="D800" s="36" t="s">
        <v>3082</v>
      </c>
      <c r="E800" s="0" t="s">
        <v>3083</v>
      </c>
      <c r="F800" s="4" t="s">
        <v>3084</v>
      </c>
      <c r="G800" s="0" t="n">
        <v>1</v>
      </c>
      <c r="H800" s="0" t="s">
        <v>27</v>
      </c>
      <c r="J800" s="0" t="s">
        <v>28</v>
      </c>
      <c r="K800" s="0" t="str">
        <f aca="false">"1.7 %"</f>
        <v>1.7 %</v>
      </c>
    </row>
    <row r="801" customFormat="false" ht="13.8" hidden="false" customHeight="false" outlineLevel="0" collapsed="false">
      <c r="A801" s="0" t="s">
        <v>3085</v>
      </c>
      <c r="B801" s="0" t="n">
        <v>1</v>
      </c>
      <c r="D801" s="0" t="s">
        <v>3086</v>
      </c>
      <c r="E801" s="0" t="s">
        <v>3087</v>
      </c>
      <c r="F801" s="0" t="s">
        <v>3088</v>
      </c>
      <c r="G801" s="0" t="n">
        <v>1</v>
      </c>
      <c r="H801" s="0" t="s">
        <v>33</v>
      </c>
      <c r="J801" s="0" t="s">
        <v>34</v>
      </c>
      <c r="K801" s="0" t="str">
        <f aca="false">"4.8 %"</f>
        <v>4.8 %</v>
      </c>
      <c r="L801" s="0" t="str">
        <f aca="false">"0.722 V"</f>
        <v>0.722 V</v>
      </c>
      <c r="M801" s="15" t="str">
        <f aca="false">"12.18 mA cm^{-2}"</f>
        <v>12.18 mA cm^{-2}</v>
      </c>
      <c r="N801" s="0" t="str">
        <f aca="false">"55.0 %"</f>
        <v>55.0 %</v>
      </c>
      <c r="O801" s="0" t="s">
        <v>3089</v>
      </c>
    </row>
    <row r="802" customFormat="false" ht="13.8" hidden="false" customHeight="false" outlineLevel="0" collapsed="false">
      <c r="A802" s="0" t="s">
        <v>3085</v>
      </c>
      <c r="B802" s="0" t="n">
        <v>1</v>
      </c>
      <c r="D802" s="0" t="s">
        <v>3090</v>
      </c>
      <c r="E802" s="0" t="s">
        <v>3091</v>
      </c>
      <c r="F802" s="0" t="s">
        <v>3092</v>
      </c>
      <c r="G802" s="0" t="n">
        <v>1</v>
      </c>
      <c r="H802" s="0" t="s">
        <v>33</v>
      </c>
      <c r="J802" s="0" t="s">
        <v>34</v>
      </c>
      <c r="K802" s="0" t="str">
        <f aca="false">"4.1 %"</f>
        <v>4.1 %</v>
      </c>
      <c r="O802" s="0" t="s">
        <v>3093</v>
      </c>
    </row>
    <row r="803" customFormat="false" ht="13.8" hidden="false" customHeight="false" outlineLevel="0" collapsed="false">
      <c r="A803" s="0" t="s">
        <v>3094</v>
      </c>
      <c r="B803" s="0" t="n">
        <v>1</v>
      </c>
      <c r="D803" s="0" t="s">
        <v>3095</v>
      </c>
      <c r="E803" s="0" t="s">
        <v>3096</v>
      </c>
      <c r="F803" s="0" t="s">
        <v>3097</v>
      </c>
      <c r="G803" s="0" t="n">
        <v>1</v>
      </c>
      <c r="H803" s="0" t="s">
        <v>76</v>
      </c>
      <c r="J803" s="0" t="s">
        <v>77</v>
      </c>
      <c r="K803" s="0" t="str">
        <f aca="false">"3.73 %"</f>
        <v>3.73 %</v>
      </c>
      <c r="L803" s="0" t="str">
        <f aca="false">"0.76 V"</f>
        <v>0.76 V</v>
      </c>
      <c r="M803" s="0" t="str">
        <f aca="false">"9.41 mA cm^{-2}"</f>
        <v>9.41 mA cm^{-2}</v>
      </c>
      <c r="N803" s="0" t="str">
        <f aca="false">"52.33 %"</f>
        <v>52.33 %</v>
      </c>
      <c r="O803" s="0" t="s">
        <v>3098</v>
      </c>
    </row>
    <row r="804" customFormat="false" ht="13.8" hidden="false" customHeight="false" outlineLevel="0" collapsed="false">
      <c r="A804" s="0" t="s">
        <v>3099</v>
      </c>
      <c r="B804" s="0" t="n">
        <v>1</v>
      </c>
      <c r="D804" s="4" t="s">
        <v>3100</v>
      </c>
      <c r="E804" s="0" t="s">
        <v>3101</v>
      </c>
      <c r="F804" s="4" t="s">
        <v>3102</v>
      </c>
      <c r="G804" s="4" t="n">
        <v>1</v>
      </c>
      <c r="H804" s="4" t="s">
        <v>2586</v>
      </c>
      <c r="J804" s="4" t="s">
        <v>67</v>
      </c>
      <c r="K804" s="0" t="str">
        <f aca="false">"8.52 %"</f>
        <v>8.52 %</v>
      </c>
      <c r="L804" s="0" t="str">
        <f aca="false">"0.91 V"</f>
        <v>0.91 V</v>
      </c>
      <c r="N804" s="0" t="str">
        <f aca="false">"72 %"</f>
        <v>72 %</v>
      </c>
      <c r="O804" s="0" t="s">
        <v>3103</v>
      </c>
    </row>
    <row r="805" customFormat="false" ht="13.8" hidden="false" customHeight="false" outlineLevel="0" collapsed="false">
      <c r="A805" s="0" t="s">
        <v>3104</v>
      </c>
      <c r="B805" s="0" t="n">
        <v>1</v>
      </c>
      <c r="D805" s="4" t="s">
        <v>3105</v>
      </c>
      <c r="E805" s="4" t="s">
        <v>3106</v>
      </c>
      <c r="F805" s="4" t="s">
        <v>3107</v>
      </c>
      <c r="G805" s="0" t="n">
        <v>1</v>
      </c>
      <c r="H805" s="0" t="s">
        <v>27</v>
      </c>
      <c r="J805" s="0" t="s">
        <v>28</v>
      </c>
      <c r="K805" s="0" t="str">
        <f aca="false">"5.14 %"</f>
        <v>5.14 %</v>
      </c>
      <c r="O805" s="0" t="s">
        <v>3108</v>
      </c>
    </row>
    <row r="806" customFormat="false" ht="13.8" hidden="false" customHeight="false" outlineLevel="0" collapsed="false">
      <c r="A806" s="0" t="s">
        <v>3109</v>
      </c>
      <c r="B806" s="0" t="n">
        <v>1</v>
      </c>
      <c r="D806" s="0" t="s">
        <v>3110</v>
      </c>
      <c r="E806" s="0" t="s">
        <v>3111</v>
      </c>
      <c r="F806" s="0" t="s">
        <v>3112</v>
      </c>
      <c r="G806" s="0" t="n">
        <v>1</v>
      </c>
      <c r="H806" s="0" t="s">
        <v>27</v>
      </c>
      <c r="J806" s="0" t="s">
        <v>28</v>
      </c>
      <c r="K806" s="0" t="str">
        <f aca="false">"5.21 %"</f>
        <v>5.21 %</v>
      </c>
      <c r="O806" s="0" t="s">
        <v>3113</v>
      </c>
    </row>
    <row r="807" customFormat="false" ht="13.8" hidden="false" customHeight="false" outlineLevel="0" collapsed="false">
      <c r="A807" s="0" t="s">
        <v>3114</v>
      </c>
      <c r="B807" s="0" t="n">
        <v>1</v>
      </c>
      <c r="D807" s="4" t="s">
        <v>3115</v>
      </c>
      <c r="E807" s="0" t="s">
        <v>3116</v>
      </c>
      <c r="F807" s="4" t="s">
        <v>3117</v>
      </c>
      <c r="G807" s="0" t="n">
        <v>1</v>
      </c>
      <c r="H807" s="0" t="s">
        <v>33</v>
      </c>
      <c r="J807" s="0" t="s">
        <v>34</v>
      </c>
      <c r="K807" s="0" t="str">
        <f aca="false">"5.02 %"</f>
        <v>5.02 %</v>
      </c>
      <c r="O807" s="0" t="s">
        <v>3118</v>
      </c>
    </row>
    <row r="808" customFormat="false" ht="13.8" hidden="false" customHeight="false" outlineLevel="0" collapsed="false">
      <c r="A808" s="0" t="s">
        <v>3119</v>
      </c>
      <c r="B808" s="0" t="n">
        <v>1</v>
      </c>
      <c r="D808" s="0" t="s">
        <v>16</v>
      </c>
      <c r="E808" s="0" t="s">
        <v>17</v>
      </c>
      <c r="F808" s="0" t="s">
        <v>116</v>
      </c>
      <c r="G808" s="0" t="n">
        <v>0</v>
      </c>
      <c r="H808" s="0" t="s">
        <v>3120</v>
      </c>
      <c r="I808" s="0" t="s">
        <v>3121</v>
      </c>
      <c r="J808" s="0" t="s">
        <v>3122</v>
      </c>
      <c r="K808" s="28" t="n">
        <v>0.0154</v>
      </c>
      <c r="O808" s="0" t="s">
        <v>3123</v>
      </c>
    </row>
    <row r="809" customFormat="false" ht="13.8" hidden="false" customHeight="false" outlineLevel="0" collapsed="false">
      <c r="A809" s="0" t="s">
        <v>3124</v>
      </c>
      <c r="B809" s="0" t="n">
        <v>1</v>
      </c>
      <c r="D809" s="4" t="s">
        <v>3125</v>
      </c>
      <c r="E809" s="0" t="s">
        <v>17</v>
      </c>
      <c r="F809" s="4" t="s">
        <v>3126</v>
      </c>
      <c r="G809" s="0" t="n">
        <v>0</v>
      </c>
      <c r="H809" s="4" t="s">
        <v>3127</v>
      </c>
      <c r="I809" s="0" t="s">
        <v>3128</v>
      </c>
      <c r="J809" s="15" t="s">
        <v>3129</v>
      </c>
      <c r="K809" s="28" t="n">
        <v>0.0076</v>
      </c>
      <c r="L809" s="15" t="s">
        <v>2691</v>
      </c>
      <c r="M809" s="15" t="s">
        <v>3130</v>
      </c>
      <c r="N809" s="0" t="str">
        <f aca="false">"0.34"</f>
        <v>0.34</v>
      </c>
      <c r="O809" s="0" t="s">
        <v>3131</v>
      </c>
    </row>
    <row r="810" customFormat="false" ht="13.8" hidden="false" customHeight="false" outlineLevel="0" collapsed="false">
      <c r="A810" s="0" t="s">
        <v>3132</v>
      </c>
      <c r="B810" s="0" t="n">
        <v>1</v>
      </c>
      <c r="D810" s="0" t="s">
        <v>3133</v>
      </c>
      <c r="E810" s="0" t="s">
        <v>3134</v>
      </c>
      <c r="F810" s="0" t="s">
        <v>3135</v>
      </c>
      <c r="G810" s="0" t="n">
        <v>1</v>
      </c>
      <c r="H810" s="0" t="s">
        <v>27</v>
      </c>
      <c r="J810" s="0" t="s">
        <v>28</v>
      </c>
      <c r="K810" s="28" t="n">
        <v>0.0281</v>
      </c>
      <c r="L810" s="15" t="s">
        <v>1383</v>
      </c>
      <c r="O810" s="0" t="s">
        <v>3136</v>
      </c>
    </row>
    <row r="811" customFormat="false" ht="13.8" hidden="false" customHeight="false" outlineLevel="0" collapsed="false">
      <c r="A811" s="0" t="s">
        <v>3137</v>
      </c>
      <c r="B811" s="0" t="n">
        <v>1</v>
      </c>
      <c r="D811" s="4" t="s">
        <v>3138</v>
      </c>
      <c r="E811" s="0" t="s">
        <v>3139</v>
      </c>
      <c r="F811" s="4" t="s">
        <v>3140</v>
      </c>
      <c r="G811" s="0" t="n">
        <v>1</v>
      </c>
      <c r="H811" s="0" t="s">
        <v>27</v>
      </c>
      <c r="J811" s="0" t="s">
        <v>28</v>
      </c>
      <c r="K811" s="0" t="str">
        <f aca="false">"4.60 %"</f>
        <v>4.60 %</v>
      </c>
      <c r="O811" s="0" t="s">
        <v>3141</v>
      </c>
    </row>
    <row r="812" customFormat="false" ht="13.8" hidden="false" customHeight="false" outlineLevel="0" collapsed="false">
      <c r="A812" s="0" t="s">
        <v>3142</v>
      </c>
      <c r="B812" s="0" t="n">
        <v>1</v>
      </c>
      <c r="D812" s="0" t="s">
        <v>253</v>
      </c>
      <c r="E812" s="0" t="s">
        <v>3143</v>
      </c>
      <c r="F812" s="0" t="s">
        <v>258</v>
      </c>
      <c r="G812" s="0" t="n">
        <v>1</v>
      </c>
      <c r="H812" s="0" t="s">
        <v>27</v>
      </c>
      <c r="J812" s="0" t="s">
        <v>28</v>
      </c>
      <c r="K812" s="0" t="str">
        <f aca="false">"1.75 %"</f>
        <v>1.75 %</v>
      </c>
      <c r="L812" s="0" t="str">
        <f aca="false">"0.81 V"</f>
        <v>0.81 V</v>
      </c>
      <c r="M812" s="0" t="str">
        <f aca="false">"4.74 mA cm^{-2}"</f>
        <v>4.74 mA cm^{-2}</v>
      </c>
      <c r="N812" s="0" t="str">
        <f aca="false">"0.45"</f>
        <v>0.45</v>
      </c>
      <c r="O812" s="0" t="s">
        <v>3144</v>
      </c>
    </row>
    <row r="813" customFormat="false" ht="13.8" hidden="false" customHeight="false" outlineLevel="0" collapsed="false">
      <c r="A813" s="0" t="s">
        <v>3145</v>
      </c>
      <c r="B813" s="0" t="n">
        <v>1</v>
      </c>
      <c r="D813" s="0" t="s">
        <v>3146</v>
      </c>
      <c r="E813" s="0" t="s">
        <v>3147</v>
      </c>
      <c r="F813" s="0" t="s">
        <v>3148</v>
      </c>
      <c r="G813" s="0" t="n">
        <v>1</v>
      </c>
      <c r="H813" s="0" t="s">
        <v>27</v>
      </c>
      <c r="J813" s="0" t="s">
        <v>28</v>
      </c>
      <c r="K813" s="0" t="str">
        <f aca="false">"4.02 %"</f>
        <v>4.02 %</v>
      </c>
      <c r="M813" s="0" t="str">
        <f aca="false">"9.24 mA cm^{-2}"</f>
        <v>9.24 mA cm^{-2}</v>
      </c>
      <c r="N813" s="0" t="str">
        <f aca="false">"0.64"</f>
        <v>0.64</v>
      </c>
      <c r="O813" s="0" t="s">
        <v>3149</v>
      </c>
    </row>
    <row r="814" customFormat="false" ht="13.8" hidden="false" customHeight="false" outlineLevel="0" collapsed="false">
      <c r="A814" s="0" t="s">
        <v>3150</v>
      </c>
      <c r="B814" s="0" t="n">
        <v>1</v>
      </c>
      <c r="D814" s="0" t="s">
        <v>192</v>
      </c>
      <c r="E814" s="0" t="s">
        <v>193</v>
      </c>
      <c r="F814" s="0" t="s">
        <v>194</v>
      </c>
      <c r="G814" s="0" t="n">
        <v>1</v>
      </c>
      <c r="H814" s="0" t="s">
        <v>27</v>
      </c>
      <c r="J814" s="0" t="s">
        <v>28</v>
      </c>
    </row>
    <row r="815" customFormat="false" ht="13.8" hidden="false" customHeight="false" outlineLevel="0" collapsed="false">
      <c r="A815" s="0" t="s">
        <v>3150</v>
      </c>
      <c r="B815" s="0" t="n">
        <v>1</v>
      </c>
      <c r="D815" s="0" t="s">
        <v>3151</v>
      </c>
      <c r="E815" s="0" t="s">
        <v>3152</v>
      </c>
      <c r="F815" s="0" t="s">
        <v>3153</v>
      </c>
      <c r="G815" s="0" t="n">
        <v>1</v>
      </c>
      <c r="H815" s="0" t="s">
        <v>27</v>
      </c>
      <c r="J815" s="0" t="s">
        <v>28</v>
      </c>
      <c r="K815" s="0" t="str">
        <f aca="false">"4.8 %"</f>
        <v>4.8 %</v>
      </c>
      <c r="L815" s="0" t="str">
        <f aca="false">"0.91 V"</f>
        <v>0.91 V</v>
      </c>
      <c r="M815" s="0" t="str">
        <f aca="false">"9.5 mA cm^{-2}"</f>
        <v>9.5 mA cm^{-2}</v>
      </c>
      <c r="N815" s="0" t="str">
        <f aca="false">"0.55"</f>
        <v>0.55</v>
      </c>
      <c r="O815" s="0" t="s">
        <v>3154</v>
      </c>
    </row>
    <row r="816" customFormat="false" ht="13.8" hidden="false" customHeight="false" outlineLevel="0" collapsed="false">
      <c r="A816" s="0" t="s">
        <v>3155</v>
      </c>
      <c r="B816" s="0" t="n">
        <v>1</v>
      </c>
      <c r="D816" s="0" t="s">
        <v>3156</v>
      </c>
      <c r="E816" s="0" t="s">
        <v>3157</v>
      </c>
      <c r="F816" s="0" t="s">
        <v>3158</v>
      </c>
      <c r="G816" s="0" t="n">
        <v>1</v>
      </c>
      <c r="H816" s="0" t="s">
        <v>27</v>
      </c>
      <c r="J816" s="0" t="s">
        <v>28</v>
      </c>
      <c r="K816" s="0" t="str">
        <f aca="false">"6.0 %"</f>
        <v>6.0 %</v>
      </c>
      <c r="L816" s="0" t="str">
        <f aca="false">"0.76 V"</f>
        <v>0.76 V</v>
      </c>
      <c r="M816" s="0" t="str">
        <f aca="false">"12.04 mA cm^{-2}"</f>
        <v>12.04 mA cm^{-2}</v>
      </c>
      <c r="O816" s="0" t="s">
        <v>3159</v>
      </c>
    </row>
    <row r="817" customFormat="false" ht="13.8" hidden="false" customHeight="false" outlineLevel="0" collapsed="false">
      <c r="A817" s="0" t="s">
        <v>3160</v>
      </c>
      <c r="B817" s="0" t="n">
        <v>1</v>
      </c>
      <c r="D817" s="0" t="s">
        <v>1550</v>
      </c>
      <c r="E817" s="0" t="s">
        <v>3161</v>
      </c>
      <c r="F817" s="0" t="s">
        <v>1552</v>
      </c>
      <c r="G817" s="0" t="n">
        <v>1</v>
      </c>
      <c r="H817" s="4" t="s">
        <v>66</v>
      </c>
      <c r="J817" s="4" t="s">
        <v>67</v>
      </c>
      <c r="K817" s="0" t="str">
        <f aca="false">"5.12 %"</f>
        <v>5.12 %</v>
      </c>
      <c r="O817" s="0" t="s">
        <v>3162</v>
      </c>
    </row>
    <row r="818" customFormat="false" ht="13.8" hidden="false" customHeight="false" outlineLevel="0" collapsed="false">
      <c r="A818" s="0" t="s">
        <v>3160</v>
      </c>
      <c r="B818" s="0" t="n">
        <v>1</v>
      </c>
      <c r="D818" s="0" t="s">
        <v>1550</v>
      </c>
      <c r="E818" s="0" t="s">
        <v>3161</v>
      </c>
      <c r="F818" s="0" t="s">
        <v>1552</v>
      </c>
      <c r="G818" s="0" t="n">
        <v>1</v>
      </c>
      <c r="H818" s="0" t="s">
        <v>575</v>
      </c>
      <c r="J818" s="0" t="s">
        <v>576</v>
      </c>
      <c r="K818" s="9" t="str">
        <f aca="false">"2.10 %"</f>
        <v>2.10 %</v>
      </c>
    </row>
    <row r="819" customFormat="false" ht="15.75" hidden="false" customHeight="false" outlineLevel="0" collapsed="false">
      <c r="A819" s="0" t="s">
        <v>3163</v>
      </c>
      <c r="B819" s="0" t="n">
        <v>1</v>
      </c>
      <c r="D819" s="37" t="s">
        <v>3164</v>
      </c>
      <c r="E819" s="0" t="s">
        <v>3165</v>
      </c>
      <c r="F819" s="4" t="s">
        <v>3166</v>
      </c>
      <c r="G819" s="0" t="n">
        <v>1</v>
      </c>
      <c r="H819" s="0" t="s">
        <v>27</v>
      </c>
      <c r="J819" s="0" t="s">
        <v>28</v>
      </c>
      <c r="K819" s="0" t="str">
        <f aca="false">"7.23 %"</f>
        <v>7.23 %</v>
      </c>
      <c r="O819" s="0" t="s">
        <v>3167</v>
      </c>
    </row>
    <row r="820" customFormat="false" ht="13.8" hidden="false" customHeight="false" outlineLevel="0" collapsed="false">
      <c r="A820" s="0" t="s">
        <v>3168</v>
      </c>
      <c r="B820" s="0" t="n">
        <v>1</v>
      </c>
      <c r="D820" s="0" t="s">
        <v>3169</v>
      </c>
      <c r="E820" s="0" t="s">
        <v>3170</v>
      </c>
      <c r="F820" s="0" t="s">
        <v>3171</v>
      </c>
      <c r="G820" s="0" t="n">
        <v>1</v>
      </c>
      <c r="H820" s="0" t="s">
        <v>27</v>
      </c>
      <c r="J820" s="0" t="s">
        <v>28</v>
      </c>
      <c r="K820" s="0" t="str">
        <f aca="false">"2.66 %"</f>
        <v>2.66 %</v>
      </c>
      <c r="L820" s="0" t="str">
        <f aca="false">"0.73 V"</f>
        <v>0.73 V</v>
      </c>
      <c r="M820" s="0" t="str">
        <f aca="false">"7.12 mA cm^{-2}"</f>
        <v>7.12 mA cm^{-2}</v>
      </c>
      <c r="N820" s="0" t="str">
        <f aca="false">"0.51"</f>
        <v>0.51</v>
      </c>
      <c r="O820" s="0" t="s">
        <v>3172</v>
      </c>
    </row>
    <row r="821" customFormat="false" ht="13.8" hidden="false" customHeight="false" outlineLevel="0" collapsed="false">
      <c r="A821" s="0" t="s">
        <v>3173</v>
      </c>
      <c r="B821" s="0" t="n">
        <v>1</v>
      </c>
      <c r="D821" s="4" t="s">
        <v>3174</v>
      </c>
      <c r="E821" s="0" t="s">
        <v>3175</v>
      </c>
      <c r="F821" s="4" t="s">
        <v>3176</v>
      </c>
      <c r="G821" s="0" t="n">
        <v>1</v>
      </c>
      <c r="H821" s="0" t="s">
        <v>27</v>
      </c>
      <c r="J821" s="0" t="s">
        <v>28</v>
      </c>
      <c r="K821" s="0" t="str">
        <f aca="false">"4.65 %"</f>
        <v>4.65 %</v>
      </c>
      <c r="O821" s="0" t="s">
        <v>3177</v>
      </c>
    </row>
    <row r="822" customFormat="false" ht="13.8" hidden="false" customHeight="false" outlineLevel="0" collapsed="false">
      <c r="A822" s="0" t="s">
        <v>3173</v>
      </c>
      <c r="B822" s="0" t="n">
        <v>1</v>
      </c>
      <c r="D822" s="0" t="s">
        <v>3178</v>
      </c>
      <c r="E822" s="0" t="s">
        <v>3179</v>
      </c>
      <c r="F822" s="0" t="s">
        <v>3180</v>
      </c>
      <c r="G822" s="0" t="n">
        <v>1</v>
      </c>
      <c r="H822" s="0" t="s">
        <v>27</v>
      </c>
      <c r="J822" s="0" t="s">
        <v>28</v>
      </c>
      <c r="K822" s="9" t="str">
        <f aca="false">"5.00 %"</f>
        <v>5.00 %</v>
      </c>
    </row>
    <row r="823" customFormat="false" ht="13.8" hidden="false" customHeight="false" outlineLevel="0" collapsed="false">
      <c r="A823" s="0" t="s">
        <v>3181</v>
      </c>
      <c r="B823" s="0" t="n">
        <v>1</v>
      </c>
      <c r="D823" s="4" t="s">
        <v>3182</v>
      </c>
      <c r="E823" s="0" t="s">
        <v>3183</v>
      </c>
      <c r="F823" s="4" t="s">
        <v>3184</v>
      </c>
      <c r="G823" s="4" t="n">
        <v>1</v>
      </c>
      <c r="H823" s="4" t="s">
        <v>3185</v>
      </c>
      <c r="I823" s="4"/>
      <c r="J823" s="4" t="s">
        <v>34</v>
      </c>
      <c r="K823" s="0" t="str">
        <f aca="false">"8.18 %"</f>
        <v>8.18 %</v>
      </c>
      <c r="O823" s="0" t="s">
        <v>3186</v>
      </c>
    </row>
    <row r="824" customFormat="false" ht="13.8" hidden="false" customHeight="false" outlineLevel="0" collapsed="false">
      <c r="A824" s="0" t="s">
        <v>3187</v>
      </c>
      <c r="B824" s="0" t="n">
        <v>1</v>
      </c>
      <c r="D824" s="0" t="s">
        <v>2768</v>
      </c>
      <c r="E824" s="0" t="s">
        <v>2769</v>
      </c>
      <c r="F824" s="0" t="s">
        <v>2770</v>
      </c>
      <c r="G824" s="0" t="n">
        <v>0</v>
      </c>
      <c r="H824" s="0" t="s">
        <v>3188</v>
      </c>
      <c r="I824" s="0" t="s">
        <v>3189</v>
      </c>
      <c r="J824" s="0" t="s">
        <v>3190</v>
      </c>
      <c r="K824" s="0" t="str">
        <f aca="false">"1.1-1.5 %"</f>
        <v>1.1-1.5 %</v>
      </c>
      <c r="O824" s="0" t="s">
        <v>3191</v>
      </c>
    </row>
    <row r="825" customFormat="false" ht="13.8" hidden="false" customHeight="false" outlineLevel="0" collapsed="false">
      <c r="A825" s="0" t="s">
        <v>3192</v>
      </c>
      <c r="B825" s="0" t="n">
        <v>1</v>
      </c>
      <c r="D825" s="4" t="s">
        <v>3193</v>
      </c>
      <c r="E825" s="0" t="s">
        <v>3194</v>
      </c>
      <c r="F825" s="4" t="s">
        <v>3195</v>
      </c>
      <c r="G825" s="0" t="n">
        <v>1</v>
      </c>
      <c r="H825" s="0" t="s">
        <v>27</v>
      </c>
      <c r="J825" s="0" t="s">
        <v>28</v>
      </c>
      <c r="K825" s="0" t="str">
        <f aca="false">"6.70 %"</f>
        <v>6.70 %</v>
      </c>
      <c r="L825" s="0" t="str">
        <f aca="false">"0.70 V"</f>
        <v>0.70 V</v>
      </c>
      <c r="M825" s="0" t="str">
        <f aca="false">"15.96 mA cm^{-2}"</f>
        <v>15.96 mA cm^{-2}</v>
      </c>
      <c r="N825" s="0" t="str">
        <f aca="false">"0.60"</f>
        <v>0.60</v>
      </c>
      <c r="O825" s="0" t="s">
        <v>3196</v>
      </c>
    </row>
    <row r="826" customFormat="false" ht="13.8" hidden="false" customHeight="false" outlineLevel="0" collapsed="false">
      <c r="A826" s="0" t="s">
        <v>3197</v>
      </c>
      <c r="B826" s="0" t="n">
        <v>1</v>
      </c>
      <c r="D826" s="4" t="s">
        <v>3198</v>
      </c>
      <c r="E826" s="0" t="s">
        <v>3199</v>
      </c>
      <c r="F826" s="4" t="s">
        <v>601</v>
      </c>
      <c r="G826" s="0" t="n">
        <v>0</v>
      </c>
      <c r="H826" s="4" t="s">
        <v>3200</v>
      </c>
      <c r="I826" s="0" t="s">
        <v>3201</v>
      </c>
      <c r="J826" s="4" t="s">
        <v>3202</v>
      </c>
      <c r="K826" s="33" t="n">
        <v>0.06</v>
      </c>
      <c r="O826" s="0" t="s">
        <v>3203</v>
      </c>
    </row>
    <row r="827" customFormat="false" ht="13.8" hidden="false" customHeight="false" outlineLevel="0" collapsed="false">
      <c r="A827" s="0" t="s">
        <v>3204</v>
      </c>
      <c r="B827" s="0" t="n">
        <v>1</v>
      </c>
      <c r="D827" s="0" t="s">
        <v>3205</v>
      </c>
      <c r="E827" s="0" t="s">
        <v>3206</v>
      </c>
      <c r="F827" s="0" t="s">
        <v>3207</v>
      </c>
      <c r="G827" s="0" t="n">
        <v>0</v>
      </c>
      <c r="H827" s="0" t="s">
        <v>3208</v>
      </c>
      <c r="I827" s="0" t="s">
        <v>3209</v>
      </c>
      <c r="J827" s="0" t="s">
        <v>3210</v>
      </c>
      <c r="K827" s="0" t="str">
        <f aca="false">"5.88 %"</f>
        <v>5.88 %</v>
      </c>
      <c r="M827" s="0" t="str">
        <f aca="false">"10.77 mA cm^{-2}"</f>
        <v>10.77 mA cm^{-2}</v>
      </c>
      <c r="O827" s="0" t="s">
        <v>3211</v>
      </c>
    </row>
    <row r="828" customFormat="false" ht="13.8" hidden="false" customHeight="false" outlineLevel="0" collapsed="false">
      <c r="A828" s="0" t="s">
        <v>3212</v>
      </c>
      <c r="B828" s="0" t="n">
        <v>1</v>
      </c>
      <c r="D828" s="0" t="s">
        <v>124</v>
      </c>
      <c r="E828" s="0" t="s">
        <v>3213</v>
      </c>
      <c r="F828" s="0" t="s">
        <v>427</v>
      </c>
      <c r="G828" s="0" t="n">
        <v>1</v>
      </c>
      <c r="H828" s="0" t="s">
        <v>27</v>
      </c>
      <c r="J828" s="0" t="s">
        <v>28</v>
      </c>
      <c r="K828" s="0" t="str">
        <f aca="false">"6.0 %"</f>
        <v>6.0 %</v>
      </c>
      <c r="L828" s="0" t="str">
        <f aca="false">"0.74 V"</f>
        <v>0.74 V</v>
      </c>
      <c r="M828" s="0" t="str">
        <f aca="false">"12.50 mA cm^{-2}"</f>
        <v>12.50 mA cm^{-2}</v>
      </c>
      <c r="N828" s="0" t="str">
        <f aca="false">"0.65"</f>
        <v>0.65</v>
      </c>
      <c r="O828" s="0" t="s">
        <v>3214</v>
      </c>
    </row>
    <row r="829" customFormat="false" ht="13.8" hidden="false" customHeight="false" outlineLevel="0" collapsed="false">
      <c r="A829" s="0" t="s">
        <v>3212</v>
      </c>
      <c r="B829" s="0" t="n">
        <v>1</v>
      </c>
      <c r="D829" s="0" t="s">
        <v>3215</v>
      </c>
      <c r="E829" s="0" t="s">
        <v>3216</v>
      </c>
      <c r="F829" s="0" t="s">
        <v>3217</v>
      </c>
      <c r="G829" s="0" t="n">
        <v>1</v>
      </c>
      <c r="H829" s="0" t="s">
        <v>27</v>
      </c>
      <c r="J829" s="0" t="s">
        <v>28</v>
      </c>
    </row>
    <row r="830" customFormat="false" ht="13.8" hidden="false" customHeight="false" outlineLevel="0" collapsed="false">
      <c r="A830" s="0" t="s">
        <v>3218</v>
      </c>
      <c r="B830" s="0" t="n">
        <v>1</v>
      </c>
      <c r="D830" s="4" t="s">
        <v>3219</v>
      </c>
      <c r="E830" s="0" t="s">
        <v>3220</v>
      </c>
      <c r="F830" s="4" t="s">
        <v>3221</v>
      </c>
      <c r="G830" s="4" t="n">
        <v>1</v>
      </c>
      <c r="H830" s="4" t="s">
        <v>195</v>
      </c>
      <c r="I830" s="4"/>
      <c r="J830" s="4" t="s">
        <v>28</v>
      </c>
      <c r="K830" s="0" t="str">
        <f aca="false">"4.1 %"</f>
        <v>4.1 %</v>
      </c>
      <c r="O830" s="0" t="s">
        <v>3222</v>
      </c>
    </row>
    <row r="831" customFormat="false" ht="13.8" hidden="false" customHeight="false" outlineLevel="0" collapsed="false">
      <c r="A831" s="0" t="s">
        <v>3223</v>
      </c>
      <c r="B831" s="0" t="n">
        <v>1</v>
      </c>
      <c r="D831" s="0" t="s">
        <v>3224</v>
      </c>
      <c r="E831" s="0" t="s">
        <v>3225</v>
      </c>
      <c r="F831" s="0" t="s">
        <v>3226</v>
      </c>
      <c r="G831" s="0" t="n">
        <v>1</v>
      </c>
      <c r="H831" s="0" t="s">
        <v>27</v>
      </c>
      <c r="J831" s="0" t="s">
        <v>28</v>
      </c>
      <c r="K831" s="0" t="str">
        <f aca="false">"6.2 %"</f>
        <v>6.2 %</v>
      </c>
      <c r="O831" s="0" t="s">
        <v>3227</v>
      </c>
    </row>
    <row r="832" customFormat="false" ht="13.8" hidden="false" customHeight="false" outlineLevel="0" collapsed="false">
      <c r="A832" s="0" t="s">
        <v>3228</v>
      </c>
      <c r="B832" s="0" t="n">
        <v>1</v>
      </c>
      <c r="D832" s="0" t="s">
        <v>3229</v>
      </c>
      <c r="E832" s="0" t="s">
        <v>3230</v>
      </c>
      <c r="F832" s="0" t="s">
        <v>3231</v>
      </c>
      <c r="G832" s="0" t="n">
        <v>1</v>
      </c>
      <c r="H832" s="4" t="s">
        <v>3232</v>
      </c>
      <c r="J832" s="4" t="s">
        <v>3233</v>
      </c>
      <c r="K832" s="0" t="str">
        <f aca="false">"1 %"</f>
        <v>1 %</v>
      </c>
      <c r="O832" s="0" t="s">
        <v>3234</v>
      </c>
    </row>
    <row r="833" customFormat="false" ht="13.8" hidden="false" customHeight="false" outlineLevel="0" collapsed="false">
      <c r="A833" s="0" t="s">
        <v>3235</v>
      </c>
      <c r="B833" s="0" t="n">
        <v>1</v>
      </c>
      <c r="D833" s="4" t="s">
        <v>3236</v>
      </c>
      <c r="E833" s="0" t="s">
        <v>3237</v>
      </c>
      <c r="F833" s="4" t="s">
        <v>3238</v>
      </c>
      <c r="G833" s="0" t="n">
        <v>1</v>
      </c>
      <c r="H833" s="0" t="s">
        <v>27</v>
      </c>
      <c r="J833" s="0" t="s">
        <v>28</v>
      </c>
      <c r="K833" s="0" t="str">
        <f aca="false">"6.9 %"</f>
        <v>6.9 %</v>
      </c>
      <c r="L833" s="0" t="str">
        <f aca="false">"0.94 V"</f>
        <v>0.94 V</v>
      </c>
      <c r="M833" s="0" t="str">
        <f aca="false">"11.28 mA cm^{-2}"</f>
        <v>11.28 mA cm^{-2}</v>
      </c>
      <c r="N833" s="0" t="str">
        <f aca="false">"64.7 %"</f>
        <v>64.7 %</v>
      </c>
      <c r="O833" s="0" t="s">
        <v>3239</v>
      </c>
    </row>
    <row r="834" customFormat="false" ht="13.8" hidden="false" customHeight="false" outlineLevel="0" collapsed="false">
      <c r="A834" s="0" t="s">
        <v>3240</v>
      </c>
      <c r="B834" s="0" t="n">
        <v>1</v>
      </c>
      <c r="D834" s="0" t="s">
        <v>3241</v>
      </c>
      <c r="E834" s="0" t="s">
        <v>3242</v>
      </c>
      <c r="F834" s="0" t="s">
        <v>3243</v>
      </c>
      <c r="G834" s="0" t="n">
        <v>1</v>
      </c>
      <c r="H834" s="0" t="s">
        <v>27</v>
      </c>
      <c r="J834" s="0" t="s">
        <v>28</v>
      </c>
      <c r="K834" s="0" t="str">
        <f aca="false">"5.3 %"</f>
        <v>5.3 %</v>
      </c>
      <c r="O834" s="0" t="s">
        <v>3244</v>
      </c>
    </row>
    <row r="835" customFormat="false" ht="13.8" hidden="false" customHeight="false" outlineLevel="0" collapsed="false">
      <c r="A835" s="0" t="s">
        <v>3240</v>
      </c>
      <c r="B835" s="0" t="n">
        <v>1</v>
      </c>
      <c r="D835" s="0" t="s">
        <v>3245</v>
      </c>
      <c r="E835" s="0" t="s">
        <v>3246</v>
      </c>
      <c r="F835" s="0" t="s">
        <v>3247</v>
      </c>
      <c r="G835" s="0" t="n">
        <v>1</v>
      </c>
      <c r="H835" s="0" t="s">
        <v>27</v>
      </c>
      <c r="J835" s="0" t="s">
        <v>28</v>
      </c>
      <c r="K835" s="0" t="str">
        <f aca="false">"2.1 %"</f>
        <v>2.1 %</v>
      </c>
      <c r="O835" s="0" t="s">
        <v>3248</v>
      </c>
    </row>
    <row r="836" customFormat="false" ht="13.8" hidden="false" customHeight="false" outlineLevel="0" collapsed="false">
      <c r="A836" s="0" t="s">
        <v>3249</v>
      </c>
      <c r="B836" s="0" t="n">
        <v>1</v>
      </c>
      <c r="D836" s="0" t="s">
        <v>3250</v>
      </c>
      <c r="E836" s="4" t="s">
        <v>3251</v>
      </c>
      <c r="F836" s="0" t="s">
        <v>3252</v>
      </c>
      <c r="G836" s="0" t="n">
        <v>1</v>
      </c>
      <c r="H836" s="0" t="s">
        <v>27</v>
      </c>
      <c r="J836" s="0" t="s">
        <v>28</v>
      </c>
      <c r="K836" s="0" t="str">
        <f aca="false">"7.05 %"</f>
        <v>7.05 %</v>
      </c>
      <c r="N836" s="3" t="n">
        <v>0.6738</v>
      </c>
      <c r="O836" s="0" t="s">
        <v>3253</v>
      </c>
    </row>
    <row r="837" customFormat="false" ht="13.8" hidden="false" customHeight="false" outlineLevel="0" collapsed="false">
      <c r="A837" s="0" t="s">
        <v>3254</v>
      </c>
      <c r="B837" s="0" t="n">
        <v>1</v>
      </c>
      <c r="D837" s="0" t="s">
        <v>3255</v>
      </c>
      <c r="E837" s="0" t="s">
        <v>3256</v>
      </c>
      <c r="F837" s="0" t="s">
        <v>3257</v>
      </c>
      <c r="G837" s="0" t="n">
        <v>1</v>
      </c>
      <c r="H837" s="0" t="s">
        <v>27</v>
      </c>
      <c r="J837" s="0" t="s">
        <v>28</v>
      </c>
      <c r="K837" s="0" t="str">
        <f aca="false">"5.46 %"</f>
        <v>5.46 %</v>
      </c>
      <c r="O837" s="0" t="s">
        <v>3258</v>
      </c>
    </row>
    <row r="838" customFormat="false" ht="13.8" hidden="false" customHeight="false" outlineLevel="0" collapsed="false">
      <c r="A838" s="0" t="s">
        <v>3259</v>
      </c>
      <c r="B838" s="0" t="n">
        <v>1</v>
      </c>
      <c r="D838" s="0" t="s">
        <v>3260</v>
      </c>
      <c r="E838" s="0" t="s">
        <v>3261</v>
      </c>
      <c r="F838" s="0" t="s">
        <v>3262</v>
      </c>
      <c r="G838" s="0" t="n">
        <v>1</v>
      </c>
      <c r="H838" s="0" t="s">
        <v>27</v>
      </c>
      <c r="J838" s="0" t="s">
        <v>28</v>
      </c>
      <c r="K838" s="0" t="str">
        <f aca="false">"3.29 %"</f>
        <v>3.29 %</v>
      </c>
      <c r="L838" s="0" t="str">
        <f aca="false">"1.07 V"</f>
        <v>1.07 V</v>
      </c>
      <c r="M838" s="0" t="str">
        <f aca="false">"7.53 mA cm^{-2}"</f>
        <v>7.53 mA cm^{-2}</v>
      </c>
      <c r="N838" s="0" t="str">
        <f aca="false">"0.41"</f>
        <v>0.41</v>
      </c>
      <c r="O838" s="0" t="s">
        <v>3263</v>
      </c>
    </row>
    <row r="839" customFormat="false" ht="13.8" hidden="false" customHeight="false" outlineLevel="0" collapsed="false">
      <c r="A839" s="0" t="s">
        <v>3264</v>
      </c>
      <c r="B839" s="0" t="n">
        <v>1</v>
      </c>
      <c r="D839" s="0" t="s">
        <v>124</v>
      </c>
      <c r="E839" s="0" t="s">
        <v>3265</v>
      </c>
      <c r="F839" s="0" t="s">
        <v>427</v>
      </c>
      <c r="G839" s="0" t="n">
        <v>1</v>
      </c>
      <c r="H839" s="0" t="s">
        <v>27</v>
      </c>
      <c r="J839" s="0" t="s">
        <v>28</v>
      </c>
      <c r="K839" s="28" t="n">
        <v>0.0528</v>
      </c>
      <c r="L839" s="15" t="s">
        <v>3266</v>
      </c>
      <c r="M839" s="15" t="s">
        <v>3267</v>
      </c>
      <c r="N839" s="4" t="str">
        <f aca="false">"0.55"</f>
        <v>0.55</v>
      </c>
      <c r="O839" s="0" t="s">
        <v>3268</v>
      </c>
    </row>
    <row r="840" customFormat="false" ht="13.8" hidden="false" customHeight="false" outlineLevel="0" collapsed="false">
      <c r="A840" s="0" t="s">
        <v>3264</v>
      </c>
      <c r="B840" s="0" t="n">
        <v>1</v>
      </c>
      <c r="D840" s="0" t="s">
        <v>128</v>
      </c>
      <c r="E840" s="0" t="s">
        <v>3269</v>
      </c>
      <c r="F840" s="0" t="s">
        <v>130</v>
      </c>
      <c r="G840" s="0" t="n">
        <v>1</v>
      </c>
      <c r="H840" s="0" t="s">
        <v>27</v>
      </c>
      <c r="J840" s="0" t="s">
        <v>28</v>
      </c>
      <c r="K840" s="28" t="n">
        <v>0.0554</v>
      </c>
      <c r="L840" s="0" t="str">
        <f aca="false">"0.80 V"</f>
        <v>0.80 V</v>
      </c>
      <c r="M840" s="0" t="str">
        <f aca="false">"12.18 mA cm^{-2}"</f>
        <v>12.18 mA cm^{-2}</v>
      </c>
      <c r="N840" s="4" t="str">
        <f aca="false">"0.57"</f>
        <v>0.57</v>
      </c>
      <c r="O840" s="0" t="s">
        <v>3270</v>
      </c>
    </row>
    <row r="841" customFormat="false" ht="13.8" hidden="false" customHeight="false" outlineLevel="0" collapsed="false">
      <c r="A841" s="0" t="s">
        <v>3271</v>
      </c>
      <c r="B841" s="0" t="n">
        <v>1</v>
      </c>
      <c r="D841" s="0" t="s">
        <v>3272</v>
      </c>
      <c r="E841" s="0" t="s">
        <v>3273</v>
      </c>
      <c r="F841" s="0" t="s">
        <v>3274</v>
      </c>
      <c r="G841" s="0" t="n">
        <v>1</v>
      </c>
      <c r="H841" s="0" t="s">
        <v>27</v>
      </c>
      <c r="J841" s="0" t="s">
        <v>28</v>
      </c>
      <c r="K841" s="0" t="str">
        <f aca="false">"6.4 %"</f>
        <v>6.4 %</v>
      </c>
      <c r="O841" s="0" t="s">
        <v>3275</v>
      </c>
    </row>
    <row r="842" customFormat="false" ht="13.8" hidden="false" customHeight="false" outlineLevel="0" collapsed="false">
      <c r="A842" s="0" t="s">
        <v>3276</v>
      </c>
      <c r="B842" s="0" t="n">
        <v>1</v>
      </c>
      <c r="D842" s="4" t="s">
        <v>128</v>
      </c>
      <c r="E842" s="0" t="s">
        <v>3277</v>
      </c>
      <c r="F842" s="4" t="s">
        <v>130</v>
      </c>
      <c r="G842" s="0" t="n">
        <v>1</v>
      </c>
      <c r="H842" s="0" t="s">
        <v>76</v>
      </c>
      <c r="J842" s="0" t="s">
        <v>77</v>
      </c>
      <c r="K842" s="0" t="str">
        <f aca="false">"4.17 %"</f>
        <v>4.17 %</v>
      </c>
      <c r="L842" s="0" t="str">
        <f aca="false">"600 mV"</f>
        <v>600 mV</v>
      </c>
      <c r="M842" s="0" t="str">
        <f aca="false">"10.71 mA cm^{-2}"</f>
        <v>10.71 mA cm^{-2}</v>
      </c>
      <c r="N842" s="0" t="str">
        <f aca="false">"65 %"</f>
        <v>65 %</v>
      </c>
      <c r="O842" s="0" t="s">
        <v>3278</v>
      </c>
    </row>
    <row r="843" customFormat="false" ht="13.8" hidden="false" customHeight="false" outlineLevel="0" collapsed="false">
      <c r="A843" s="0" t="s">
        <v>3279</v>
      </c>
      <c r="B843" s="0" t="n">
        <v>1</v>
      </c>
      <c r="D843" s="4" t="s">
        <v>3280</v>
      </c>
      <c r="E843" s="0" t="s">
        <v>3281</v>
      </c>
      <c r="F843" s="4" t="s">
        <v>3282</v>
      </c>
      <c r="G843" s="0" t="n">
        <v>1</v>
      </c>
      <c r="H843" s="0" t="s">
        <v>76</v>
      </c>
      <c r="J843" s="0" t="s">
        <v>77</v>
      </c>
      <c r="K843" s="0" t="str">
        <f aca="false">"2.08 %"</f>
        <v>2.08 %</v>
      </c>
      <c r="O843" s="0" t="s">
        <v>3283</v>
      </c>
    </row>
    <row r="844" customFormat="false" ht="13.8" hidden="false" customHeight="false" outlineLevel="0" collapsed="false">
      <c r="A844" s="0" t="s">
        <v>3284</v>
      </c>
      <c r="B844" s="0" t="n">
        <v>1</v>
      </c>
      <c r="D844" s="4" t="s">
        <v>3285</v>
      </c>
      <c r="E844" s="0" t="s">
        <v>3286</v>
      </c>
      <c r="F844" s="4" t="s">
        <v>3287</v>
      </c>
      <c r="G844" s="0" t="n">
        <v>1</v>
      </c>
      <c r="H844" s="0" t="s">
        <v>33</v>
      </c>
      <c r="J844" s="0" t="s">
        <v>3288</v>
      </c>
      <c r="K844" s="0" t="str">
        <f aca="false">"0.26 %"</f>
        <v>0.26 %</v>
      </c>
      <c r="L844" s="0" t="str">
        <f aca="false">"0.55 V"</f>
        <v>0.55 V</v>
      </c>
      <c r="M844" s="0" t="str">
        <f aca="false">"1.13 mA cm^{-2}"</f>
        <v>1.13 mA cm^{-2}</v>
      </c>
      <c r="N844" s="0" t="str">
        <f aca="false">"0.44"</f>
        <v>0.44</v>
      </c>
      <c r="O844" s="0" t="s">
        <v>3289</v>
      </c>
    </row>
    <row r="845" customFormat="false" ht="13.8" hidden="false" customHeight="false" outlineLevel="0" collapsed="false">
      <c r="A845" s="0" t="s">
        <v>3290</v>
      </c>
      <c r="B845" s="0" t="n">
        <v>1</v>
      </c>
      <c r="D845" s="4" t="s">
        <v>3291</v>
      </c>
      <c r="E845" s="0" t="s">
        <v>3292</v>
      </c>
      <c r="F845" s="4" t="s">
        <v>3293</v>
      </c>
      <c r="G845" s="4" t="n">
        <v>1</v>
      </c>
      <c r="H845" s="4" t="s">
        <v>3294</v>
      </c>
      <c r="I845" s="4"/>
      <c r="J845" s="4" t="s">
        <v>77</v>
      </c>
      <c r="K845" s="0" t="str">
        <f aca="false">"4.31 %"</f>
        <v>4.31 %</v>
      </c>
      <c r="M845" s="0" t="str">
        <f aca="false">"11.91 mA cm^{-2}"</f>
        <v>11.91 mA cm^{-2}</v>
      </c>
      <c r="O845" s="0" t="s">
        <v>3295</v>
      </c>
    </row>
    <row r="846" customFormat="false" ht="13.8" hidden="false" customHeight="false" outlineLevel="0" collapsed="false">
      <c r="A846" s="0" t="s">
        <v>3290</v>
      </c>
      <c r="B846" s="0" t="n">
        <v>1</v>
      </c>
      <c r="D846" s="27" t="s">
        <v>3296</v>
      </c>
      <c r="E846" s="0" t="s">
        <v>3297</v>
      </c>
      <c r="F846" s="27" t="s">
        <v>3298</v>
      </c>
      <c r="G846" s="0" t="n">
        <v>1</v>
      </c>
      <c r="H846" s="4" t="s">
        <v>3294</v>
      </c>
      <c r="J846" s="0" t="s">
        <v>77</v>
      </c>
      <c r="K846" s="9" t="n">
        <v>0.0186</v>
      </c>
      <c r="M846" s="0" t="s">
        <v>3299</v>
      </c>
      <c r="N846" s="0" t="str">
        <f aca="false">"0.42"</f>
        <v>0.42</v>
      </c>
    </row>
    <row r="847" customFormat="false" ht="13.8" hidden="false" customHeight="false" outlineLevel="0" collapsed="false">
      <c r="A847" s="0" t="s">
        <v>3300</v>
      </c>
      <c r="B847" s="0" t="n">
        <v>1</v>
      </c>
      <c r="D847" s="0" t="s">
        <v>3301</v>
      </c>
      <c r="E847" s="0" t="s">
        <v>3302</v>
      </c>
      <c r="F847" s="0" t="s">
        <v>3303</v>
      </c>
      <c r="G847" s="0" t="n">
        <v>1</v>
      </c>
      <c r="H847" s="0" t="s">
        <v>33</v>
      </c>
      <c r="J847" s="0" t="s">
        <v>398</v>
      </c>
      <c r="K847" s="31" t="str">
        <f aca="false">"0.7 %"</f>
        <v>0.7 %</v>
      </c>
      <c r="L847" s="15" t="str">
        <f aca="false">"1.0 V"</f>
        <v>1.0 V</v>
      </c>
      <c r="O847" s="0" t="s">
        <v>3304</v>
      </c>
    </row>
    <row r="848" customFormat="false" ht="13.8" hidden="false" customHeight="false" outlineLevel="0" collapsed="false">
      <c r="A848" s="0" t="s">
        <v>3305</v>
      </c>
      <c r="B848" s="0" t="n">
        <v>1</v>
      </c>
      <c r="D848" s="4" t="s">
        <v>3306</v>
      </c>
      <c r="E848" s="0" t="s">
        <v>3307</v>
      </c>
      <c r="F848" s="4" t="s">
        <v>3308</v>
      </c>
      <c r="G848" s="0" t="n">
        <v>1</v>
      </c>
      <c r="H848" s="0" t="s">
        <v>27</v>
      </c>
      <c r="J848" s="0" t="s">
        <v>28</v>
      </c>
      <c r="K848" s="0" t="str">
        <f aca="false">"2.50 %"</f>
        <v>2.50 %</v>
      </c>
      <c r="L848" s="0" t="str">
        <f aca="false">"0.93 V"</f>
        <v>0.93 V</v>
      </c>
      <c r="M848" s="0" t="str">
        <f aca="false">"6.34 mA cm^{-2}"</f>
        <v>6.34 mA cm^{-2}</v>
      </c>
      <c r="O848" s="0" t="s">
        <v>3309</v>
      </c>
    </row>
    <row r="849" customFormat="false" ht="13.8" hidden="false" customHeight="false" outlineLevel="0" collapsed="false">
      <c r="A849" s="0" t="s">
        <v>3305</v>
      </c>
      <c r="B849" s="0" t="n">
        <v>1</v>
      </c>
      <c r="D849" s="27" t="s">
        <v>3310</v>
      </c>
      <c r="E849" s="0" t="s">
        <v>3311</v>
      </c>
      <c r="F849" s="27" t="s">
        <v>3312</v>
      </c>
      <c r="G849" s="0" t="n">
        <v>1</v>
      </c>
      <c r="H849" s="0" t="s">
        <v>27</v>
      </c>
      <c r="J849" s="0" t="s">
        <v>28</v>
      </c>
      <c r="K849" s="9" t="n">
        <v>0.0266</v>
      </c>
      <c r="L849" s="0" t="s">
        <v>3313</v>
      </c>
      <c r="M849" s="0" t="s">
        <v>3314</v>
      </c>
    </row>
    <row r="850" customFormat="false" ht="13.8" hidden="false" customHeight="false" outlineLevel="0" collapsed="false">
      <c r="A850" s="0" t="s">
        <v>3315</v>
      </c>
      <c r="B850" s="0" t="n">
        <v>1</v>
      </c>
      <c r="D850" s="4" t="s">
        <v>2939</v>
      </c>
      <c r="E850" s="0" t="s">
        <v>3316</v>
      </c>
      <c r="F850" s="4" t="s">
        <v>2941</v>
      </c>
      <c r="G850" s="0" t="n">
        <v>1</v>
      </c>
      <c r="H850" s="0" t="s">
        <v>33</v>
      </c>
      <c r="J850" s="0" t="s">
        <v>34</v>
      </c>
      <c r="K850" s="0" t="str">
        <f aca="false">"1.45 %"</f>
        <v>1.45 %</v>
      </c>
      <c r="O850" s="0" t="s">
        <v>3317</v>
      </c>
    </row>
    <row r="851" customFormat="false" ht="13.8" hidden="false" customHeight="false" outlineLevel="0" collapsed="false">
      <c r="A851" s="0" t="s">
        <v>3318</v>
      </c>
      <c r="C851" s="0" t="n">
        <v>1</v>
      </c>
      <c r="D851" s="0" t="s">
        <v>16</v>
      </c>
      <c r="E851" s="0" t="s">
        <v>17</v>
      </c>
      <c r="F851" s="0" t="s">
        <v>18</v>
      </c>
      <c r="G851" s="0" t="n">
        <v>0</v>
      </c>
      <c r="H851" s="4" t="s">
        <v>3319</v>
      </c>
      <c r="J851" s="4" t="s">
        <v>3320</v>
      </c>
      <c r="K851" s="0" t="str">
        <f aca="false">"0.02 %"</f>
        <v>0.02 %</v>
      </c>
      <c r="O851" s="0" t="s">
        <v>3321</v>
      </c>
    </row>
    <row r="852" customFormat="false" ht="13.8" hidden="false" customHeight="false" outlineLevel="0" collapsed="false">
      <c r="A852" s="0" t="s">
        <v>3322</v>
      </c>
      <c r="B852" s="0" t="n">
        <v>1</v>
      </c>
      <c r="D852" s="0" t="s">
        <v>3323</v>
      </c>
      <c r="E852" s="0" t="s">
        <v>3324</v>
      </c>
      <c r="F852" s="0" t="s">
        <v>3325</v>
      </c>
      <c r="G852" s="0" t="n">
        <v>1</v>
      </c>
      <c r="H852" s="0" t="s">
        <v>33</v>
      </c>
      <c r="J852" s="15" t="s">
        <v>34</v>
      </c>
      <c r="K852" s="0" t="str">
        <f aca="false">"0.18 %"</f>
        <v>0.18 %</v>
      </c>
      <c r="O852" s="0" t="s">
        <v>3326</v>
      </c>
    </row>
    <row r="853" customFormat="false" ht="13.8" hidden="false" customHeight="false" outlineLevel="0" collapsed="false">
      <c r="A853" s="0" t="s">
        <v>3322</v>
      </c>
      <c r="B853" s="0" t="n">
        <v>1</v>
      </c>
      <c r="D853" s="0" t="s">
        <v>3327</v>
      </c>
      <c r="E853" s="0" t="s">
        <v>3328</v>
      </c>
      <c r="F853" s="0" t="s">
        <v>3329</v>
      </c>
      <c r="G853" s="0" t="n">
        <v>1</v>
      </c>
      <c r="H853" s="0" t="s">
        <v>33</v>
      </c>
      <c r="J853" s="0" t="s">
        <v>34</v>
      </c>
      <c r="K853" s="9" t="n">
        <v>0.0032</v>
      </c>
    </row>
    <row r="854" customFormat="false" ht="13.8" hidden="false" customHeight="false" outlineLevel="0" collapsed="false">
      <c r="A854" s="0" t="s">
        <v>3330</v>
      </c>
      <c r="B854" s="0" t="n">
        <v>1</v>
      </c>
      <c r="D854" s="4" t="s">
        <v>3331</v>
      </c>
      <c r="E854" s="0" t="s">
        <v>3332</v>
      </c>
      <c r="F854" s="4" t="s">
        <v>40</v>
      </c>
      <c r="G854" s="0" t="n">
        <v>1</v>
      </c>
      <c r="H854" s="0" t="s">
        <v>76</v>
      </c>
      <c r="J854" s="0" t="s">
        <v>77</v>
      </c>
      <c r="K854" s="0" t="str">
        <f aca="false">"1.1-1.2 %"</f>
        <v>1.1-1.2 %</v>
      </c>
      <c r="L854" s="0" t="str">
        <f aca="false">"0.64-0.68 V"</f>
        <v>0.64-0.68 V</v>
      </c>
      <c r="O854" s="0" t="s">
        <v>3333</v>
      </c>
    </row>
    <row r="855" customFormat="false" ht="13.8" hidden="false" customHeight="false" outlineLevel="0" collapsed="false">
      <c r="A855" s="0" t="s">
        <v>3334</v>
      </c>
      <c r="B855" s="0" t="n">
        <v>1</v>
      </c>
      <c r="D855" s="0" t="s">
        <v>3335</v>
      </c>
      <c r="E855" s="0" t="s">
        <v>3336</v>
      </c>
      <c r="F855" s="0" t="s">
        <v>3337</v>
      </c>
      <c r="G855" s="0" t="n">
        <v>1</v>
      </c>
      <c r="H855" s="0" t="s">
        <v>27</v>
      </c>
      <c r="J855" s="0" t="s">
        <v>28</v>
      </c>
      <c r="K855" s="3" t="n">
        <v>0.0293</v>
      </c>
      <c r="L855" s="0" t="str">
        <f aca="false">"0.74 V"</f>
        <v>0.74 V</v>
      </c>
      <c r="M855" s="0" t="str">
        <f aca="false">"8.82 mA/cm^{2}"</f>
        <v>8.82 mA/cm^{2}</v>
      </c>
      <c r="N855" s="0" t="str">
        <f aca="false">"45 %"</f>
        <v>45 %</v>
      </c>
      <c r="O855" s="0" t="s">
        <v>3338</v>
      </c>
    </row>
    <row r="856" customFormat="false" ht="13.8" hidden="false" customHeight="false" outlineLevel="0" collapsed="false">
      <c r="A856" s="0" t="s">
        <v>3339</v>
      </c>
      <c r="B856" s="0" t="n">
        <v>1</v>
      </c>
      <c r="D856" s="4" t="s">
        <v>3340</v>
      </c>
      <c r="E856" s="0" t="s">
        <v>3341</v>
      </c>
      <c r="F856" s="4" t="s">
        <v>3342</v>
      </c>
      <c r="G856" s="0" t="n">
        <v>1</v>
      </c>
      <c r="H856" s="0" t="s">
        <v>76</v>
      </c>
      <c r="J856" s="0" t="s">
        <v>77</v>
      </c>
      <c r="K856" s="0" t="str">
        <f aca="false">"4.85 %"</f>
        <v>4.85 %</v>
      </c>
      <c r="O856" s="0" t="s">
        <v>3343</v>
      </c>
    </row>
    <row r="857" customFormat="false" ht="13.8" hidden="false" customHeight="false" outlineLevel="0" collapsed="false">
      <c r="A857" s="0" t="s">
        <v>3344</v>
      </c>
      <c r="B857" s="0" t="n">
        <v>1</v>
      </c>
      <c r="D857" s="0" t="s">
        <v>3345</v>
      </c>
      <c r="E857" s="0" t="s">
        <v>3346</v>
      </c>
      <c r="F857" s="0" t="s">
        <v>3347</v>
      </c>
      <c r="G857" s="0" t="n">
        <v>1</v>
      </c>
      <c r="H857" s="0" t="s">
        <v>66</v>
      </c>
      <c r="J857" s="0" t="s">
        <v>67</v>
      </c>
      <c r="K857" s="0" t="str">
        <f aca="false">"2.13 %"</f>
        <v>2.13 %</v>
      </c>
      <c r="L857" s="15" t="s">
        <v>1559</v>
      </c>
      <c r="M857" s="15" t="s">
        <v>3348</v>
      </c>
      <c r="N857" s="0" t="str">
        <f aca="false">"0.34"</f>
        <v>0.34</v>
      </c>
      <c r="O857" s="0" t="s">
        <v>3349</v>
      </c>
    </row>
    <row r="858" customFormat="false" ht="13.8" hidden="false" customHeight="false" outlineLevel="0" collapsed="false">
      <c r="A858" s="0" t="s">
        <v>3350</v>
      </c>
      <c r="B858" s="0" t="n">
        <v>1</v>
      </c>
      <c r="D858" s="4" t="s">
        <v>3351</v>
      </c>
      <c r="E858" s="0" t="s">
        <v>3352</v>
      </c>
      <c r="F858" s="0" t="s">
        <v>3353</v>
      </c>
      <c r="G858" s="0" t="n">
        <v>0</v>
      </c>
      <c r="H858" s="4" t="s">
        <v>163</v>
      </c>
      <c r="I858" s="0" t="s">
        <v>164</v>
      </c>
      <c r="J858" s="4" t="s">
        <v>165</v>
      </c>
      <c r="K858" s="0" t="str">
        <f aca="false">"7.15 %"</f>
        <v>7.15 %</v>
      </c>
      <c r="L858" s="0" t="str">
        <f aca="false">"0.803 V"</f>
        <v>0.803 V</v>
      </c>
      <c r="M858" s="0" t="str">
        <f aca="false">"14.71 mA cm^{-2}"</f>
        <v>14.71 mA cm^{-2}</v>
      </c>
      <c r="N858" s="0" t="str">
        <f aca="false">"60.57 %"</f>
        <v>60.57 %</v>
      </c>
      <c r="O858" s="0" t="s">
        <v>3354</v>
      </c>
    </row>
    <row r="859" customFormat="false" ht="13.8" hidden="false" customHeight="false" outlineLevel="0" collapsed="false">
      <c r="A859" s="0" t="s">
        <v>3355</v>
      </c>
      <c r="B859" s="0" t="n">
        <v>1</v>
      </c>
      <c r="D859" s="4" t="s">
        <v>2311</v>
      </c>
      <c r="E859" s="0" t="s">
        <v>3356</v>
      </c>
      <c r="F859" s="4" t="s">
        <v>2382</v>
      </c>
      <c r="G859" s="0" t="n">
        <v>1</v>
      </c>
      <c r="H859" s="0" t="s">
        <v>33</v>
      </c>
      <c r="J859" s="0" t="s">
        <v>34</v>
      </c>
      <c r="K859" s="0" t="str">
        <f aca="false">"0.57 %"</f>
        <v>0.57 %</v>
      </c>
      <c r="O859" s="0" t="s">
        <v>3357</v>
      </c>
    </row>
    <row r="860" customFormat="false" ht="13.8" hidden="false" customHeight="false" outlineLevel="0" collapsed="false">
      <c r="A860" s="0" t="s">
        <v>3355</v>
      </c>
      <c r="B860" s="0" t="n">
        <v>1</v>
      </c>
      <c r="D860" s="27" t="s">
        <v>253</v>
      </c>
      <c r="E860" s="27" t="s">
        <v>3358</v>
      </c>
      <c r="F860" s="27" t="s">
        <v>258</v>
      </c>
      <c r="G860" s="0" t="n">
        <v>1</v>
      </c>
      <c r="H860" s="0" t="s">
        <v>33</v>
      </c>
      <c r="J860" s="0" t="s">
        <v>34</v>
      </c>
      <c r="K860" s="9" t="n">
        <v>0.0046</v>
      </c>
    </row>
    <row r="861" customFormat="false" ht="13.8" hidden="false" customHeight="false" outlineLevel="0" collapsed="false">
      <c r="A861" s="0" t="s">
        <v>3355</v>
      </c>
      <c r="B861" s="0" t="n">
        <v>1</v>
      </c>
      <c r="D861" s="27" t="s">
        <v>128</v>
      </c>
      <c r="E861" s="27" t="s">
        <v>3359</v>
      </c>
      <c r="F861" s="27" t="s">
        <v>130</v>
      </c>
      <c r="G861" s="0" t="n">
        <v>1</v>
      </c>
      <c r="H861" s="0" t="s">
        <v>33</v>
      </c>
      <c r="J861" s="0" t="s">
        <v>34</v>
      </c>
      <c r="K861" s="9" t="n">
        <v>0.0014</v>
      </c>
    </row>
    <row r="862" customFormat="false" ht="13.8" hidden="false" customHeight="false" outlineLevel="0" collapsed="false">
      <c r="A862" s="0" t="s">
        <v>3355</v>
      </c>
      <c r="B862" s="0" t="n">
        <v>1</v>
      </c>
      <c r="D862" s="27" t="s">
        <v>124</v>
      </c>
      <c r="E862" s="27" t="s">
        <v>3360</v>
      </c>
      <c r="F862" s="27" t="s">
        <v>427</v>
      </c>
      <c r="G862" s="0" t="n">
        <v>1</v>
      </c>
      <c r="H862" s="0" t="s">
        <v>33</v>
      </c>
      <c r="J862" s="0" t="s">
        <v>34</v>
      </c>
      <c r="K862" s="9" t="n">
        <v>0.00029</v>
      </c>
    </row>
    <row r="863" customFormat="false" ht="13.8" hidden="false" customHeight="false" outlineLevel="0" collapsed="false">
      <c r="A863" s="0" t="s">
        <v>3361</v>
      </c>
      <c r="B863" s="0" t="n">
        <v>1</v>
      </c>
      <c r="D863" s="4" t="s">
        <v>3362</v>
      </c>
      <c r="E863" s="27" t="s">
        <v>3363</v>
      </c>
      <c r="F863" s="4" t="s">
        <v>3364</v>
      </c>
      <c r="G863" s="0" t="n">
        <v>1</v>
      </c>
      <c r="H863" s="0" t="s">
        <v>33</v>
      </c>
      <c r="J863" s="0" t="s">
        <v>34</v>
      </c>
      <c r="O863" s="0" t="s">
        <v>3365</v>
      </c>
    </row>
    <row r="864" customFormat="false" ht="13.8" hidden="false" customHeight="false" outlineLevel="0" collapsed="false">
      <c r="A864" s="0" t="s">
        <v>3361</v>
      </c>
      <c r="B864" s="0" t="n">
        <v>1</v>
      </c>
      <c r="D864" s="0" t="s">
        <v>3366</v>
      </c>
      <c r="E864" s="27" t="s">
        <v>3367</v>
      </c>
      <c r="F864" s="0" t="s">
        <v>3368</v>
      </c>
      <c r="G864" s="0" t="n">
        <v>1</v>
      </c>
      <c r="H864" s="0" t="s">
        <v>33</v>
      </c>
      <c r="J864" s="0" t="s">
        <v>34</v>
      </c>
      <c r="K864" s="0" t="str">
        <f aca="false">"1.63 %"</f>
        <v>1.63 %</v>
      </c>
      <c r="O864" s="0" t="s">
        <v>3369</v>
      </c>
    </row>
    <row r="865" customFormat="false" ht="13.8" hidden="false" customHeight="false" outlineLevel="0" collapsed="false">
      <c r="A865" s="0" t="s">
        <v>3361</v>
      </c>
      <c r="B865" s="0" t="n">
        <v>1</v>
      </c>
      <c r="D865" s="27" t="s">
        <v>3370</v>
      </c>
      <c r="E865" s="27" t="s">
        <v>3371</v>
      </c>
      <c r="F865" s="27" t="s">
        <v>3372</v>
      </c>
      <c r="G865" s="0" t="n">
        <v>1</v>
      </c>
      <c r="H865" s="0" t="s">
        <v>33</v>
      </c>
      <c r="J865" s="0" t="s">
        <v>34</v>
      </c>
    </row>
    <row r="866" customFormat="false" ht="13.8" hidden="false" customHeight="false" outlineLevel="0" collapsed="false">
      <c r="A866" s="0" t="s">
        <v>3361</v>
      </c>
      <c r="B866" s="0" t="n">
        <v>1</v>
      </c>
      <c r="D866" s="27" t="s">
        <v>3373</v>
      </c>
      <c r="E866" s="0" t="s">
        <v>3374</v>
      </c>
      <c r="F866" s="27" t="s">
        <v>3375</v>
      </c>
      <c r="G866" s="0" t="n">
        <v>1</v>
      </c>
      <c r="H866" s="0" t="s">
        <v>33</v>
      </c>
      <c r="J866" s="0" t="s">
        <v>34</v>
      </c>
    </row>
    <row r="867" customFormat="false" ht="13.8" hidden="false" customHeight="false" outlineLevel="0" collapsed="false">
      <c r="A867" s="0" t="s">
        <v>3376</v>
      </c>
      <c r="B867" s="0" t="n">
        <v>1</v>
      </c>
      <c r="D867" s="4" t="str">
        <f aca="false">"2"</f>
        <v>2</v>
      </c>
      <c r="E867" s="27" t="s">
        <v>3377</v>
      </c>
      <c r="F867" s="4" t="s">
        <v>3378</v>
      </c>
      <c r="G867" s="4" t="n">
        <v>1</v>
      </c>
      <c r="H867" s="4" t="s">
        <v>3379</v>
      </c>
      <c r="I867" s="4"/>
      <c r="J867" s="4" t="s">
        <v>3380</v>
      </c>
      <c r="K867" s="28" t="str">
        <f aca="false">"0.37"</f>
        <v>0.37</v>
      </c>
      <c r="O867" s="0" t="s">
        <v>3381</v>
      </c>
    </row>
    <row r="868" customFormat="false" ht="13.8" hidden="false" customHeight="false" outlineLevel="0" collapsed="false">
      <c r="A868" s="0" t="s">
        <v>3376</v>
      </c>
      <c r="B868" s="0" t="n">
        <v>1</v>
      </c>
      <c r="D868" s="4" t="s">
        <v>3382</v>
      </c>
      <c r="E868" s="27" t="s">
        <v>3383</v>
      </c>
      <c r="F868" s="4" t="s">
        <v>3384</v>
      </c>
      <c r="G868" s="4" t="n">
        <v>1</v>
      </c>
      <c r="H868" s="4" t="s">
        <v>3379</v>
      </c>
      <c r="I868" s="4"/>
      <c r="J868" s="4" t="s">
        <v>3380</v>
      </c>
      <c r="K868" s="0" t="str">
        <f aca="false">"0.42 %"</f>
        <v>0.42 %</v>
      </c>
      <c r="O868" s="0" t="s">
        <v>3385</v>
      </c>
    </row>
    <row r="869" customFormat="false" ht="14.25" hidden="false" customHeight="true" outlineLevel="0" collapsed="false">
      <c r="A869" s="0" t="s">
        <v>3386</v>
      </c>
      <c r="B869" s="0" t="n">
        <v>1</v>
      </c>
      <c r="D869" s="4" t="s">
        <v>3387</v>
      </c>
      <c r="E869" s="38" t="s">
        <v>3388</v>
      </c>
      <c r="F869" s="4" t="s">
        <v>3389</v>
      </c>
      <c r="G869" s="0" t="n">
        <v>1</v>
      </c>
      <c r="H869" s="0" t="s">
        <v>27</v>
      </c>
      <c r="J869" s="0" t="s">
        <v>3390</v>
      </c>
      <c r="K869" s="0" t="str">
        <f aca="false">"3.71 %"</f>
        <v>3.71 %</v>
      </c>
      <c r="O869" s="0" t="s">
        <v>3391</v>
      </c>
    </row>
    <row r="870" customFormat="false" ht="13.8" hidden="false" customHeight="false" outlineLevel="0" collapsed="false">
      <c r="A870" s="0" t="s">
        <v>3386</v>
      </c>
      <c r="B870" s="0" t="n">
        <v>1</v>
      </c>
      <c r="D870" s="27" t="s">
        <v>3392</v>
      </c>
      <c r="E870" s="27" t="s">
        <v>3393</v>
      </c>
      <c r="F870" s="27" t="s">
        <v>3394</v>
      </c>
      <c r="G870" s="0" t="n">
        <v>1</v>
      </c>
      <c r="H870" s="0" t="s">
        <v>27</v>
      </c>
      <c r="J870" s="0" t="s">
        <v>3390</v>
      </c>
    </row>
    <row r="871" customFormat="false" ht="13.8" hidden="false" customHeight="false" outlineLevel="0" collapsed="false">
      <c r="A871" s="0" t="s">
        <v>3386</v>
      </c>
      <c r="B871" s="0" t="n">
        <v>1</v>
      </c>
      <c r="D871" s="27" t="s">
        <v>3395</v>
      </c>
      <c r="E871" s="27" t="s">
        <v>3393</v>
      </c>
      <c r="F871" s="27" t="s">
        <v>3396</v>
      </c>
      <c r="G871" s="0" t="n">
        <v>1</v>
      </c>
      <c r="H871" s="0" t="s">
        <v>27</v>
      </c>
      <c r="J871" s="0" t="s">
        <v>3390</v>
      </c>
    </row>
    <row r="872" customFormat="false" ht="13.8" hidden="false" customHeight="false" outlineLevel="0" collapsed="false">
      <c r="A872" s="0" t="s">
        <v>3397</v>
      </c>
      <c r="B872" s="0" t="n">
        <v>1</v>
      </c>
      <c r="D872" s="4" t="s">
        <v>3398</v>
      </c>
      <c r="E872" s="0" t="s">
        <v>3399</v>
      </c>
      <c r="F872" s="4" t="s">
        <v>3400</v>
      </c>
      <c r="G872" s="0" t="n">
        <v>1</v>
      </c>
      <c r="H872" s="0" t="s">
        <v>33</v>
      </c>
      <c r="J872" s="0" t="s">
        <v>34</v>
      </c>
      <c r="K872" s="28" t="str">
        <f aca="false">"0.79"</f>
        <v>0.79</v>
      </c>
      <c r="O872" s="0" t="s">
        <v>3401</v>
      </c>
    </row>
    <row r="873" customFormat="false" ht="13.8" hidden="false" customHeight="false" outlineLevel="0" collapsed="false">
      <c r="A873" s="0" t="s">
        <v>3397</v>
      </c>
      <c r="B873" s="0" t="n">
        <v>1</v>
      </c>
      <c r="D873" s="4" t="s">
        <v>3402</v>
      </c>
      <c r="E873" s="0" t="s">
        <v>3403</v>
      </c>
      <c r="F873" s="4" t="s">
        <v>3404</v>
      </c>
      <c r="G873" s="0" t="n">
        <v>1</v>
      </c>
      <c r="H873" s="0" t="s">
        <v>33</v>
      </c>
      <c r="J873" s="0" t="s">
        <v>34</v>
      </c>
      <c r="K873" s="3" t="str">
        <f aca="false">"1.75"</f>
        <v>1.75</v>
      </c>
      <c r="O873" s="0" t="s">
        <v>3405</v>
      </c>
    </row>
    <row r="874" customFormat="false" ht="13.8" hidden="false" customHeight="false" outlineLevel="0" collapsed="false">
      <c r="A874" s="0" t="s">
        <v>3397</v>
      </c>
      <c r="B874" s="0" t="n">
        <v>1</v>
      </c>
      <c r="D874" s="0" t="s">
        <v>3406</v>
      </c>
      <c r="E874" s="0" t="s">
        <v>3407</v>
      </c>
      <c r="F874" s="0" t="s">
        <v>3408</v>
      </c>
      <c r="G874" s="0" t="n">
        <v>1</v>
      </c>
      <c r="H874" s="0" t="s">
        <v>33</v>
      </c>
      <c r="J874" s="0" t="s">
        <v>34</v>
      </c>
      <c r="K874" s="9" t="str">
        <f aca="false">"0.92"</f>
        <v>0.92</v>
      </c>
      <c r="O874" s="0" t="s">
        <v>3409</v>
      </c>
    </row>
    <row r="875" customFormat="false" ht="13.8" hidden="false" customHeight="false" outlineLevel="0" collapsed="false">
      <c r="A875" s="0" t="s">
        <v>3397</v>
      </c>
      <c r="B875" s="0" t="n">
        <v>1</v>
      </c>
      <c r="D875" s="0" t="s">
        <v>3410</v>
      </c>
      <c r="E875" s="0" t="s">
        <v>3411</v>
      </c>
      <c r="F875" s="0" t="s">
        <v>3412</v>
      </c>
      <c r="G875" s="0" t="n">
        <v>1</v>
      </c>
      <c r="H875" s="0" t="s">
        <v>33</v>
      </c>
      <c r="J875" s="0" t="s">
        <v>34</v>
      </c>
      <c r="K875" s="0" t="str">
        <f aca="false">"0.43 %"</f>
        <v>0.43 %</v>
      </c>
    </row>
    <row r="876" customFormat="false" ht="13.8" hidden="false" customHeight="false" outlineLevel="0" collapsed="false">
      <c r="A876" s="0" t="s">
        <v>3413</v>
      </c>
      <c r="B876" s="0" t="n">
        <v>1</v>
      </c>
      <c r="D876" s="0" t="s">
        <v>124</v>
      </c>
      <c r="E876" s="0" t="s">
        <v>3414</v>
      </c>
      <c r="F876" s="0" t="s">
        <v>3415</v>
      </c>
      <c r="G876" s="0" t="n">
        <v>1</v>
      </c>
      <c r="H876" s="0" t="s">
        <v>66</v>
      </c>
      <c r="J876" s="0" t="s">
        <v>67</v>
      </c>
      <c r="K876" s="0" t="str">
        <f aca="false">"1.12 %"</f>
        <v>1.12 %</v>
      </c>
      <c r="L876" s="15" t="s">
        <v>685</v>
      </c>
      <c r="M876" s="15" t="s">
        <v>3416</v>
      </c>
      <c r="N876" s="28" t="n">
        <v>0.4931</v>
      </c>
      <c r="O876" s="0" t="s">
        <v>3417</v>
      </c>
    </row>
    <row r="877" customFormat="false" ht="13.8" hidden="false" customHeight="false" outlineLevel="0" collapsed="false">
      <c r="A877" s="0" t="s">
        <v>3418</v>
      </c>
      <c r="B877" s="0" t="n">
        <v>1</v>
      </c>
      <c r="D877" s="4" t="s">
        <v>3419</v>
      </c>
      <c r="E877" s="0" t="s">
        <v>3420</v>
      </c>
      <c r="F877" s="4" t="s">
        <v>3421</v>
      </c>
      <c r="G877" s="0" t="n">
        <v>1</v>
      </c>
      <c r="H877" s="0" t="s">
        <v>33</v>
      </c>
      <c r="J877" s="0" t="s">
        <v>34</v>
      </c>
      <c r="K877" s="0" t="str">
        <f aca="false">"0.52 %"</f>
        <v>0.52 %</v>
      </c>
      <c r="O877" s="0" t="s">
        <v>3422</v>
      </c>
    </row>
    <row r="878" customFormat="false" ht="13.8" hidden="false" customHeight="false" outlineLevel="0" collapsed="false">
      <c r="A878" s="0" t="s">
        <v>3418</v>
      </c>
      <c r="B878" s="0" t="n">
        <v>1</v>
      </c>
      <c r="D878" s="0" t="s">
        <v>3423</v>
      </c>
      <c r="E878" s="0" t="s">
        <v>3424</v>
      </c>
      <c r="F878" s="0" t="s">
        <v>3425</v>
      </c>
      <c r="G878" s="0" t="n">
        <v>1</v>
      </c>
      <c r="H878" s="0" t="s">
        <v>33</v>
      </c>
      <c r="J878" s="0" t="s">
        <v>34</v>
      </c>
      <c r="K878" s="9" t="n">
        <v>0.0039</v>
      </c>
    </row>
    <row r="879" customFormat="false" ht="13.8" hidden="false" customHeight="false" outlineLevel="0" collapsed="false">
      <c r="A879" s="0" t="s">
        <v>3418</v>
      </c>
      <c r="B879" s="0" t="n">
        <v>1</v>
      </c>
      <c r="D879" s="0" t="s">
        <v>3426</v>
      </c>
      <c r="E879" s="0" t="s">
        <v>3427</v>
      </c>
      <c r="F879" s="0" t="s">
        <v>3428</v>
      </c>
      <c r="G879" s="0" t="n">
        <v>1</v>
      </c>
      <c r="H879" s="0" t="s">
        <v>33</v>
      </c>
      <c r="J879" s="0" t="s">
        <v>34</v>
      </c>
      <c r="K879" s="9" t="n">
        <v>0.0026</v>
      </c>
    </row>
    <row r="880" customFormat="false" ht="13.8" hidden="false" customHeight="false" outlineLevel="0" collapsed="false">
      <c r="A880" s="0" t="s">
        <v>3429</v>
      </c>
      <c r="B880" s="0" t="n">
        <v>1</v>
      </c>
      <c r="D880" s="4" t="s">
        <v>124</v>
      </c>
      <c r="E880" s="0" t="s">
        <v>3430</v>
      </c>
      <c r="F880" s="4" t="s">
        <v>427</v>
      </c>
      <c r="G880" s="0" t="n">
        <v>1</v>
      </c>
      <c r="H880" s="0" t="s">
        <v>33</v>
      </c>
      <c r="J880" s="0" t="s">
        <v>34</v>
      </c>
      <c r="K880" s="0" t="str">
        <f aca="false">"0.77 %"</f>
        <v>0.77 %</v>
      </c>
      <c r="L880" s="0" t="str">
        <f aca="false">"0.84 V"</f>
        <v>0.84 V</v>
      </c>
      <c r="M880" s="0" t="str">
        <f aca="false">"2.36 mA/cm^{2}"</f>
        <v>2.36 mA/cm^{2}</v>
      </c>
      <c r="N880" s="0" t="str">
        <f aca="false">"0.38"</f>
        <v>0.38</v>
      </c>
      <c r="O880" s="0" t="s">
        <v>3431</v>
      </c>
    </row>
    <row r="881" customFormat="false" ht="13.8" hidden="false" customHeight="false" outlineLevel="0" collapsed="false">
      <c r="A881" s="0" t="s">
        <v>3432</v>
      </c>
      <c r="B881" s="0" t="n">
        <v>1</v>
      </c>
      <c r="D881" s="0" t="s">
        <v>3433</v>
      </c>
      <c r="E881" s="0" t="s">
        <v>3434</v>
      </c>
      <c r="F881" s="0" t="s">
        <v>3435</v>
      </c>
      <c r="G881" s="0" t="n">
        <v>1</v>
      </c>
      <c r="H881" s="0" t="s">
        <v>33</v>
      </c>
      <c r="J881" s="0" t="s">
        <v>40</v>
      </c>
      <c r="O881" s="0" t="s">
        <v>3436</v>
      </c>
    </row>
    <row r="882" customFormat="false" ht="13.8" hidden="false" customHeight="false" outlineLevel="0" collapsed="false">
      <c r="A882" s="0" t="s">
        <v>3432</v>
      </c>
      <c r="B882" s="0" t="n">
        <v>1</v>
      </c>
      <c r="D882" s="4" t="s">
        <v>3437</v>
      </c>
      <c r="E882" s="0" t="s">
        <v>3438</v>
      </c>
      <c r="F882" s="4" t="s">
        <v>3439</v>
      </c>
      <c r="G882" s="0" t="n">
        <v>1</v>
      </c>
      <c r="H882" s="0" t="s">
        <v>33</v>
      </c>
      <c r="J882" s="0" t="s">
        <v>40</v>
      </c>
      <c r="K882" s="28" t="n">
        <v>0.0186</v>
      </c>
      <c r="L882" s="0" t="str">
        <f aca="false">"0.55 V"</f>
        <v>0.55 V</v>
      </c>
      <c r="M882" s="0" t="str">
        <f aca="false">"7.27 mA/cm^{2}"</f>
        <v>7.27 mA/cm^{2}</v>
      </c>
      <c r="N882" s="0" t="str">
        <f aca="false">"0.47"</f>
        <v>0.47</v>
      </c>
      <c r="O882" s="0" t="s">
        <v>3440</v>
      </c>
    </row>
    <row r="883" customFormat="false" ht="13.8" hidden="false" customHeight="false" outlineLevel="0" collapsed="false">
      <c r="A883" s="0" t="s">
        <v>3441</v>
      </c>
      <c r="B883" s="0" t="n">
        <v>1</v>
      </c>
      <c r="D883" s="0" t="s">
        <v>3442</v>
      </c>
      <c r="E883" s="0" t="s">
        <v>3443</v>
      </c>
      <c r="F883" s="0" t="s">
        <v>3444</v>
      </c>
      <c r="G883" s="0" t="n">
        <v>1</v>
      </c>
      <c r="H883" s="0" t="s">
        <v>66</v>
      </c>
      <c r="J883" s="0" t="s">
        <v>67</v>
      </c>
      <c r="K883" s="0" t="str">
        <f aca="false">"2.63 %"</f>
        <v>2.63 %</v>
      </c>
      <c r="L883" s="0" t="str">
        <f aca="false">"0.71 V"</f>
        <v>0.71 V</v>
      </c>
      <c r="M883" s="15" t="s">
        <v>3445</v>
      </c>
      <c r="N883" s="0" t="str">
        <f aca="false">"0.57"</f>
        <v>0.57</v>
      </c>
      <c r="O883" s="0" t="s">
        <v>3446</v>
      </c>
    </row>
    <row r="884" customFormat="false" ht="13.8" hidden="false" customHeight="false" outlineLevel="0" collapsed="false">
      <c r="A884" s="0" t="s">
        <v>3447</v>
      </c>
      <c r="B884" s="0" t="n">
        <v>1</v>
      </c>
      <c r="D884" s="4" t="s">
        <v>124</v>
      </c>
      <c r="E884" s="0" t="s">
        <v>3448</v>
      </c>
      <c r="F884" s="4" t="s">
        <v>427</v>
      </c>
      <c r="G884" s="0" t="n">
        <v>1</v>
      </c>
      <c r="H884" s="0" t="s">
        <v>33</v>
      </c>
      <c r="J884" s="0" t="s">
        <v>34</v>
      </c>
      <c r="K884" s="0" t="str">
        <f aca="false">"2.44 %"</f>
        <v>2.44 %</v>
      </c>
      <c r="O884" s="0" t="s">
        <v>3449</v>
      </c>
    </row>
    <row r="885" customFormat="false" ht="13.8" hidden="false" customHeight="false" outlineLevel="0" collapsed="false">
      <c r="A885" s="0" t="s">
        <v>3450</v>
      </c>
      <c r="B885" s="0" t="n">
        <v>1</v>
      </c>
      <c r="D885" s="0" t="s">
        <v>3451</v>
      </c>
      <c r="E885" s="0" t="s">
        <v>3452</v>
      </c>
      <c r="F885" s="0" t="s">
        <v>3453</v>
      </c>
      <c r="G885" s="0" t="n">
        <v>1</v>
      </c>
      <c r="H885" s="0" t="s">
        <v>33</v>
      </c>
      <c r="J885" s="0" t="s">
        <v>34</v>
      </c>
      <c r="K885" s="0" t="str">
        <f aca="false">"0.3 %"</f>
        <v>0.3 %</v>
      </c>
      <c r="L885" s="0" t="str">
        <f aca="false">"0.82 V"</f>
        <v>0.82 V</v>
      </c>
      <c r="O885" s="0" t="s">
        <v>3454</v>
      </c>
    </row>
    <row r="886" customFormat="false" ht="13.8" hidden="false" customHeight="false" outlineLevel="0" collapsed="false">
      <c r="A886" s="0" t="s">
        <v>3455</v>
      </c>
      <c r="C886" s="0" t="n">
        <v>1</v>
      </c>
      <c r="D886" s="4" t="s">
        <v>3456</v>
      </c>
      <c r="F886" s="0" t="s">
        <v>3457</v>
      </c>
      <c r="G886" s="0" t="n">
        <v>1</v>
      </c>
      <c r="H886" s="0" t="s">
        <v>33</v>
      </c>
      <c r="J886" s="0" t="s">
        <v>34</v>
      </c>
      <c r="K886" s="0" t="str">
        <f aca="false">"0.50 %"</f>
        <v>0.50 %</v>
      </c>
      <c r="L886" s="0" t="str">
        <f aca="false">"0.47 V"</f>
        <v>0.47 V</v>
      </c>
      <c r="M886" s="0" t="str">
        <f aca="false">"3.17 mA/cm^{2}"</f>
        <v>3.17 mA/cm^{2}</v>
      </c>
      <c r="N886" s="15" t="str">
        <f aca="false">"34 %"</f>
        <v>34 %</v>
      </c>
      <c r="O886" s="0" t="s">
        <v>3458</v>
      </c>
    </row>
    <row r="887" customFormat="false" ht="13.8" hidden="false" customHeight="false" outlineLevel="0" collapsed="false">
      <c r="A887" s="0" t="s">
        <v>3459</v>
      </c>
      <c r="B887" s="0" t="n">
        <v>1</v>
      </c>
      <c r="D887" s="4" t="s">
        <v>2939</v>
      </c>
      <c r="E887" s="0" t="s">
        <v>3460</v>
      </c>
      <c r="F887" s="4" t="s">
        <v>2941</v>
      </c>
      <c r="G887" s="0" t="n">
        <v>1</v>
      </c>
      <c r="H887" s="0" t="s">
        <v>27</v>
      </c>
      <c r="J887" s="0" t="s">
        <v>28</v>
      </c>
      <c r="K887" s="0" t="str">
        <f aca="false">"7.68 %"</f>
        <v>7.68 %</v>
      </c>
      <c r="O887" s="0" t="s">
        <v>3461</v>
      </c>
    </row>
    <row r="888" customFormat="false" ht="13.8" hidden="false" customHeight="false" outlineLevel="0" collapsed="false">
      <c r="A888" s="0" t="s">
        <v>3459</v>
      </c>
      <c r="B888" s="0" t="n">
        <v>1</v>
      </c>
      <c r="D888" s="27" t="s">
        <v>124</v>
      </c>
      <c r="E888" s="0" t="s">
        <v>3462</v>
      </c>
      <c r="F888" s="27" t="s">
        <v>427</v>
      </c>
      <c r="G888" s="0" t="n">
        <v>1</v>
      </c>
      <c r="H888" s="0" t="s">
        <v>27</v>
      </c>
      <c r="J888" s="0" t="s">
        <v>28</v>
      </c>
      <c r="K888" s="9" t="n">
        <v>0.0727</v>
      </c>
    </row>
    <row r="889" customFormat="false" ht="13.8" hidden="false" customHeight="false" outlineLevel="0" collapsed="false">
      <c r="A889" s="0" t="s">
        <v>3459</v>
      </c>
      <c r="B889" s="0" t="n">
        <v>1</v>
      </c>
      <c r="D889" s="27" t="s">
        <v>253</v>
      </c>
      <c r="E889" s="0" t="s">
        <v>3463</v>
      </c>
      <c r="F889" s="27" t="s">
        <v>258</v>
      </c>
      <c r="G889" s="0" t="n">
        <v>1</v>
      </c>
      <c r="H889" s="0" t="s">
        <v>27</v>
      </c>
      <c r="J889" s="0" t="s">
        <v>28</v>
      </c>
      <c r="K889" s="9" t="n">
        <v>0.0927</v>
      </c>
    </row>
    <row r="890" customFormat="false" ht="13.8" hidden="false" customHeight="false" outlineLevel="0" collapsed="false">
      <c r="A890" s="0" t="s">
        <v>3464</v>
      </c>
      <c r="B890" s="0" t="n">
        <v>1</v>
      </c>
      <c r="D890" s="0" t="s">
        <v>3465</v>
      </c>
      <c r="E890" s="0" t="s">
        <v>3466</v>
      </c>
      <c r="F890" s="0" t="s">
        <v>3467</v>
      </c>
      <c r="G890" s="0" t="n">
        <v>1</v>
      </c>
      <c r="H890" s="0" t="s">
        <v>76</v>
      </c>
      <c r="J890" s="0" t="s">
        <v>77</v>
      </c>
      <c r="K890" s="0" t="str">
        <f aca="false">"1.73 %"</f>
        <v>1.73 %</v>
      </c>
      <c r="O890" s="0" t="s">
        <v>3468</v>
      </c>
    </row>
    <row r="891" customFormat="false" ht="13.8" hidden="false" customHeight="false" outlineLevel="0" collapsed="false">
      <c r="A891" s="0" t="s">
        <v>3469</v>
      </c>
      <c r="C891" s="0" t="n">
        <v>1</v>
      </c>
      <c r="D891" s="0" t="s">
        <v>599</v>
      </c>
      <c r="E891" s="0" t="s">
        <v>600</v>
      </c>
      <c r="F891" s="0" t="s">
        <v>601</v>
      </c>
      <c r="G891" s="0" t="n">
        <v>1</v>
      </c>
      <c r="H891" s="0" t="s">
        <v>27</v>
      </c>
      <c r="J891" s="0" t="s">
        <v>28</v>
      </c>
      <c r="K891" s="0" t="str">
        <f aca="false">"7.7 %"</f>
        <v>7.7 %</v>
      </c>
      <c r="O891" s="0" t="s">
        <v>3470</v>
      </c>
    </row>
    <row r="892" customFormat="false" ht="13.8" hidden="false" customHeight="false" outlineLevel="0" collapsed="false">
      <c r="A892" s="0" t="s">
        <v>3469</v>
      </c>
      <c r="C892" s="0" t="n">
        <v>1</v>
      </c>
      <c r="D892" s="0" t="s">
        <v>85</v>
      </c>
      <c r="E892" s="0" t="s">
        <v>86</v>
      </c>
      <c r="F892" s="0" t="s">
        <v>87</v>
      </c>
      <c r="G892" s="0" t="n">
        <v>1</v>
      </c>
      <c r="H892" s="0" t="s">
        <v>27</v>
      </c>
      <c r="J892" s="0" t="s">
        <v>28</v>
      </c>
      <c r="K892" s="0" t="str">
        <f aca="false">"9.1 %"</f>
        <v>9.1 %</v>
      </c>
      <c r="O892" s="0" t="s">
        <v>3471</v>
      </c>
    </row>
    <row r="893" customFormat="false" ht="13.8" hidden="false" customHeight="false" outlineLevel="0" collapsed="false">
      <c r="A893" s="0" t="s">
        <v>3472</v>
      </c>
      <c r="B893" s="0" t="n">
        <v>1</v>
      </c>
      <c r="D893" s="0" t="s">
        <v>3473</v>
      </c>
      <c r="E893" s="0" t="s">
        <v>3474</v>
      </c>
      <c r="F893" s="0" t="s">
        <v>3475</v>
      </c>
      <c r="G893" s="0" t="n">
        <v>1</v>
      </c>
      <c r="H893" s="0" t="s">
        <v>33</v>
      </c>
      <c r="J893" s="0" t="s">
        <v>34</v>
      </c>
      <c r="K893" s="0" t="str">
        <f aca="false">"0.374 %"</f>
        <v>0.374 %</v>
      </c>
      <c r="O893" s="0" t="s">
        <v>3476</v>
      </c>
    </row>
    <row r="894" customFormat="false" ht="13.8" hidden="false" customHeight="false" outlineLevel="0" collapsed="false">
      <c r="A894" s="0" t="s">
        <v>3477</v>
      </c>
      <c r="B894" s="0" t="n">
        <v>1</v>
      </c>
      <c r="D894" s="0" t="s">
        <v>2246</v>
      </c>
      <c r="E894" s="0" t="s">
        <v>3478</v>
      </c>
      <c r="F894" s="0" t="s">
        <v>2247</v>
      </c>
      <c r="G894" s="0" t="n">
        <v>1</v>
      </c>
      <c r="H894" s="0" t="s">
        <v>66</v>
      </c>
      <c r="J894" s="0" t="s">
        <v>67</v>
      </c>
      <c r="K894" s="3" t="n">
        <v>0.0356</v>
      </c>
      <c r="L894" s="15" t="s">
        <v>685</v>
      </c>
      <c r="M894" s="4" t="s">
        <v>3479</v>
      </c>
      <c r="N894" s="0" t="str">
        <f aca="false">"~ 0.55"</f>
        <v>~ 0.55</v>
      </c>
      <c r="O894" s="0" t="s">
        <v>3480</v>
      </c>
    </row>
    <row r="895" customFormat="false" ht="13.8" hidden="false" customHeight="false" outlineLevel="0" collapsed="false">
      <c r="A895" s="0" t="s">
        <v>3477</v>
      </c>
      <c r="B895" s="0" t="n">
        <v>1</v>
      </c>
      <c r="D895" s="0" t="s">
        <v>3481</v>
      </c>
      <c r="E895" s="0" t="s">
        <v>3482</v>
      </c>
      <c r="F895" s="0" t="s">
        <v>3483</v>
      </c>
      <c r="G895" s="0" t="n">
        <v>1</v>
      </c>
      <c r="H895" s="0" t="s">
        <v>66</v>
      </c>
      <c r="J895" s="0" t="s">
        <v>67</v>
      </c>
      <c r="K895" s="28" t="n">
        <v>0.0516</v>
      </c>
      <c r="L895" s="0" t="str">
        <f aca="false">"~ 0.76 V"</f>
        <v>~ 0.76 V</v>
      </c>
      <c r="M895" s="15" t="s">
        <v>3484</v>
      </c>
      <c r="N895" s="0" t="str">
        <f aca="false">"0.62"</f>
        <v>0.62</v>
      </c>
      <c r="O895" s="0" t="s">
        <v>3485</v>
      </c>
    </row>
    <row r="896" customFormat="false" ht="13.8" hidden="false" customHeight="false" outlineLevel="0" collapsed="false">
      <c r="A896" s="0" t="s">
        <v>3486</v>
      </c>
      <c r="B896" s="0" t="n">
        <v>1</v>
      </c>
      <c r="D896" s="0" t="s">
        <v>85</v>
      </c>
      <c r="E896" s="0" t="s">
        <v>86</v>
      </c>
      <c r="F896" s="0" t="s">
        <v>3487</v>
      </c>
      <c r="G896" s="0" t="n">
        <v>1</v>
      </c>
      <c r="H896" s="0" t="s">
        <v>27</v>
      </c>
      <c r="J896" s="0" t="s">
        <v>28</v>
      </c>
      <c r="K896" s="0" t="str">
        <f aca="false">"7.01 %"</f>
        <v>7.01 %</v>
      </c>
      <c r="L896" s="0" t="str">
        <f aca="false">"0.731 V"</f>
        <v>0.731 V</v>
      </c>
      <c r="M896" s="0" t="str">
        <f aca="false">"13.79 mA cm^{-2}"</f>
        <v>13.79 mA cm^{-2}</v>
      </c>
      <c r="N896" s="0" t="str">
        <f aca="false">"69.46 %"</f>
        <v>69.46 %</v>
      </c>
      <c r="O896" s="0" t="s">
        <v>3488</v>
      </c>
    </row>
    <row r="897" customFormat="false" ht="13.8" hidden="false" customHeight="false" outlineLevel="0" collapsed="false">
      <c r="A897" s="0" t="s">
        <v>3489</v>
      </c>
      <c r="B897" s="0" t="n">
        <v>1</v>
      </c>
      <c r="D897" s="0" t="s">
        <v>3490</v>
      </c>
      <c r="E897" s="0" t="s">
        <v>3491</v>
      </c>
      <c r="F897" s="0" t="s">
        <v>3492</v>
      </c>
      <c r="G897" s="0" t="n">
        <v>1</v>
      </c>
      <c r="H897" s="0" t="s">
        <v>76</v>
      </c>
      <c r="J897" s="0" t="s">
        <v>77</v>
      </c>
      <c r="K897" s="0" t="str">
        <f aca="false">"1.19 %"</f>
        <v>1.19 %</v>
      </c>
      <c r="L897" s="0" t="str">
        <f aca="false">"0.6 V"</f>
        <v>0.6 V</v>
      </c>
      <c r="M897" s="0" t="str">
        <f aca="false">"4.72 mA/cm^{2}"</f>
        <v>4.72 mA/cm^{2}</v>
      </c>
      <c r="N897" s="0" t="str">
        <f aca="false">"53.3 %"</f>
        <v>53.3 %</v>
      </c>
      <c r="O897" s="0" t="s">
        <v>3493</v>
      </c>
    </row>
    <row r="898" customFormat="false" ht="13.8" hidden="false" customHeight="false" outlineLevel="0" collapsed="false">
      <c r="A898" s="0" t="s">
        <v>3494</v>
      </c>
      <c r="B898" s="0" t="n">
        <v>1</v>
      </c>
      <c r="D898" s="0" t="s">
        <v>3495</v>
      </c>
      <c r="E898" s="0" t="s">
        <v>3496</v>
      </c>
      <c r="F898" s="0" t="s">
        <v>3497</v>
      </c>
      <c r="G898" s="0" t="n">
        <v>1</v>
      </c>
      <c r="H898" s="0" t="s">
        <v>66</v>
      </c>
      <c r="J898" s="0" t="s">
        <v>67</v>
      </c>
      <c r="K898" s="0" t="str">
        <f aca="false">"0.90 %"</f>
        <v>0.90 %</v>
      </c>
      <c r="O898" s="0" t="s">
        <v>3498</v>
      </c>
    </row>
    <row r="899" customFormat="false" ht="13.8" hidden="false" customHeight="false" outlineLevel="0" collapsed="false">
      <c r="A899" s="0" t="s">
        <v>3494</v>
      </c>
      <c r="B899" s="0" t="n">
        <v>1</v>
      </c>
      <c r="D899" s="0" t="s">
        <v>3499</v>
      </c>
      <c r="E899" s="0" t="s">
        <v>3496</v>
      </c>
      <c r="F899" s="0" t="s">
        <v>3500</v>
      </c>
      <c r="G899" s="0" t="n">
        <v>1</v>
      </c>
      <c r="H899" s="0" t="s">
        <v>66</v>
      </c>
      <c r="J899" s="0" t="s">
        <v>67</v>
      </c>
      <c r="K899" s="9" t="n">
        <v>0.0118</v>
      </c>
    </row>
    <row r="900" customFormat="false" ht="13.8" hidden="false" customHeight="false" outlineLevel="0" collapsed="false">
      <c r="A900" s="0" t="s">
        <v>3501</v>
      </c>
      <c r="B900" s="0" t="n">
        <v>1</v>
      </c>
      <c r="D900" s="4" t="s">
        <v>3502</v>
      </c>
      <c r="E900" s="0" t="s">
        <v>3503</v>
      </c>
      <c r="F900" s="4" t="s">
        <v>3504</v>
      </c>
      <c r="G900" s="0" t="n">
        <v>0</v>
      </c>
      <c r="H900" s="0" t="s">
        <v>3505</v>
      </c>
      <c r="I900" s="0" t="s">
        <v>3506</v>
      </c>
      <c r="J900" s="15" t="s">
        <v>3507</v>
      </c>
      <c r="K900" s="0" t="str">
        <f aca="false">"8.25 %"</f>
        <v>8.25 %</v>
      </c>
      <c r="O900" s="0" t="s">
        <v>3508</v>
      </c>
    </row>
    <row r="901" customFormat="false" ht="13.8" hidden="false" customHeight="false" outlineLevel="0" collapsed="false">
      <c r="A901" s="0" t="s">
        <v>3501</v>
      </c>
      <c r="B901" s="0" t="n">
        <v>1</v>
      </c>
      <c r="D901" s="0" t="s">
        <v>3509</v>
      </c>
      <c r="E901" s="0" t="s">
        <v>3510</v>
      </c>
      <c r="F901" s="0" t="s">
        <v>3511</v>
      </c>
      <c r="G901" s="0" t="n">
        <v>0</v>
      </c>
      <c r="H901" s="0" t="s">
        <v>3505</v>
      </c>
      <c r="I901" s="0" t="s">
        <v>3506</v>
      </c>
      <c r="J901" s="0" t="s">
        <v>3507</v>
      </c>
      <c r="K901" s="9" t="n">
        <v>0.0843</v>
      </c>
      <c r="L901" s="0" t="s">
        <v>3512</v>
      </c>
    </row>
    <row r="902" customFormat="false" ht="13.8" hidden="false" customHeight="false" outlineLevel="0" collapsed="false">
      <c r="A902" s="0" t="s">
        <v>3501</v>
      </c>
      <c r="B902" s="0" t="n">
        <v>1</v>
      </c>
      <c r="D902" s="0" t="s">
        <v>3513</v>
      </c>
      <c r="E902" s="0" t="s">
        <v>3514</v>
      </c>
      <c r="F902" s="0" t="s">
        <v>3515</v>
      </c>
      <c r="G902" s="0" t="n">
        <v>0</v>
      </c>
      <c r="H902" s="0" t="s">
        <v>3505</v>
      </c>
      <c r="I902" s="0" t="s">
        <v>3506</v>
      </c>
      <c r="J902" s="0" t="s">
        <v>3507</v>
      </c>
      <c r="K902" s="9" t="n">
        <v>0.0583</v>
      </c>
      <c r="L902" s="0" t="s">
        <v>3516</v>
      </c>
    </row>
    <row r="903" customFormat="false" ht="13.8" hidden="false" customHeight="false" outlineLevel="0" collapsed="false">
      <c r="A903" s="0" t="s">
        <v>3517</v>
      </c>
      <c r="B903" s="0" t="n">
        <v>1</v>
      </c>
      <c r="D903" s="0" t="s">
        <v>208</v>
      </c>
      <c r="E903" s="0" t="s">
        <v>17</v>
      </c>
      <c r="F903" s="0" t="s">
        <v>209</v>
      </c>
      <c r="G903" s="0" t="n">
        <v>1</v>
      </c>
      <c r="H903" s="0" t="s">
        <v>526</v>
      </c>
      <c r="J903" s="15" t="s">
        <v>3518</v>
      </c>
      <c r="K903" s="0" t="str">
        <f aca="false">"2.64 ± 0.07 %"</f>
        <v>2.64 ± 0.07 %</v>
      </c>
      <c r="O903" s="0" t="s">
        <v>3519</v>
      </c>
    </row>
    <row r="904" customFormat="false" ht="13.8" hidden="false" customHeight="false" outlineLevel="0" collapsed="false">
      <c r="A904" s="0" t="s">
        <v>3520</v>
      </c>
      <c r="B904" s="0" t="n">
        <v>1</v>
      </c>
      <c r="D904" s="0" t="s">
        <v>16</v>
      </c>
      <c r="E904" s="0" t="s">
        <v>17</v>
      </c>
      <c r="F904" s="0" t="s">
        <v>3521</v>
      </c>
      <c r="G904" s="0" t="n">
        <v>1</v>
      </c>
      <c r="H904" s="0" t="s">
        <v>33</v>
      </c>
      <c r="J904" s="0" t="s">
        <v>34</v>
      </c>
      <c r="K904" s="0" t="str">
        <f aca="false">"4.42 %"</f>
        <v>4.42 %</v>
      </c>
      <c r="O904" s="0" t="s">
        <v>3522</v>
      </c>
    </row>
    <row r="905" customFormat="false" ht="13.8" hidden="false" customHeight="false" outlineLevel="0" collapsed="false">
      <c r="A905" s="0" t="s">
        <v>3523</v>
      </c>
      <c r="B905" s="0" t="n">
        <v>1</v>
      </c>
      <c r="D905" s="0" t="s">
        <v>128</v>
      </c>
      <c r="E905" s="0" t="s">
        <v>3524</v>
      </c>
      <c r="F905" s="0" t="s">
        <v>3525</v>
      </c>
      <c r="G905" s="0" t="n">
        <v>1</v>
      </c>
      <c r="H905" s="4" t="s">
        <v>458</v>
      </c>
      <c r="J905" s="4" t="s">
        <v>3526</v>
      </c>
      <c r="K905" s="0" t="str">
        <f aca="false">"0.35 %"</f>
        <v>0.35 %</v>
      </c>
      <c r="L905" s="15" t="s">
        <v>683</v>
      </c>
      <c r="O905" s="0" t="s">
        <v>3527</v>
      </c>
    </row>
    <row r="906" customFormat="false" ht="13.8" hidden="false" customHeight="false" outlineLevel="0" collapsed="false">
      <c r="A906" s="0" t="s">
        <v>3523</v>
      </c>
      <c r="B906" s="0" t="n">
        <v>1</v>
      </c>
      <c r="D906" s="0" t="s">
        <v>124</v>
      </c>
      <c r="E906" s="0" t="s">
        <v>3528</v>
      </c>
      <c r="F906" s="0" t="s">
        <v>3529</v>
      </c>
      <c r="G906" s="0" t="n">
        <v>1</v>
      </c>
      <c r="H906" s="27" t="s">
        <v>458</v>
      </c>
      <c r="J906" s="27" t="s">
        <v>3526</v>
      </c>
      <c r="K906" s="9" t="n">
        <v>0.0032</v>
      </c>
      <c r="L906" s="0" t="str">
        <f aca="false">"0.89"</f>
        <v>0.89</v>
      </c>
    </row>
    <row r="907" customFormat="false" ht="13.8" hidden="false" customHeight="false" outlineLevel="0" collapsed="false">
      <c r="A907" s="0" t="s">
        <v>3523</v>
      </c>
      <c r="B907" s="0" t="n">
        <v>1</v>
      </c>
      <c r="D907" s="0" t="s">
        <v>128</v>
      </c>
      <c r="E907" s="0" t="s">
        <v>3524</v>
      </c>
      <c r="F907" s="0" t="s">
        <v>3525</v>
      </c>
      <c r="G907" s="0" t="n">
        <v>1</v>
      </c>
      <c r="H907" s="0" t="s">
        <v>76</v>
      </c>
      <c r="J907" s="0" t="s">
        <v>77</v>
      </c>
      <c r="L907" s="0" t="s">
        <v>3530</v>
      </c>
    </row>
    <row r="908" customFormat="false" ht="13.8" hidden="false" customHeight="false" outlineLevel="0" collapsed="false">
      <c r="A908" s="0" t="s">
        <v>3523</v>
      </c>
      <c r="B908" s="0" t="n">
        <v>1</v>
      </c>
      <c r="D908" s="0" t="s">
        <v>124</v>
      </c>
      <c r="E908" s="0" t="s">
        <v>3528</v>
      </c>
      <c r="F908" s="0" t="s">
        <v>3529</v>
      </c>
      <c r="G908" s="0" t="n">
        <v>1</v>
      </c>
      <c r="H908" s="0" t="s">
        <v>76</v>
      </c>
      <c r="J908" s="0" t="s">
        <v>77</v>
      </c>
      <c r="L908" s="0" t="str">
        <f aca="false">"0.58"</f>
        <v>0.58</v>
      </c>
    </row>
    <row r="909" customFormat="false" ht="13.8" hidden="false" customHeight="false" outlineLevel="0" collapsed="false">
      <c r="A909" s="0" t="s">
        <v>3531</v>
      </c>
      <c r="B909" s="0" t="n">
        <v>1</v>
      </c>
      <c r="D909" s="0" t="s">
        <v>3532</v>
      </c>
      <c r="E909" s="0" t="s">
        <v>3533</v>
      </c>
      <c r="F909" s="0" t="s">
        <v>3534</v>
      </c>
      <c r="G909" s="0" t="n">
        <v>1</v>
      </c>
      <c r="H909" s="0" t="s">
        <v>76</v>
      </c>
      <c r="J909" s="0" t="s">
        <v>77</v>
      </c>
      <c r="K909" s="0" t="str">
        <f aca="false">"1.01 %"</f>
        <v>1.01 %</v>
      </c>
      <c r="O909" s="0" t="s">
        <v>3535</v>
      </c>
    </row>
    <row r="910" customFormat="false" ht="13.8" hidden="false" customHeight="false" outlineLevel="0" collapsed="false">
      <c r="A910" s="0" t="s">
        <v>3536</v>
      </c>
      <c r="B910" s="0" t="n">
        <v>1</v>
      </c>
      <c r="D910" s="4" t="s">
        <v>3537</v>
      </c>
      <c r="E910" s="0" t="s">
        <v>3538</v>
      </c>
      <c r="F910" s="4" t="s">
        <v>3539</v>
      </c>
      <c r="G910" s="0" t="n">
        <v>1</v>
      </c>
      <c r="H910" s="0" t="s">
        <v>76</v>
      </c>
      <c r="J910" s="0" t="s">
        <v>77</v>
      </c>
      <c r="K910" s="0" t="str">
        <f aca="false">"1.60 %"</f>
        <v>1.60 %</v>
      </c>
      <c r="L910" s="0" t="str">
        <f aca="false">"0.77 V"</f>
        <v>0.77 V</v>
      </c>
      <c r="O910" s="0" t="s">
        <v>3540</v>
      </c>
    </row>
    <row r="911" customFormat="false" ht="13.8" hidden="false" customHeight="false" outlineLevel="0" collapsed="false">
      <c r="A911" s="0" t="s">
        <v>3536</v>
      </c>
      <c r="B911" s="0" t="n">
        <v>1</v>
      </c>
      <c r="D911" s="0" t="s">
        <v>3541</v>
      </c>
      <c r="E911" s="0" t="s">
        <v>3542</v>
      </c>
      <c r="F911" s="0" t="s">
        <v>3543</v>
      </c>
      <c r="G911" s="0" t="n">
        <v>1</v>
      </c>
      <c r="H911" s="0" t="s">
        <v>76</v>
      </c>
      <c r="J911" s="0" t="s">
        <v>77</v>
      </c>
      <c r="K911" s="9" t="n">
        <v>0.0177</v>
      </c>
      <c r="L911" s="0" t="s">
        <v>1516</v>
      </c>
    </row>
    <row r="912" customFormat="false" ht="13.8" hidden="false" customHeight="false" outlineLevel="0" collapsed="false">
      <c r="A912" s="0" t="s">
        <v>3544</v>
      </c>
      <c r="B912" s="0" t="n">
        <v>1</v>
      </c>
      <c r="D912" s="0" t="s">
        <v>208</v>
      </c>
      <c r="E912" s="0" t="s">
        <v>17</v>
      </c>
      <c r="F912" s="0" t="s">
        <v>209</v>
      </c>
      <c r="G912" s="0" t="n">
        <v>0</v>
      </c>
      <c r="H912" s="0" t="s">
        <v>3545</v>
      </c>
      <c r="I912" s="0" t="s">
        <v>3546</v>
      </c>
      <c r="J912" s="0" t="s">
        <v>3547</v>
      </c>
      <c r="K912" s="0" t="str">
        <f aca="false">"1 %"</f>
        <v>1 %</v>
      </c>
      <c r="O912" s="0" t="s">
        <v>3548</v>
      </c>
    </row>
    <row r="913" customFormat="false" ht="13.8" hidden="false" customHeight="false" outlineLevel="0" collapsed="false">
      <c r="A913" s="0" t="s">
        <v>3549</v>
      </c>
      <c r="B913" s="0" t="n">
        <v>1</v>
      </c>
      <c r="D913" s="4" t="s">
        <v>3550</v>
      </c>
      <c r="E913" s="0" t="s">
        <v>3551</v>
      </c>
      <c r="F913" s="4" t="s">
        <v>3552</v>
      </c>
      <c r="G913" s="0" t="n">
        <v>1</v>
      </c>
      <c r="H913" s="4" t="s">
        <v>3553</v>
      </c>
      <c r="J913" s="4" t="s">
        <v>3554</v>
      </c>
      <c r="K913" s="0" t="str">
        <f aca="false">"1.8 %"</f>
        <v>1.8 %</v>
      </c>
      <c r="O913" s="0" t="s">
        <v>3555</v>
      </c>
    </row>
    <row r="914" customFormat="false" ht="13.8" hidden="false" customHeight="false" outlineLevel="0" collapsed="false">
      <c r="A914" s="0" t="s">
        <v>3556</v>
      </c>
      <c r="B914" s="0" t="n">
        <v>1</v>
      </c>
      <c r="D914" s="0" t="s">
        <v>3557</v>
      </c>
      <c r="E914" s="0" t="s">
        <v>3558</v>
      </c>
      <c r="F914" s="0" t="s">
        <v>3559</v>
      </c>
      <c r="G914" s="0" t="n">
        <v>1</v>
      </c>
      <c r="H914" s="0" t="s">
        <v>27</v>
      </c>
      <c r="J914" s="0" t="s">
        <v>28</v>
      </c>
      <c r="K914" s="0" t="str">
        <f aca="false">"2.4 %"</f>
        <v>2.4 %</v>
      </c>
      <c r="L914" s="0" t="str">
        <f aca="false">"0.75 V"</f>
        <v>0.75 V</v>
      </c>
      <c r="M914" s="15" t="s">
        <v>3560</v>
      </c>
      <c r="N914" s="0" t="str">
        <f aca="false">"42 %"</f>
        <v>42 %</v>
      </c>
      <c r="O914" s="0" t="s">
        <v>3561</v>
      </c>
    </row>
    <row r="915" customFormat="false" ht="13.8" hidden="false" customHeight="false" outlineLevel="0" collapsed="false">
      <c r="A915" s="0" t="s">
        <v>3562</v>
      </c>
      <c r="B915" s="0" t="n">
        <v>1</v>
      </c>
      <c r="D915" s="4" t="s">
        <v>3563</v>
      </c>
      <c r="E915" s="0" t="s">
        <v>3564</v>
      </c>
      <c r="F915" s="4" t="s">
        <v>3565</v>
      </c>
      <c r="G915" s="4" t="n">
        <v>0</v>
      </c>
      <c r="H915" s="4" t="s">
        <v>1472</v>
      </c>
      <c r="I915" s="27" t="s">
        <v>3566</v>
      </c>
      <c r="J915" s="4" t="s">
        <v>3567</v>
      </c>
      <c r="K915" s="0" t="str">
        <f aca="false">"7.5 %"</f>
        <v>7.5 %</v>
      </c>
      <c r="O915" s="0" t="s">
        <v>3568</v>
      </c>
    </row>
    <row r="916" customFormat="false" ht="13.8" hidden="false" customHeight="false" outlineLevel="0" collapsed="false">
      <c r="A916" s="0" t="s">
        <v>3562</v>
      </c>
      <c r="B916" s="0" t="n">
        <v>1</v>
      </c>
      <c r="D916" s="4" t="s">
        <v>3563</v>
      </c>
      <c r="E916" s="0" t="s">
        <v>3564</v>
      </c>
      <c r="F916" s="4" t="s">
        <v>3565</v>
      </c>
      <c r="G916" s="0" t="n">
        <v>1</v>
      </c>
      <c r="H916" s="27" t="s">
        <v>3232</v>
      </c>
      <c r="I916" s="27"/>
      <c r="J916" s="27" t="s">
        <v>3233</v>
      </c>
      <c r="K916" s="29" t="n">
        <v>0.079</v>
      </c>
    </row>
    <row r="917" customFormat="false" ht="13.8" hidden="false" customHeight="false" outlineLevel="0" collapsed="false">
      <c r="A917" s="0" t="s">
        <v>3569</v>
      </c>
      <c r="B917" s="0" t="n">
        <v>1</v>
      </c>
      <c r="D917" s="4" t="s">
        <v>3570</v>
      </c>
      <c r="E917" s="0" t="s">
        <v>3571</v>
      </c>
      <c r="F917" s="15" t="s">
        <v>3572</v>
      </c>
      <c r="G917" s="0" t="n">
        <v>1</v>
      </c>
      <c r="H917" s="0" t="s">
        <v>33</v>
      </c>
      <c r="J917" s="15" t="s">
        <v>1789</v>
      </c>
      <c r="K917" s="0" t="str">
        <f aca="false">"1.6 %"</f>
        <v>1.6 %</v>
      </c>
      <c r="L917" s="0" t="str">
        <f aca="false">"0.97 V"</f>
        <v>0.97 V</v>
      </c>
      <c r="O917" s="0" t="s">
        <v>3573</v>
      </c>
    </row>
    <row r="918" customFormat="false" ht="13.8" hidden="false" customHeight="false" outlineLevel="0" collapsed="false">
      <c r="A918" s="0" t="s">
        <v>3574</v>
      </c>
      <c r="B918" s="0" t="n">
        <v>1</v>
      </c>
      <c r="D918" s="0" t="s">
        <v>3575</v>
      </c>
      <c r="E918" s="0" t="s">
        <v>3576</v>
      </c>
      <c r="F918" s="4" t="s">
        <v>3577</v>
      </c>
      <c r="G918" s="0" t="n">
        <v>1</v>
      </c>
      <c r="H918" s="0" t="s">
        <v>33</v>
      </c>
      <c r="J918" s="0" t="s">
        <v>34</v>
      </c>
      <c r="K918" s="0" t="str">
        <f aca="false">"0.35 %"</f>
        <v>0.35 %</v>
      </c>
      <c r="O918" s="0" t="s">
        <v>3578</v>
      </c>
    </row>
    <row r="919" customFormat="false" ht="13.8" hidden="false" customHeight="false" outlineLevel="0" collapsed="false">
      <c r="A919" s="0" t="s">
        <v>3574</v>
      </c>
      <c r="B919" s="0" t="n">
        <v>1</v>
      </c>
      <c r="D919" s="0" t="s">
        <v>3579</v>
      </c>
      <c r="E919" s="0" t="s">
        <v>3576</v>
      </c>
      <c r="F919" s="0" t="s">
        <v>3580</v>
      </c>
      <c r="G919" s="0" t="n">
        <v>1</v>
      </c>
      <c r="H919" s="0" t="s">
        <v>33</v>
      </c>
      <c r="J919" s="0" t="s">
        <v>34</v>
      </c>
      <c r="K919" s="9" t="str">
        <f aca="false">"0.50 %"</f>
        <v>0.50 %</v>
      </c>
    </row>
    <row r="920" customFormat="false" ht="13.8" hidden="false" customHeight="false" outlineLevel="0" collapsed="false">
      <c r="A920" s="0" t="s">
        <v>3574</v>
      </c>
      <c r="B920" s="0" t="n">
        <v>1</v>
      </c>
      <c r="D920" s="0" t="s">
        <v>3581</v>
      </c>
      <c r="E920" s="0" t="s">
        <v>3576</v>
      </c>
      <c r="F920" s="0" t="s">
        <v>3582</v>
      </c>
      <c r="G920" s="0" t="n">
        <v>1</v>
      </c>
      <c r="H920" s="0" t="s">
        <v>33</v>
      </c>
      <c r="J920" s="0" t="s">
        <v>34</v>
      </c>
      <c r="K920" s="9" t="n">
        <v>0.0017</v>
      </c>
    </row>
    <row r="921" customFormat="false" ht="13.8" hidden="false" customHeight="false" outlineLevel="0" collapsed="false">
      <c r="A921" s="0" t="s">
        <v>3583</v>
      </c>
      <c r="B921" s="0" t="n">
        <v>1</v>
      </c>
      <c r="D921" s="0" t="s">
        <v>3584</v>
      </c>
      <c r="E921" s="0" t="s">
        <v>3585</v>
      </c>
      <c r="F921" s="0" t="s">
        <v>3586</v>
      </c>
      <c r="G921" s="0" t="n">
        <v>1</v>
      </c>
      <c r="H921" s="0" t="s">
        <v>33</v>
      </c>
      <c r="J921" s="0" t="s">
        <v>34</v>
      </c>
      <c r="K921" s="0" t="str">
        <f aca="false">"0.8 %"</f>
        <v>0.8 %</v>
      </c>
      <c r="M921" s="15" t="s">
        <v>3587</v>
      </c>
      <c r="O921" s="0" t="s">
        <v>3588</v>
      </c>
    </row>
    <row r="922" customFormat="false" ht="13.8" hidden="false" customHeight="false" outlineLevel="0" collapsed="false">
      <c r="A922" s="0" t="s">
        <v>3589</v>
      </c>
      <c r="C922" s="0" t="n">
        <v>1</v>
      </c>
      <c r="D922" s="0" t="s">
        <v>3590</v>
      </c>
      <c r="F922" s="0" t="s">
        <v>3591</v>
      </c>
      <c r="G922" s="0" t="n">
        <v>0</v>
      </c>
      <c r="H922" s="0" t="s">
        <v>3592</v>
      </c>
      <c r="J922" s="0" t="s">
        <v>40</v>
      </c>
      <c r="K922" s="0" t="str">
        <f aca="false">"0.004 %"</f>
        <v>0.004 %</v>
      </c>
      <c r="O922" s="0" t="s">
        <v>3593</v>
      </c>
    </row>
    <row r="923" customFormat="false" ht="13.8" hidden="false" customHeight="false" outlineLevel="0" collapsed="false">
      <c r="A923" s="0" t="s">
        <v>3594</v>
      </c>
      <c r="B923" s="0" t="n">
        <v>1</v>
      </c>
      <c r="D923" s="4" t="s">
        <v>3595</v>
      </c>
      <c r="E923" s="0" t="s">
        <v>2365</v>
      </c>
      <c r="F923" s="4" t="s">
        <v>3596</v>
      </c>
      <c r="G923" s="0" t="n">
        <v>1</v>
      </c>
      <c r="H923" s="0" t="s">
        <v>33</v>
      </c>
      <c r="J923" s="0" t="s">
        <v>34</v>
      </c>
      <c r="K923" s="0" t="str">
        <f aca="false">"4 %"</f>
        <v>4 %</v>
      </c>
      <c r="O923" s="0" t="s">
        <v>3597</v>
      </c>
    </row>
    <row r="924" customFormat="false" ht="13.8" hidden="false" customHeight="false" outlineLevel="0" collapsed="false">
      <c r="A924" s="0" t="s">
        <v>3598</v>
      </c>
      <c r="B924" s="0" t="n">
        <v>1</v>
      </c>
      <c r="D924" s="0" t="s">
        <v>3599</v>
      </c>
      <c r="E924" s="0" t="s">
        <v>3600</v>
      </c>
      <c r="F924" s="0" t="s">
        <v>3601</v>
      </c>
      <c r="G924" s="0" t="n">
        <v>1</v>
      </c>
      <c r="H924" s="0" t="s">
        <v>33</v>
      </c>
      <c r="J924" s="0" t="s">
        <v>504</v>
      </c>
      <c r="K924" s="0" t="str">
        <f aca="false">"0.83 %"</f>
        <v>0.83 %</v>
      </c>
      <c r="O924" s="0" t="s">
        <v>3602</v>
      </c>
    </row>
    <row r="925" customFormat="false" ht="13.8" hidden="false" customHeight="false" outlineLevel="0" collapsed="false">
      <c r="A925" s="0" t="s">
        <v>3603</v>
      </c>
      <c r="B925" s="0" t="n">
        <v>1</v>
      </c>
      <c r="D925" s="4" t="s">
        <v>3604</v>
      </c>
      <c r="E925" s="0" t="s">
        <v>3605</v>
      </c>
      <c r="F925" s="4" t="s">
        <v>3606</v>
      </c>
      <c r="G925" s="0" t="n">
        <v>1</v>
      </c>
      <c r="H925" s="0" t="s">
        <v>27</v>
      </c>
      <c r="J925" s="0" t="s">
        <v>28</v>
      </c>
      <c r="K925" s="0" t="str">
        <f aca="false">"2.51 %"</f>
        <v>2.51 %</v>
      </c>
      <c r="O925" s="0" t="s">
        <v>3607</v>
      </c>
    </row>
    <row r="926" customFormat="false" ht="13.8" hidden="false" customHeight="false" outlineLevel="0" collapsed="false">
      <c r="A926" s="0" t="s">
        <v>3603</v>
      </c>
      <c r="B926" s="0" t="n">
        <v>1</v>
      </c>
      <c r="D926" s="4" t="s">
        <v>3608</v>
      </c>
      <c r="E926" s="0" t="s">
        <v>3609</v>
      </c>
      <c r="F926" s="4" t="s">
        <v>3610</v>
      </c>
      <c r="G926" s="0" t="n">
        <v>1</v>
      </c>
      <c r="H926" s="0" t="s">
        <v>27</v>
      </c>
      <c r="J926" s="0" t="s">
        <v>28</v>
      </c>
      <c r="K926" s="0" t="str">
        <f aca="false">"1.63 %"</f>
        <v>1.63 %</v>
      </c>
      <c r="O926" s="0" t="s">
        <v>3611</v>
      </c>
    </row>
    <row r="927" customFormat="false" ht="13.8" hidden="false" customHeight="false" outlineLevel="0" collapsed="false">
      <c r="A927" s="0" t="s">
        <v>3612</v>
      </c>
      <c r="B927" s="0" t="n">
        <v>1</v>
      </c>
      <c r="D927" s="0" t="s">
        <v>3613</v>
      </c>
      <c r="E927" s="0" t="s">
        <v>3614</v>
      </c>
      <c r="F927" s="4" t="s">
        <v>3615</v>
      </c>
      <c r="G927" s="0" t="n">
        <v>1</v>
      </c>
      <c r="H927" s="0" t="s">
        <v>66</v>
      </c>
      <c r="J927" s="0" t="s">
        <v>67</v>
      </c>
      <c r="K927" s="0" t="str">
        <f aca="false">"2.03 %"</f>
        <v>2.03 %</v>
      </c>
      <c r="O927" s="0" t="s">
        <v>3616</v>
      </c>
    </row>
    <row r="928" customFormat="false" ht="13.8" hidden="false" customHeight="false" outlineLevel="0" collapsed="false">
      <c r="A928" s="0" t="s">
        <v>3617</v>
      </c>
      <c r="B928" s="0" t="n">
        <v>1</v>
      </c>
      <c r="D928" s="0" t="s">
        <v>3618</v>
      </c>
      <c r="E928" s="0" t="s">
        <v>3619</v>
      </c>
      <c r="F928" s="0" t="s">
        <v>3620</v>
      </c>
      <c r="G928" s="0" t="n">
        <v>1</v>
      </c>
      <c r="H928" s="0" t="s">
        <v>66</v>
      </c>
      <c r="J928" s="0" t="s">
        <v>67</v>
      </c>
      <c r="K928" s="0" t="str">
        <f aca="false">"1.3 %"</f>
        <v>1.3 %</v>
      </c>
      <c r="L928" s="0" t="str">
        <f aca="false">"0.56 V"</f>
        <v>0.56 V</v>
      </c>
      <c r="M928" s="0" t="str">
        <f aca="false">"5.6 mA/cm^{2}"</f>
        <v>5.6 mA/cm^{2}</v>
      </c>
      <c r="N928" s="0" t="str">
        <f aca="false">"41.3 %"</f>
        <v>41.3 %</v>
      </c>
      <c r="O928" s="0" t="s">
        <v>3621</v>
      </c>
    </row>
    <row r="929" customFormat="false" ht="13.8" hidden="false" customHeight="false" outlineLevel="0" collapsed="false">
      <c r="A929" s="0" t="s">
        <v>3622</v>
      </c>
      <c r="B929" s="0" t="n">
        <v>1</v>
      </c>
      <c r="D929" s="0" t="s">
        <v>3623</v>
      </c>
      <c r="E929" s="0" t="s">
        <v>3624</v>
      </c>
      <c r="F929" s="0" t="s">
        <v>3625</v>
      </c>
      <c r="G929" s="0" t="n">
        <v>1</v>
      </c>
      <c r="H929" s="0" t="s">
        <v>27</v>
      </c>
      <c r="J929" s="0" t="s">
        <v>28</v>
      </c>
      <c r="K929" s="0" t="str">
        <f aca="false">"1.50 %"</f>
        <v>1.50 %</v>
      </c>
      <c r="O929" s="0" t="s">
        <v>3626</v>
      </c>
    </row>
    <row r="930" customFormat="false" ht="13.8" hidden="false" customHeight="false" outlineLevel="0" collapsed="false">
      <c r="A930" s="0" t="s">
        <v>3627</v>
      </c>
      <c r="B930" s="0" t="n">
        <v>1</v>
      </c>
      <c r="D930" s="0" t="s">
        <v>16</v>
      </c>
      <c r="E930" s="0" t="s">
        <v>17</v>
      </c>
      <c r="F930" s="0" t="s">
        <v>116</v>
      </c>
      <c r="G930" s="0" t="n">
        <v>1</v>
      </c>
      <c r="H930" s="0" t="s">
        <v>33</v>
      </c>
      <c r="J930" s="0" t="s">
        <v>34</v>
      </c>
      <c r="K930" s="0" t="str">
        <f aca="false">"3.62 %"</f>
        <v>3.62 %</v>
      </c>
      <c r="L930" s="0" t="str">
        <f aca="false">"0.64 V"</f>
        <v>0.64 V</v>
      </c>
      <c r="M930" s="0" t="str">
        <f aca="false">"10.95 mA/cm^{2}"</f>
        <v>10.95 mA/cm^{2}</v>
      </c>
      <c r="N930" s="0" t="str">
        <f aca="false">"51.6 %"</f>
        <v>51.6 %</v>
      </c>
      <c r="O930" s="0" t="s">
        <v>3628</v>
      </c>
    </row>
    <row r="931" customFormat="false" ht="13.8" hidden="false" customHeight="false" outlineLevel="0" collapsed="false">
      <c r="A931" s="0" t="s">
        <v>3629</v>
      </c>
      <c r="B931" s="0" t="n">
        <v>1</v>
      </c>
      <c r="D931" s="4" t="s">
        <v>3630</v>
      </c>
      <c r="E931" s="0" t="s">
        <v>3199</v>
      </c>
      <c r="F931" s="4" t="s">
        <v>3631</v>
      </c>
      <c r="G931" s="0" t="n">
        <v>0</v>
      </c>
      <c r="H931" s="4" t="s">
        <v>3632</v>
      </c>
      <c r="I931" s="0" t="s">
        <v>3633</v>
      </c>
      <c r="J931" s="15" t="s">
        <v>3634</v>
      </c>
      <c r="K931" s="0" t="str">
        <f aca="false">"1.55 %"</f>
        <v>1.55 %</v>
      </c>
      <c r="O931" s="0" t="s">
        <v>3635</v>
      </c>
    </row>
    <row r="932" customFormat="false" ht="13.8" hidden="false" customHeight="false" outlineLevel="0" collapsed="false">
      <c r="A932" s="0" t="s">
        <v>3629</v>
      </c>
      <c r="B932" s="0" t="n">
        <v>1</v>
      </c>
      <c r="D932" s="0" t="s">
        <v>3630</v>
      </c>
      <c r="E932" s="0" t="s">
        <v>3199</v>
      </c>
      <c r="F932" s="0" t="s">
        <v>3631</v>
      </c>
      <c r="G932" s="0" t="n">
        <v>0</v>
      </c>
      <c r="H932" s="0" t="s">
        <v>3636</v>
      </c>
      <c r="I932" s="0" t="s">
        <v>3637</v>
      </c>
      <c r="J932" s="0" t="s">
        <v>3638</v>
      </c>
      <c r="K932" s="9" t="n">
        <v>0.0006</v>
      </c>
    </row>
    <row r="933" customFormat="false" ht="13.8" hidden="false" customHeight="false" outlineLevel="0" collapsed="false">
      <c r="A933" s="0" t="s">
        <v>3639</v>
      </c>
      <c r="B933" s="0" t="n">
        <v>1</v>
      </c>
      <c r="D933" s="0" t="s">
        <v>201</v>
      </c>
      <c r="E933" s="0" t="s">
        <v>202</v>
      </c>
      <c r="F933" s="0" t="s">
        <v>3640</v>
      </c>
      <c r="G933" s="0" t="n">
        <v>0</v>
      </c>
      <c r="H933" s="0" t="s">
        <v>3641</v>
      </c>
      <c r="I933" s="0" t="s">
        <v>3642</v>
      </c>
      <c r="J933" s="4" t="s">
        <v>3643</v>
      </c>
      <c r="K933" s="0" t="str">
        <f aca="false">"5.13 %"</f>
        <v>5.13 %</v>
      </c>
      <c r="L933" s="0" t="str">
        <f aca="false">"0.79 V"</f>
        <v>0.79 V</v>
      </c>
      <c r="M933" s="0" t="str">
        <f aca="false">"12.35 mA*cm^{-2}"</f>
        <v>12.35 mA*cm^{-2}</v>
      </c>
      <c r="N933" s="0" t="str">
        <f aca="false">"0.52"</f>
        <v>0.52</v>
      </c>
      <c r="O933" s="0" t="s">
        <v>3644</v>
      </c>
    </row>
    <row r="934" customFormat="false" ht="13.8" hidden="false" customHeight="false" outlineLevel="0" collapsed="false">
      <c r="A934" s="0" t="s">
        <v>3645</v>
      </c>
      <c r="B934" s="0" t="n">
        <v>1</v>
      </c>
      <c r="D934" s="0" t="s">
        <v>208</v>
      </c>
      <c r="E934" s="0" t="s">
        <v>17</v>
      </c>
      <c r="F934" s="0" t="s">
        <v>18</v>
      </c>
      <c r="G934" s="0" t="n">
        <v>1</v>
      </c>
      <c r="H934" s="0" t="s">
        <v>76</v>
      </c>
      <c r="J934" s="0" t="s">
        <v>3646</v>
      </c>
      <c r="K934" s="3" t="n">
        <v>0.0417</v>
      </c>
      <c r="N934" s="0" t="str">
        <f aca="false">"0.74"</f>
        <v>0.74</v>
      </c>
      <c r="O934" s="0" t="s">
        <v>3647</v>
      </c>
    </row>
    <row r="935" customFormat="false" ht="13.8" hidden="false" customHeight="false" outlineLevel="0" collapsed="false">
      <c r="A935" s="0" t="s">
        <v>3648</v>
      </c>
      <c r="B935" s="0" t="n">
        <v>1</v>
      </c>
      <c r="D935" s="0" t="s">
        <v>3649</v>
      </c>
      <c r="E935" s="0" t="s">
        <v>3650</v>
      </c>
      <c r="F935" s="0" t="s">
        <v>3651</v>
      </c>
      <c r="G935" s="0" t="n">
        <v>1</v>
      </c>
      <c r="H935" s="0" t="s">
        <v>27</v>
      </c>
      <c r="J935" s="0" t="s">
        <v>28</v>
      </c>
      <c r="K935" s="0" t="str">
        <f aca="false">"7.64 %"</f>
        <v>7.64 %</v>
      </c>
      <c r="L935" s="0" t="str">
        <f aca="false">"0.95 V"</f>
        <v>0.95 V</v>
      </c>
      <c r="O935" s="0" t="s">
        <v>3652</v>
      </c>
    </row>
    <row r="936" customFormat="false" ht="13.8" hidden="false" customHeight="false" outlineLevel="0" collapsed="false">
      <c r="A936" s="0" t="s">
        <v>3653</v>
      </c>
      <c r="B936" s="0" t="n">
        <v>1</v>
      </c>
      <c r="D936" s="4" t="s">
        <v>3654</v>
      </c>
      <c r="E936" s="27" t="s">
        <v>3655</v>
      </c>
      <c r="F936" s="4" t="s">
        <v>3656</v>
      </c>
      <c r="G936" s="0" t="n">
        <v>1</v>
      </c>
      <c r="H936" s="0" t="s">
        <v>27</v>
      </c>
      <c r="J936" s="0" t="s">
        <v>28</v>
      </c>
      <c r="K936" s="0" t="str">
        <f aca="false">"2.5 %"</f>
        <v>2.5 %</v>
      </c>
      <c r="L936" s="0" t="str">
        <f aca="false">"0.98 V"</f>
        <v>0.98 V</v>
      </c>
      <c r="O936" s="0" t="s">
        <v>3657</v>
      </c>
    </row>
    <row r="937" customFormat="false" ht="13.8" hidden="false" customHeight="false" outlineLevel="0" collapsed="false">
      <c r="A937" s="0" t="s">
        <v>3653</v>
      </c>
      <c r="B937" s="0" t="n">
        <v>1</v>
      </c>
      <c r="D937" s="4" t="s">
        <v>3658</v>
      </c>
      <c r="E937" s="27" t="s">
        <v>3659</v>
      </c>
      <c r="F937" s="4" t="s">
        <v>3660</v>
      </c>
      <c r="G937" s="0" t="n">
        <v>1</v>
      </c>
      <c r="H937" s="0" t="s">
        <v>27</v>
      </c>
      <c r="J937" s="0" t="s">
        <v>28</v>
      </c>
      <c r="K937" s="0" t="str">
        <f aca="false">"2.5 %"</f>
        <v>2.5 %</v>
      </c>
      <c r="L937" s="0" t="str">
        <f aca="false">"0.95 V"</f>
        <v>0.95 V</v>
      </c>
      <c r="O937" s="0" t="s">
        <v>3661</v>
      </c>
    </row>
    <row r="938" customFormat="false" ht="13.8" hidden="false" customHeight="false" outlineLevel="0" collapsed="false">
      <c r="A938" s="0" t="s">
        <v>3662</v>
      </c>
      <c r="B938" s="0" t="n">
        <v>1</v>
      </c>
      <c r="D938" s="4" t="s">
        <v>201</v>
      </c>
      <c r="E938" s="0" t="s">
        <v>202</v>
      </c>
      <c r="F938" s="4" t="s">
        <v>422</v>
      </c>
      <c r="G938" s="0" t="n">
        <v>0</v>
      </c>
      <c r="H938" s="4" t="s">
        <v>3663</v>
      </c>
      <c r="I938" s="0" t="s">
        <v>3664</v>
      </c>
      <c r="J938" s="4" t="s">
        <v>3665</v>
      </c>
      <c r="K938" s="0" t="str">
        <f aca="false">"1.74 %"</f>
        <v>1.74 %</v>
      </c>
      <c r="O938" s="0" t="s">
        <v>3666</v>
      </c>
    </row>
    <row r="939" customFormat="false" ht="13.8" hidden="false" customHeight="false" outlineLevel="0" collapsed="false">
      <c r="A939" s="0" t="s">
        <v>3662</v>
      </c>
      <c r="B939" s="0" t="n">
        <v>1</v>
      </c>
      <c r="D939" s="4" t="s">
        <v>201</v>
      </c>
      <c r="E939" s="0" t="s">
        <v>202</v>
      </c>
      <c r="F939" s="4" t="s">
        <v>422</v>
      </c>
      <c r="G939" s="0" t="n">
        <v>0</v>
      </c>
      <c r="H939" s="4" t="s">
        <v>3667</v>
      </c>
      <c r="I939" s="0" t="s">
        <v>3668</v>
      </c>
      <c r="J939" s="4" t="s">
        <v>3669</v>
      </c>
      <c r="K939" s="0" t="str">
        <f aca="false">"3.80 %"</f>
        <v>3.80 %</v>
      </c>
      <c r="O939" s="0" t="s">
        <v>3670</v>
      </c>
    </row>
    <row r="940" customFormat="false" ht="13.8" hidden="false" customHeight="false" outlineLevel="0" collapsed="false">
      <c r="A940" s="0" t="s">
        <v>3671</v>
      </c>
      <c r="B940" s="0" t="n">
        <v>1</v>
      </c>
      <c r="D940" s="0" t="s">
        <v>3672</v>
      </c>
      <c r="E940" s="0" t="s">
        <v>3673</v>
      </c>
      <c r="F940" s="4" t="s">
        <v>3674</v>
      </c>
      <c r="G940" s="0" t="n">
        <v>1</v>
      </c>
      <c r="H940" s="0" t="s">
        <v>76</v>
      </c>
      <c r="J940" s="0" t="s">
        <v>77</v>
      </c>
      <c r="K940" s="0" t="str">
        <f aca="false">"0.80 %"</f>
        <v>0.80 %</v>
      </c>
      <c r="O940" s="0" t="s">
        <v>3675</v>
      </c>
    </row>
    <row r="941" customFormat="false" ht="13.8" hidden="false" customHeight="false" outlineLevel="0" collapsed="false">
      <c r="A941" s="0" t="s">
        <v>3676</v>
      </c>
      <c r="B941" s="0" t="n">
        <v>1</v>
      </c>
      <c r="D941" s="0" t="s">
        <v>3677</v>
      </c>
      <c r="E941" s="0" t="s">
        <v>3678</v>
      </c>
      <c r="F941" s="0" t="s">
        <v>3679</v>
      </c>
      <c r="G941" s="0" t="n">
        <v>1</v>
      </c>
      <c r="H941" s="0" t="s">
        <v>27</v>
      </c>
      <c r="J941" s="4" t="s">
        <v>28</v>
      </c>
      <c r="K941" s="15" t="str">
        <f aca="false">"1.88 %"</f>
        <v>1.88 %</v>
      </c>
      <c r="L941" s="15" t="str">
        <f aca="false">"0.75 V"</f>
        <v>0.75 V</v>
      </c>
      <c r="M941" s="0" t="str">
        <f aca="false">"7.60 mA/cm^{2}"</f>
        <v>7.60 mA/cm^{2}</v>
      </c>
      <c r="N941" s="0" t="str">
        <f aca="false">"33.0 %"</f>
        <v>33.0 %</v>
      </c>
      <c r="O941" s="0" t="s">
        <v>3680</v>
      </c>
    </row>
    <row r="942" customFormat="false" ht="13.8" hidden="false" customHeight="false" outlineLevel="0" collapsed="false">
      <c r="A942" s="0" t="s">
        <v>3681</v>
      </c>
      <c r="B942" s="0" t="n">
        <v>1</v>
      </c>
      <c r="D942" s="4" t="s">
        <v>659</v>
      </c>
      <c r="E942" s="0" t="s">
        <v>202</v>
      </c>
      <c r="F942" s="4" t="s">
        <v>422</v>
      </c>
      <c r="G942" s="0" t="n">
        <v>0</v>
      </c>
      <c r="H942" s="0" t="s">
        <v>441</v>
      </c>
      <c r="I942" s="0" t="s">
        <v>3682</v>
      </c>
      <c r="J942" s="0" t="s">
        <v>3683</v>
      </c>
      <c r="K942" s="0" t="str">
        <f aca="false">"2.5 %"</f>
        <v>2.5 %</v>
      </c>
      <c r="M942" s="15" t="s">
        <v>3684</v>
      </c>
      <c r="O942" s="0" t="s">
        <v>3685</v>
      </c>
    </row>
    <row r="943" customFormat="false" ht="13.8" hidden="false" customHeight="false" outlineLevel="0" collapsed="false">
      <c r="A943" s="0" t="s">
        <v>3686</v>
      </c>
      <c r="B943" s="0" t="n">
        <v>1</v>
      </c>
      <c r="D943" s="0" t="s">
        <v>201</v>
      </c>
      <c r="E943" s="0" t="s">
        <v>202</v>
      </c>
      <c r="F943" s="0" t="s">
        <v>422</v>
      </c>
      <c r="G943" s="0" t="n">
        <v>0</v>
      </c>
      <c r="H943" s="4" t="s">
        <v>3687</v>
      </c>
      <c r="I943" s="0" t="s">
        <v>3688</v>
      </c>
      <c r="J943" s="4" t="s">
        <v>3689</v>
      </c>
      <c r="K943" s="0" t="str">
        <f aca="false">"4.03 %"</f>
        <v>4.03 %</v>
      </c>
      <c r="O943" s="0" t="s">
        <v>3690</v>
      </c>
    </row>
    <row r="944" customFormat="false" ht="13.8" hidden="false" customHeight="false" outlineLevel="0" collapsed="false">
      <c r="A944" s="0" t="s">
        <v>3686</v>
      </c>
      <c r="B944" s="0" t="n">
        <v>1</v>
      </c>
      <c r="D944" s="0" t="s">
        <v>201</v>
      </c>
      <c r="E944" s="0" t="s">
        <v>202</v>
      </c>
      <c r="F944" s="0" t="s">
        <v>422</v>
      </c>
      <c r="G944" s="0" t="n">
        <v>0</v>
      </c>
      <c r="H944" s="0" t="s">
        <v>3691</v>
      </c>
      <c r="I944" s="0" t="s">
        <v>3688</v>
      </c>
      <c r="J944" s="0" t="s">
        <v>3692</v>
      </c>
      <c r="K944" s="9" t="n">
        <v>0.0092</v>
      </c>
    </row>
    <row r="945" customFormat="false" ht="13.8" hidden="false" customHeight="false" outlineLevel="0" collapsed="false">
      <c r="A945" s="0" t="s">
        <v>3693</v>
      </c>
      <c r="B945" s="0" t="n">
        <v>1</v>
      </c>
      <c r="D945" s="0" t="s">
        <v>599</v>
      </c>
      <c r="E945" s="0" t="s">
        <v>600</v>
      </c>
      <c r="F945" s="0" t="s">
        <v>601</v>
      </c>
      <c r="G945" s="0" t="n">
        <v>0</v>
      </c>
      <c r="H945" s="0" t="s">
        <v>3694</v>
      </c>
      <c r="I945" s="0" t="s">
        <v>3695</v>
      </c>
      <c r="J945" s="0" t="s">
        <v>3696</v>
      </c>
      <c r="K945" s="0" t="str">
        <f aca="false">"9.80 %"</f>
        <v>9.80 %</v>
      </c>
      <c r="M945" s="4" t="str">
        <f aca="false">"17.40 mA*cm^{-2}"</f>
        <v>17.40 mA*cm^{-2}</v>
      </c>
      <c r="O945" s="0" t="s">
        <v>3697</v>
      </c>
    </row>
    <row r="946" customFormat="false" ht="13.8" hidden="false" customHeight="false" outlineLevel="0" collapsed="false">
      <c r="A946" s="0" t="s">
        <v>3693</v>
      </c>
      <c r="B946" s="0" t="n">
        <v>1</v>
      </c>
      <c r="D946" s="0" t="s">
        <v>599</v>
      </c>
      <c r="E946" s="0" t="s">
        <v>600</v>
      </c>
      <c r="F946" s="0" t="s">
        <v>601</v>
      </c>
      <c r="G946" s="0" t="n">
        <v>0</v>
      </c>
      <c r="H946" s="0" t="s">
        <v>3698</v>
      </c>
      <c r="I946" s="0" t="s">
        <v>3699</v>
      </c>
      <c r="J946" s="0" t="s">
        <v>3700</v>
      </c>
      <c r="K946" s="28" t="n">
        <v>0.1012</v>
      </c>
      <c r="M946" s="4" t="str">
        <f aca="false">"18.16 mA*cm^{-2}"</f>
        <v>18.16 mA*cm^{-2}</v>
      </c>
      <c r="O946" s="0" t="s">
        <v>3701</v>
      </c>
    </row>
    <row r="947" customFormat="false" ht="13.8" hidden="false" customHeight="false" outlineLevel="0" collapsed="false">
      <c r="A947" s="0" t="s">
        <v>3702</v>
      </c>
      <c r="B947" s="0" t="n">
        <v>1</v>
      </c>
      <c r="D947" s="0" t="s">
        <v>3703</v>
      </c>
      <c r="E947" s="0" t="s">
        <v>1689</v>
      </c>
      <c r="F947" s="0" t="s">
        <v>3704</v>
      </c>
      <c r="G947" s="0" t="n">
        <v>1</v>
      </c>
      <c r="H947" s="0" t="s">
        <v>27</v>
      </c>
      <c r="J947" s="0" t="s">
        <v>28</v>
      </c>
      <c r="K947" s="3" t="n">
        <v>0.0564</v>
      </c>
      <c r="O947" s="0" t="s">
        <v>3705</v>
      </c>
    </row>
    <row r="948" customFormat="false" ht="13.8" hidden="false" customHeight="false" outlineLevel="0" collapsed="false">
      <c r="A948" s="0" t="s">
        <v>3702</v>
      </c>
      <c r="B948" s="0" t="n">
        <v>1</v>
      </c>
      <c r="D948" s="0" t="s">
        <v>109</v>
      </c>
      <c r="E948" s="0" t="s">
        <v>110</v>
      </c>
      <c r="F948" s="0" t="s">
        <v>3706</v>
      </c>
      <c r="G948" s="0" t="n">
        <v>1</v>
      </c>
      <c r="H948" s="0" t="s">
        <v>27</v>
      </c>
      <c r="J948" s="0" t="s">
        <v>28</v>
      </c>
      <c r="K948" s="0" t="str">
        <f aca="false">"6.59 %"</f>
        <v>6.59 %</v>
      </c>
      <c r="O948" s="0" t="s">
        <v>3707</v>
      </c>
    </row>
    <row r="949" customFormat="false" ht="13.8" hidden="false" customHeight="false" outlineLevel="0" collapsed="false">
      <c r="A949" s="0" t="s">
        <v>3708</v>
      </c>
      <c r="B949" s="0" t="n">
        <v>1</v>
      </c>
      <c r="D949" s="4" t="s">
        <v>16</v>
      </c>
      <c r="E949" s="0" t="s">
        <v>17</v>
      </c>
      <c r="F949" s="4" t="s">
        <v>116</v>
      </c>
      <c r="G949" s="0" t="n">
        <v>0</v>
      </c>
      <c r="H949" s="4" t="s">
        <v>3709</v>
      </c>
      <c r="I949" s="0" t="s">
        <v>3710</v>
      </c>
      <c r="J949" s="4" t="s">
        <v>3711</v>
      </c>
      <c r="K949" s="3" t="n">
        <v>0.0216</v>
      </c>
      <c r="O949" s="0" t="s">
        <v>3712</v>
      </c>
    </row>
    <row r="950" customFormat="false" ht="13.8" hidden="false" customHeight="false" outlineLevel="0" collapsed="false">
      <c r="A950" s="0" t="s">
        <v>3708</v>
      </c>
      <c r="B950" s="0" t="n">
        <v>1</v>
      </c>
      <c r="D950" s="4" t="s">
        <v>1550</v>
      </c>
      <c r="E950" s="0" t="s">
        <v>3713</v>
      </c>
      <c r="F950" s="4" t="s">
        <v>1552</v>
      </c>
      <c r="G950" s="0" t="n">
        <v>0</v>
      </c>
      <c r="H950" s="4" t="s">
        <v>3709</v>
      </c>
      <c r="I950" s="0" t="s">
        <v>3710</v>
      </c>
      <c r="J950" s="4" t="s">
        <v>3711</v>
      </c>
      <c r="K950" s="0" t="str">
        <f aca="false">"7.52 %"</f>
        <v>7.52 %</v>
      </c>
      <c r="L950" s="0" t="str">
        <f aca="false">"0.98 V"</f>
        <v>0.98 V</v>
      </c>
      <c r="M950" s="15" t="s">
        <v>3714</v>
      </c>
      <c r="N950" s="15" t="str">
        <f aca="false">"0.62"</f>
        <v>0.62</v>
      </c>
      <c r="O950" s="0" t="s">
        <v>3715</v>
      </c>
    </row>
    <row r="951" customFormat="false" ht="13.8" hidden="false" customHeight="false" outlineLevel="0" collapsed="false">
      <c r="A951" s="0" t="s">
        <v>3716</v>
      </c>
      <c r="B951" s="0" t="n">
        <v>1</v>
      </c>
      <c r="D951" s="4" t="s">
        <v>3717</v>
      </c>
      <c r="E951" s="0" t="s">
        <v>3718</v>
      </c>
      <c r="F951" s="4" t="s">
        <v>3719</v>
      </c>
      <c r="G951" s="0" t="n">
        <v>1</v>
      </c>
      <c r="H951" s="0" t="s">
        <v>27</v>
      </c>
      <c r="J951" s="0" t="s">
        <v>28</v>
      </c>
      <c r="K951" s="0" t="str">
        <f aca="false">"7.04 ± 0.1 %"</f>
        <v>7.04 ± 0.1 %</v>
      </c>
      <c r="O951" s="0" t="s">
        <v>3720</v>
      </c>
    </row>
    <row r="952" customFormat="false" ht="13.8" hidden="false" customHeight="false" outlineLevel="0" collapsed="false">
      <c r="A952" s="0" t="s">
        <v>3721</v>
      </c>
      <c r="B952" s="0" t="n">
        <v>1</v>
      </c>
      <c r="D952" s="0" t="s">
        <v>201</v>
      </c>
      <c r="E952" s="0" t="s">
        <v>202</v>
      </c>
      <c r="F952" s="0" t="s">
        <v>422</v>
      </c>
      <c r="G952" s="0" t="n">
        <v>0</v>
      </c>
      <c r="H952" s="0" t="s">
        <v>1121</v>
      </c>
      <c r="I952" s="0" t="s">
        <v>225</v>
      </c>
      <c r="J952" s="0" t="s">
        <v>1122</v>
      </c>
      <c r="O952" s="0" t="s">
        <v>3722</v>
      </c>
    </row>
    <row r="953" customFormat="false" ht="13.8" hidden="false" customHeight="false" outlineLevel="0" collapsed="false">
      <c r="A953" s="0" t="s">
        <v>3721</v>
      </c>
      <c r="B953" s="0" t="n">
        <v>1</v>
      </c>
      <c r="D953" s="0" t="s">
        <v>201</v>
      </c>
      <c r="E953" s="0" t="s">
        <v>202</v>
      </c>
      <c r="F953" s="0" t="s">
        <v>422</v>
      </c>
      <c r="G953" s="0" t="n">
        <v>0</v>
      </c>
      <c r="H953" s="0" t="s">
        <v>3723</v>
      </c>
      <c r="I953" s="0" t="s">
        <v>3724</v>
      </c>
      <c r="J953" s="0" t="s">
        <v>3725</v>
      </c>
      <c r="K953" s="0" t="str">
        <f aca="false">"7.6 %"</f>
        <v>7.6 %</v>
      </c>
      <c r="N953" s="15" t="str">
        <f aca="false">"0.71"</f>
        <v>0.71</v>
      </c>
      <c r="O953" s="0" t="s">
        <v>3726</v>
      </c>
    </row>
    <row r="954" customFormat="false" ht="13.8" hidden="false" customHeight="false" outlineLevel="0" collapsed="false">
      <c r="A954" s="0" t="s">
        <v>3727</v>
      </c>
      <c r="B954" s="0" t="n">
        <v>1</v>
      </c>
      <c r="D954" s="0" t="s">
        <v>85</v>
      </c>
      <c r="E954" s="0" t="s">
        <v>86</v>
      </c>
      <c r="F954" s="0" t="s">
        <v>87</v>
      </c>
      <c r="G954" s="0" t="n">
        <v>1</v>
      </c>
      <c r="H954" s="0" t="s">
        <v>27</v>
      </c>
      <c r="J954" s="0" t="s">
        <v>28</v>
      </c>
      <c r="K954" s="0" t="str">
        <f aca="false">"9.13 %"</f>
        <v>9.13 %</v>
      </c>
      <c r="L954" s="0" t="str">
        <f aca="false">"0.75 V"</f>
        <v>0.75 V</v>
      </c>
      <c r="M954" s="0" t="str">
        <f aca="false">"17.13 mA/cm^{2}"</f>
        <v>17.13 mA/cm^{2}</v>
      </c>
      <c r="N954" s="0" t="str">
        <f aca="false">"71.1 %"</f>
        <v>71.1 %</v>
      </c>
      <c r="O954" s="0" t="s">
        <v>3728</v>
      </c>
    </row>
    <row r="955" customFormat="false" ht="13.8" hidden="false" customHeight="false" outlineLevel="0" collapsed="false">
      <c r="A955" s="0" t="s">
        <v>3729</v>
      </c>
      <c r="C955" s="0" t="n">
        <v>1</v>
      </c>
      <c r="D955" s="0" t="s">
        <v>3730</v>
      </c>
      <c r="F955" s="0" t="s">
        <v>3731</v>
      </c>
      <c r="G955" s="0" t="n">
        <v>0</v>
      </c>
      <c r="H955" s="0" t="s">
        <v>1729</v>
      </c>
      <c r="J955" s="0" t="s">
        <v>1730</v>
      </c>
      <c r="K955" s="0" t="str">
        <f aca="false">"8 %"</f>
        <v>8 %</v>
      </c>
      <c r="O955" s="0" t="s">
        <v>3732</v>
      </c>
    </row>
    <row r="956" customFormat="false" ht="13.8" hidden="false" customHeight="false" outlineLevel="0" collapsed="false">
      <c r="A956" s="0" t="s">
        <v>3733</v>
      </c>
      <c r="B956" s="0" t="n">
        <v>1</v>
      </c>
      <c r="D956" s="4" t="s">
        <v>3734</v>
      </c>
      <c r="E956" s="0" t="s">
        <v>3735</v>
      </c>
      <c r="F956" s="4" t="s">
        <v>3736</v>
      </c>
      <c r="G956" s="0" t="n">
        <v>1</v>
      </c>
      <c r="H956" s="0" t="s">
        <v>27</v>
      </c>
      <c r="J956" s="0" t="s">
        <v>28</v>
      </c>
      <c r="K956" s="0" t="str">
        <f aca="false">"3.69 %"</f>
        <v>3.69 %</v>
      </c>
      <c r="O956" s="0" t="s">
        <v>3737</v>
      </c>
    </row>
    <row r="957" customFormat="false" ht="13.8" hidden="false" customHeight="false" outlineLevel="0" collapsed="false">
      <c r="A957" s="0" t="s">
        <v>3733</v>
      </c>
      <c r="B957" s="0" t="n">
        <v>1</v>
      </c>
      <c r="D957" s="0" t="s">
        <v>3738</v>
      </c>
      <c r="E957" s="0" t="s">
        <v>3739</v>
      </c>
      <c r="F957" s="0" t="s">
        <v>3740</v>
      </c>
      <c r="G957" s="0" t="n">
        <v>1</v>
      </c>
      <c r="H957" s="0" t="s">
        <v>27</v>
      </c>
      <c r="J957" s="0" t="s">
        <v>28</v>
      </c>
      <c r="K957" s="9" t="str">
        <f aca="false">"7.52"</f>
        <v>7.52</v>
      </c>
    </row>
    <row r="958" customFormat="false" ht="13.8" hidden="false" customHeight="false" outlineLevel="0" collapsed="false">
      <c r="A958" s="0" t="s">
        <v>3741</v>
      </c>
      <c r="B958" s="0" t="n">
        <v>1</v>
      </c>
      <c r="D958" s="4" t="s">
        <v>3742</v>
      </c>
      <c r="E958" s="0" t="s">
        <v>3743</v>
      </c>
      <c r="F958" s="15" t="s">
        <v>3744</v>
      </c>
      <c r="G958" s="0" t="n">
        <v>0</v>
      </c>
      <c r="H958" s="4" t="s">
        <v>163</v>
      </c>
      <c r="I958" s="0" t="s">
        <v>164</v>
      </c>
      <c r="J958" s="15" t="s">
        <v>165</v>
      </c>
      <c r="K958" s="0" t="str">
        <f aca="false">"6.59 %"</f>
        <v>6.59 %</v>
      </c>
      <c r="O958" s="0" t="s">
        <v>3745</v>
      </c>
    </row>
    <row r="959" customFormat="false" ht="13.8" hidden="false" customHeight="false" outlineLevel="0" collapsed="false">
      <c r="A959" s="0" t="s">
        <v>3746</v>
      </c>
      <c r="B959" s="0" t="n">
        <v>1</v>
      </c>
      <c r="D959" s="0" t="s">
        <v>85</v>
      </c>
      <c r="E959" s="0" t="s">
        <v>86</v>
      </c>
      <c r="F959" s="0" t="s">
        <v>87</v>
      </c>
      <c r="G959" s="0" t="n">
        <v>1</v>
      </c>
      <c r="H959" s="0" t="s">
        <v>27</v>
      </c>
      <c r="J959" s="0" t="s">
        <v>28</v>
      </c>
      <c r="K959" s="0" t="str">
        <f aca="false">"9.726 %"</f>
        <v>9.726 %</v>
      </c>
      <c r="O959" s="0" t="s">
        <v>3747</v>
      </c>
    </row>
    <row r="960" customFormat="false" ht="13.8" hidden="false" customHeight="false" outlineLevel="0" collapsed="false">
      <c r="A960" s="0" t="s">
        <v>3748</v>
      </c>
      <c r="B960" s="0" t="n">
        <v>1</v>
      </c>
      <c r="D960" s="0" t="s">
        <v>1341</v>
      </c>
      <c r="E960" s="0" t="s">
        <v>1342</v>
      </c>
      <c r="F960" s="0" t="s">
        <v>1343</v>
      </c>
      <c r="G960" s="0" t="n">
        <v>1</v>
      </c>
      <c r="H960" s="0" t="s">
        <v>3749</v>
      </c>
      <c r="J960" s="0" t="s">
        <v>3750</v>
      </c>
      <c r="K960" s="3" t="n">
        <v>0.1013</v>
      </c>
      <c r="O960" s="0" t="s">
        <v>3751</v>
      </c>
    </row>
    <row r="961" customFormat="false" ht="13.8" hidden="false" customHeight="false" outlineLevel="0" collapsed="false">
      <c r="A961" s="0" t="s">
        <v>3752</v>
      </c>
      <c r="B961" s="0" t="n">
        <v>1</v>
      </c>
      <c r="D961" s="0" t="s">
        <v>85</v>
      </c>
      <c r="E961" s="4" t="s">
        <v>86</v>
      </c>
      <c r="F961" s="4" t="s">
        <v>87</v>
      </c>
      <c r="G961" s="0" t="n">
        <v>1</v>
      </c>
      <c r="H961" s="0" t="s">
        <v>27</v>
      </c>
      <c r="J961" s="0" t="s">
        <v>28</v>
      </c>
      <c r="K961" s="0" t="str">
        <f aca="false">"8.5 %"</f>
        <v>8.5 %</v>
      </c>
      <c r="O961" s="0" t="s">
        <v>3753</v>
      </c>
    </row>
    <row r="962" customFormat="false" ht="13.8" hidden="false" customHeight="false" outlineLevel="0" collapsed="false">
      <c r="A962" s="0" t="s">
        <v>3752</v>
      </c>
      <c r="B962" s="0" t="n">
        <v>1</v>
      </c>
      <c r="D962" s="0" t="s">
        <v>201</v>
      </c>
      <c r="E962" s="0" t="s">
        <v>202</v>
      </c>
      <c r="F962" s="0" t="s">
        <v>422</v>
      </c>
      <c r="G962" s="0" t="n">
        <v>1</v>
      </c>
      <c r="H962" s="0" t="s">
        <v>27</v>
      </c>
      <c r="J962" s="0" t="s">
        <v>28</v>
      </c>
      <c r="K962" s="29" t="n">
        <v>0.102</v>
      </c>
    </row>
    <row r="963" customFormat="false" ht="13.8" hidden="false" customHeight="false" outlineLevel="0" collapsed="false">
      <c r="A963" s="0" t="s">
        <v>3754</v>
      </c>
      <c r="C963" s="0" t="n">
        <v>1</v>
      </c>
      <c r="D963" s="0" t="s">
        <v>1031</v>
      </c>
      <c r="E963" s="4" t="s">
        <v>3755</v>
      </c>
      <c r="F963" s="0" t="s">
        <v>1138</v>
      </c>
      <c r="G963" s="0" t="n">
        <v>1</v>
      </c>
      <c r="H963" s="0" t="s">
        <v>27</v>
      </c>
      <c r="J963" s="0" t="s">
        <v>28</v>
      </c>
      <c r="O963" s="0" t="s">
        <v>3756</v>
      </c>
    </row>
    <row r="964" customFormat="false" ht="13.8" hidden="false" customHeight="false" outlineLevel="0" collapsed="false">
      <c r="A964" s="0" t="s">
        <v>3757</v>
      </c>
      <c r="B964" s="0" t="n">
        <v>1</v>
      </c>
      <c r="D964" s="0" t="s">
        <v>16</v>
      </c>
      <c r="E964" s="0" t="s">
        <v>17</v>
      </c>
      <c r="F964" s="0" t="s">
        <v>116</v>
      </c>
      <c r="G964" s="0" t="n">
        <v>1</v>
      </c>
      <c r="H964" s="0" t="s">
        <v>33</v>
      </c>
      <c r="J964" s="0" t="s">
        <v>40</v>
      </c>
      <c r="K964" s="0" t="str">
        <f aca="false">"3.8 %"</f>
        <v>3.8 %</v>
      </c>
      <c r="O964" s="0" t="s">
        <v>3758</v>
      </c>
    </row>
    <row r="965" customFormat="false" ht="13.8" hidden="false" customHeight="false" outlineLevel="0" collapsed="false">
      <c r="A965" s="0" t="s">
        <v>3759</v>
      </c>
      <c r="B965" s="0" t="n">
        <v>1</v>
      </c>
      <c r="D965" s="0" t="s">
        <v>192</v>
      </c>
      <c r="E965" s="0" t="s">
        <v>193</v>
      </c>
      <c r="F965" s="0" t="s">
        <v>3760</v>
      </c>
      <c r="G965" s="0" t="n">
        <v>1</v>
      </c>
      <c r="H965" s="0" t="s">
        <v>27</v>
      </c>
      <c r="J965" s="15" t="s">
        <v>3761</v>
      </c>
      <c r="K965" s="0" t="str">
        <f aca="false">"5.4 %"</f>
        <v>5.4 %</v>
      </c>
      <c r="L965" s="0" t="str">
        <f aca="false">"0.81 V"</f>
        <v>0.81 V</v>
      </c>
      <c r="M965" s="0" t="str">
        <f aca="false">"9.6 mA/cm^{2}"</f>
        <v>9.6 mA/cm^{2}</v>
      </c>
      <c r="N965" s="0" t="str">
        <f aca="false">"0.69"</f>
        <v>0.69</v>
      </c>
      <c r="O965" s="0" t="s">
        <v>3762</v>
      </c>
    </row>
    <row r="966" customFormat="false" ht="13.8" hidden="false" customHeight="false" outlineLevel="0" collapsed="false">
      <c r="A966" s="0" t="s">
        <v>3763</v>
      </c>
      <c r="C966" s="0" t="n">
        <v>1</v>
      </c>
      <c r="D966" s="0" t="s">
        <v>3764</v>
      </c>
      <c r="F966" s="0" t="s">
        <v>3765</v>
      </c>
      <c r="G966" s="0" t="n">
        <v>1</v>
      </c>
      <c r="H966" s="0" t="s">
        <v>33</v>
      </c>
      <c r="J966" s="0" t="s">
        <v>34</v>
      </c>
      <c r="K966" s="0" t="str">
        <f aca="false">"0.42 %"</f>
        <v>0.42 %</v>
      </c>
      <c r="O966" s="0" t="s">
        <v>3766</v>
      </c>
    </row>
    <row r="967" customFormat="false" ht="13.8" hidden="false" customHeight="false" outlineLevel="0" collapsed="false">
      <c r="A967" s="0" t="s">
        <v>3763</v>
      </c>
      <c r="B967" s="0" t="n">
        <v>1</v>
      </c>
      <c r="D967" s="0" t="s">
        <v>16</v>
      </c>
      <c r="E967" s="0" t="s">
        <v>17</v>
      </c>
      <c r="F967" s="0" t="s">
        <v>18</v>
      </c>
      <c r="G967" s="0" t="n">
        <v>1</v>
      </c>
      <c r="H967" s="0" t="s">
        <v>33</v>
      </c>
      <c r="J967" s="0" t="s">
        <v>3767</v>
      </c>
      <c r="K967" s="0" t="str">
        <f aca="false">"4.69 %"</f>
        <v>4.69 %</v>
      </c>
      <c r="O967" s="0" t="s">
        <v>3768</v>
      </c>
    </row>
    <row r="968" customFormat="false" ht="13.8" hidden="false" customHeight="false" outlineLevel="0" collapsed="false">
      <c r="A968" s="0" t="s">
        <v>3769</v>
      </c>
      <c r="B968" s="0" t="n">
        <v>1</v>
      </c>
      <c r="D968" s="0" t="s">
        <v>201</v>
      </c>
      <c r="E968" s="0" t="s">
        <v>202</v>
      </c>
      <c r="F968" s="0" t="s">
        <v>422</v>
      </c>
      <c r="G968" s="0" t="n">
        <v>0</v>
      </c>
      <c r="H968" s="4" t="s">
        <v>3770</v>
      </c>
      <c r="I968" s="0" t="s">
        <v>3771</v>
      </c>
      <c r="J968" s="4" t="s">
        <v>3772</v>
      </c>
      <c r="K968" s="0" t="str">
        <f aca="false">"&gt; 6 %"</f>
        <v>&gt; 6 %</v>
      </c>
      <c r="O968" s="0" t="s">
        <v>3773</v>
      </c>
    </row>
    <row r="969" customFormat="false" ht="13.8" hidden="false" customHeight="false" outlineLevel="0" collapsed="false">
      <c r="A969" s="0" t="s">
        <v>3769</v>
      </c>
      <c r="B969" s="0" t="n">
        <v>1</v>
      </c>
      <c r="D969" s="4" t="s">
        <v>201</v>
      </c>
      <c r="E969" s="0" t="s">
        <v>202</v>
      </c>
      <c r="F969" s="4" t="s">
        <v>422</v>
      </c>
      <c r="G969" s="0" t="n">
        <v>0</v>
      </c>
      <c r="H969" s="4" t="s">
        <v>3774</v>
      </c>
      <c r="I969" s="0" t="s">
        <v>3775</v>
      </c>
      <c r="J969" s="4" t="s">
        <v>3776</v>
      </c>
      <c r="K969" s="0" t="str">
        <f aca="false">"6.58 %"</f>
        <v>6.58 %</v>
      </c>
      <c r="L969" s="15" t="str">
        <f aca="false">"0.76 V"</f>
        <v>0.76 V</v>
      </c>
      <c r="M969" s="0" t="str">
        <f aca="false">"13.96 mA/cm^{2}"</f>
        <v>13.96 mA/cm^{2}</v>
      </c>
      <c r="N969" s="0" t="str">
        <f aca="false">"62.0 %"</f>
        <v>62.0 %</v>
      </c>
      <c r="O969" s="0" t="s">
        <v>3777</v>
      </c>
    </row>
    <row r="970" customFormat="false" ht="13.8" hidden="false" customHeight="false" outlineLevel="0" collapsed="false">
      <c r="A970" s="0" t="s">
        <v>3778</v>
      </c>
      <c r="B970" s="0" t="n">
        <v>1</v>
      </c>
      <c r="D970" s="4" t="s">
        <v>208</v>
      </c>
      <c r="E970" s="0" t="s">
        <v>17</v>
      </c>
      <c r="F970" s="4" t="s">
        <v>209</v>
      </c>
      <c r="G970" s="0" t="n">
        <v>1</v>
      </c>
      <c r="H970" s="0" t="s">
        <v>152</v>
      </c>
      <c r="J970" s="15" t="s">
        <v>153</v>
      </c>
      <c r="K970" s="0" t="str">
        <f aca="false">"~1.22 %"</f>
        <v>~1.22 %</v>
      </c>
      <c r="O970" s="0" t="s">
        <v>3779</v>
      </c>
    </row>
    <row r="971" customFormat="false" ht="13.8" hidden="false" customHeight="false" outlineLevel="0" collapsed="false">
      <c r="A971" s="0" t="s">
        <v>3780</v>
      </c>
      <c r="B971" s="0" t="n">
        <v>1</v>
      </c>
      <c r="D971" s="4" t="s">
        <v>3781</v>
      </c>
      <c r="E971" s="0" t="s">
        <v>3782</v>
      </c>
      <c r="F971" s="4" t="s">
        <v>3783</v>
      </c>
      <c r="G971" s="0" t="n">
        <v>1</v>
      </c>
      <c r="H971" s="0" t="s">
        <v>33</v>
      </c>
      <c r="J971" s="15" t="s">
        <v>1265</v>
      </c>
      <c r="K971" s="0" t="str">
        <f aca="false">"5.24 %"</f>
        <v>5.24 %</v>
      </c>
      <c r="O971" s="0" t="s">
        <v>3784</v>
      </c>
    </row>
    <row r="972" customFormat="false" ht="13.8" hidden="false" customHeight="false" outlineLevel="0" collapsed="false">
      <c r="A972" s="0" t="s">
        <v>3785</v>
      </c>
      <c r="B972" s="0" t="n">
        <v>1</v>
      </c>
      <c r="D972" s="0" t="s">
        <v>1341</v>
      </c>
      <c r="E972" s="0" t="s">
        <v>1342</v>
      </c>
      <c r="F972" s="0" t="s">
        <v>1343</v>
      </c>
      <c r="G972" s="0" t="n">
        <v>1</v>
      </c>
      <c r="H972" s="0" t="s">
        <v>27</v>
      </c>
      <c r="J972" s="0" t="s">
        <v>28</v>
      </c>
      <c r="K972" s="0" t="str">
        <f aca="false">"4.26 %"</f>
        <v>4.26 %</v>
      </c>
      <c r="O972" s="0" t="s">
        <v>3786</v>
      </c>
    </row>
    <row r="973" customFormat="false" ht="13.8" hidden="false" customHeight="false" outlineLevel="0" collapsed="false">
      <c r="A973" s="0" t="s">
        <v>3785</v>
      </c>
      <c r="B973" s="0" t="n">
        <v>1</v>
      </c>
      <c r="D973" s="0" t="s">
        <v>3787</v>
      </c>
      <c r="E973" s="0" t="s">
        <v>3788</v>
      </c>
      <c r="F973" s="0" t="s">
        <v>3789</v>
      </c>
      <c r="G973" s="0" t="n">
        <v>1</v>
      </c>
      <c r="H973" s="0" t="s">
        <v>27</v>
      </c>
      <c r="J973" s="0" t="s">
        <v>28</v>
      </c>
      <c r="K973" s="3" t="n">
        <v>0.0965</v>
      </c>
      <c r="O973" s="0" t="s">
        <v>3790</v>
      </c>
    </row>
    <row r="974" customFormat="false" ht="13.8" hidden="false" customHeight="false" outlineLevel="0" collapsed="false">
      <c r="A974" s="0" t="s">
        <v>3791</v>
      </c>
      <c r="B974" s="0" t="n">
        <v>1</v>
      </c>
      <c r="D974" s="0" t="s">
        <v>85</v>
      </c>
      <c r="E974" s="0" t="s">
        <v>86</v>
      </c>
      <c r="F974" s="0" t="s">
        <v>87</v>
      </c>
      <c r="G974" s="0" t="n">
        <v>1</v>
      </c>
      <c r="H974" s="0" t="s">
        <v>27</v>
      </c>
      <c r="J974" s="0" t="s">
        <v>28</v>
      </c>
      <c r="K974" s="3" t="n">
        <v>0.0924</v>
      </c>
      <c r="O974" s="0" t="s">
        <v>3792</v>
      </c>
    </row>
    <row r="975" customFormat="false" ht="13.8" hidden="false" customHeight="false" outlineLevel="0" collapsed="false">
      <c r="A975" s="0" t="s">
        <v>3793</v>
      </c>
      <c r="B975" s="0" t="n">
        <v>1</v>
      </c>
      <c r="D975" s="0" t="s">
        <v>16</v>
      </c>
      <c r="E975" s="0" t="s">
        <v>17</v>
      </c>
      <c r="F975" s="0" t="s">
        <v>18</v>
      </c>
      <c r="G975" s="0" t="n">
        <v>1</v>
      </c>
      <c r="H975" s="0" t="s">
        <v>27</v>
      </c>
      <c r="J975" s="0" t="s">
        <v>28</v>
      </c>
      <c r="K975" s="0" t="str">
        <f aca="false">"3.35 %"</f>
        <v>3.35 %</v>
      </c>
      <c r="O975" s="0" t="s">
        <v>3794</v>
      </c>
    </row>
    <row r="976" customFormat="false" ht="13.8" hidden="false" customHeight="false" outlineLevel="0" collapsed="false">
      <c r="A976" s="0" t="s">
        <v>3795</v>
      </c>
      <c r="C976" s="0" t="n">
        <v>1</v>
      </c>
      <c r="D976" s="0" t="s">
        <v>3796</v>
      </c>
      <c r="E976" s="0" t="s">
        <v>110</v>
      </c>
      <c r="F976" s="0" t="s">
        <v>3797</v>
      </c>
      <c r="G976" s="0" t="n">
        <v>0</v>
      </c>
      <c r="H976" s="0" t="s">
        <v>3798</v>
      </c>
      <c r="J976" s="0" t="s">
        <v>40</v>
      </c>
      <c r="K976" s="0" t="str">
        <f aca="false">"12.15 %"</f>
        <v>12.15 %</v>
      </c>
      <c r="O976" s="0" t="s">
        <v>3799</v>
      </c>
    </row>
    <row r="977" customFormat="false" ht="13.8" hidden="false" customHeight="false" outlineLevel="0" collapsed="false">
      <c r="A977" s="0" t="s">
        <v>3800</v>
      </c>
      <c r="B977" s="0" t="n">
        <v>1</v>
      </c>
      <c r="D977" s="0" t="s">
        <v>124</v>
      </c>
      <c r="E977" s="0" t="s">
        <v>3801</v>
      </c>
      <c r="F977" s="0" t="s">
        <v>427</v>
      </c>
      <c r="G977" s="0" t="n">
        <v>1</v>
      </c>
      <c r="H977" s="0" t="s">
        <v>27</v>
      </c>
      <c r="J977" s="0" t="s">
        <v>28</v>
      </c>
    </row>
    <row r="978" customFormat="false" ht="13.8" hidden="false" customHeight="false" outlineLevel="0" collapsed="false">
      <c r="A978" s="0" t="s">
        <v>3800</v>
      </c>
      <c r="B978" s="0" t="n">
        <v>1</v>
      </c>
      <c r="D978" s="4" t="s">
        <v>128</v>
      </c>
      <c r="E978" s="0" t="s">
        <v>3802</v>
      </c>
      <c r="F978" s="4" t="s">
        <v>130</v>
      </c>
      <c r="G978" s="0" t="n">
        <v>1</v>
      </c>
      <c r="H978" s="0" t="s">
        <v>27</v>
      </c>
      <c r="J978" s="0" t="s">
        <v>28</v>
      </c>
      <c r="K978" s="31" t="n">
        <v>0.044</v>
      </c>
      <c r="O978" s="0" t="s">
        <v>3803</v>
      </c>
    </row>
    <row r="979" customFormat="false" ht="15.75" hidden="false" customHeight="false" outlineLevel="0" collapsed="false">
      <c r="A979" s="0" t="s">
        <v>3804</v>
      </c>
      <c r="B979" s="0" t="n">
        <v>1</v>
      </c>
      <c r="D979" s="4" t="s">
        <v>3805</v>
      </c>
      <c r="E979" s="0" t="s">
        <v>3806</v>
      </c>
      <c r="F979" s="4" t="s">
        <v>3807</v>
      </c>
      <c r="G979" s="0" t="n">
        <v>1</v>
      </c>
      <c r="H979" s="4" t="s">
        <v>449</v>
      </c>
      <c r="I979" s="21" t="s">
        <v>450</v>
      </c>
      <c r="J979" s="4" t="s">
        <v>3808</v>
      </c>
      <c r="K979" s="0" t="str">
        <f aca="false">"5.3 %"</f>
        <v>5.3 %</v>
      </c>
      <c r="O979" s="0" t="s">
        <v>3809</v>
      </c>
    </row>
    <row r="980" customFormat="false" ht="13.8" hidden="false" customHeight="false" outlineLevel="0" collapsed="false">
      <c r="A980" s="0" t="s">
        <v>3804</v>
      </c>
      <c r="B980" s="0" t="n">
        <v>1</v>
      </c>
      <c r="D980" s="27" t="s">
        <v>3805</v>
      </c>
      <c r="E980" s="0" t="s">
        <v>3806</v>
      </c>
      <c r="F980" s="27" t="s">
        <v>3807</v>
      </c>
      <c r="G980" s="0" t="n">
        <v>1</v>
      </c>
      <c r="H980" s="27" t="s">
        <v>3232</v>
      </c>
      <c r="J980" s="27" t="s">
        <v>3233</v>
      </c>
      <c r="K980" s="9" t="n">
        <v>0.074</v>
      </c>
    </row>
    <row r="981" customFormat="false" ht="13.8" hidden="false" customHeight="false" outlineLevel="0" collapsed="false">
      <c r="A981" s="0" t="s">
        <v>3810</v>
      </c>
      <c r="B981" s="0" t="n">
        <v>1</v>
      </c>
      <c r="D981" s="4" t="s">
        <v>3811</v>
      </c>
      <c r="E981" s="4" t="s">
        <v>3812</v>
      </c>
      <c r="F981" s="4" t="s">
        <v>3813</v>
      </c>
      <c r="G981" s="0" t="n">
        <v>1</v>
      </c>
      <c r="H981" s="0" t="s">
        <v>27</v>
      </c>
      <c r="J981" s="0" t="s">
        <v>28</v>
      </c>
      <c r="K981" s="0" t="str">
        <f aca="false">"1 %"</f>
        <v>1 %</v>
      </c>
      <c r="M981" s="0" t="str">
        <f aca="false">"4.3"</f>
        <v>4.3</v>
      </c>
      <c r="N981" s="15" t="str">
        <f aca="false">"0.41"</f>
        <v>0.41</v>
      </c>
      <c r="O981" s="0" t="s">
        <v>3814</v>
      </c>
    </row>
    <row r="982" customFormat="false" ht="13.8" hidden="false" customHeight="false" outlineLevel="0" collapsed="false">
      <c r="A982" s="0" t="s">
        <v>3810</v>
      </c>
      <c r="B982" s="0" t="n">
        <v>1</v>
      </c>
      <c r="D982" s="0" t="s">
        <v>3815</v>
      </c>
      <c r="E982" s="0" t="s">
        <v>3816</v>
      </c>
      <c r="F982" s="0" t="s">
        <v>3817</v>
      </c>
      <c r="G982" s="0" t="n">
        <v>1</v>
      </c>
      <c r="H982" s="0" t="s">
        <v>27</v>
      </c>
      <c r="J982" s="0" t="s">
        <v>28</v>
      </c>
      <c r="K982" s="14" t="n">
        <v>0.06</v>
      </c>
      <c r="M982" s="14" t="str">
        <f aca="false">"13.0"</f>
        <v>13.0</v>
      </c>
      <c r="N982" s="0" t="str">
        <f aca="false">"0.68"</f>
        <v>0.68</v>
      </c>
    </row>
    <row r="983" customFormat="false" ht="13.8" hidden="false" customHeight="false" outlineLevel="0" collapsed="false">
      <c r="A983" s="0" t="s">
        <v>3810</v>
      </c>
      <c r="B983" s="0" t="n">
        <v>1</v>
      </c>
      <c r="D983" s="0" t="s">
        <v>3818</v>
      </c>
      <c r="E983" s="0" t="s">
        <v>3819</v>
      </c>
      <c r="F983" s="0" t="s">
        <v>3820</v>
      </c>
      <c r="G983" s="0" t="n">
        <v>1</v>
      </c>
      <c r="H983" s="0" t="s">
        <v>27</v>
      </c>
      <c r="J983" s="0" t="s">
        <v>28</v>
      </c>
      <c r="K983" s="29" t="n">
        <v>0.073</v>
      </c>
      <c r="M983" s="0" t="str">
        <f aca="false">"14.5 mA cm^{–2}"</f>
        <v>14.5 mA cm^{–2}</v>
      </c>
      <c r="N983" s="0" t="str">
        <f aca="false">"0.69"</f>
        <v>0.69</v>
      </c>
    </row>
    <row r="984" customFormat="false" ht="13.8" hidden="false" customHeight="false" outlineLevel="0" collapsed="false">
      <c r="A984" s="0" t="s">
        <v>3821</v>
      </c>
      <c r="B984" s="0" t="n">
        <v>1</v>
      </c>
      <c r="D984" s="0" t="s">
        <v>3822</v>
      </c>
      <c r="E984" s="0" t="s">
        <v>3823</v>
      </c>
      <c r="F984" s="4" t="s">
        <v>3824</v>
      </c>
      <c r="G984" s="0" t="n">
        <v>1</v>
      </c>
      <c r="H984" s="0" t="s">
        <v>76</v>
      </c>
      <c r="J984" s="0" t="s">
        <v>77</v>
      </c>
      <c r="K984" s="0" t="str">
        <f aca="false">"8.36 %"</f>
        <v>8.36 %</v>
      </c>
      <c r="L984" s="0" t="str">
        <f aca="false">"1.06 V"</f>
        <v>1.06 V</v>
      </c>
      <c r="O984" s="0" t="s">
        <v>3825</v>
      </c>
    </row>
    <row r="985" customFormat="false" ht="13.8" hidden="false" customHeight="false" outlineLevel="0" collapsed="false">
      <c r="A985" s="0" t="s">
        <v>3826</v>
      </c>
      <c r="B985" s="0" t="n">
        <v>1</v>
      </c>
      <c r="D985" s="0" t="s">
        <v>16</v>
      </c>
      <c r="E985" s="0" t="s">
        <v>17</v>
      </c>
      <c r="F985" s="0" t="s">
        <v>116</v>
      </c>
      <c r="G985" s="0" t="n">
        <v>1</v>
      </c>
      <c r="H985" s="0" t="s">
        <v>33</v>
      </c>
      <c r="J985" s="0" t="s">
        <v>34</v>
      </c>
      <c r="K985" s="0" t="str">
        <f aca="false">"2.665 %"</f>
        <v>2.665 %</v>
      </c>
      <c r="O985" s="0" t="s">
        <v>3827</v>
      </c>
    </row>
    <row r="986" customFormat="false" ht="13.8" hidden="false" customHeight="false" outlineLevel="0" collapsed="false">
      <c r="A986" s="0" t="s">
        <v>3828</v>
      </c>
      <c r="B986" s="0" t="n">
        <v>1</v>
      </c>
      <c r="D986" s="0" t="s">
        <v>16</v>
      </c>
      <c r="E986" s="0" t="s">
        <v>17</v>
      </c>
      <c r="F986" s="0" t="s">
        <v>116</v>
      </c>
      <c r="G986" s="0" t="n">
        <v>1</v>
      </c>
      <c r="H986" s="0" t="s">
        <v>33</v>
      </c>
      <c r="J986" s="0" t="s">
        <v>34</v>
      </c>
      <c r="K986" s="0" t="str">
        <f aca="false">"4.18 %"</f>
        <v>4.18 %</v>
      </c>
      <c r="L986" s="0" t="str">
        <f aca="false">"0.61 V"</f>
        <v>0.61 V</v>
      </c>
      <c r="M986" s="0" t="str">
        <f aca="false">"10.94 mA cm^{-2}"</f>
        <v>10.94 mA cm^{-2}</v>
      </c>
      <c r="N986" s="0" t="str">
        <f aca="false">"0.63"</f>
        <v>0.63</v>
      </c>
      <c r="O986" s="0" t="s">
        <v>3829</v>
      </c>
    </row>
    <row r="987" customFormat="false" ht="13.8" hidden="false" customHeight="false" outlineLevel="0" collapsed="false">
      <c r="A987" s="0" t="s">
        <v>3830</v>
      </c>
      <c r="B987" s="0" t="n">
        <v>1</v>
      </c>
      <c r="D987" s="0" t="s">
        <v>109</v>
      </c>
      <c r="E987" s="0" t="s">
        <v>110</v>
      </c>
      <c r="F987" s="4" t="s">
        <v>3831</v>
      </c>
      <c r="G987" s="0" t="n">
        <v>1</v>
      </c>
      <c r="H987" s="0" t="s">
        <v>27</v>
      </c>
      <c r="J987" s="4" t="s">
        <v>1338</v>
      </c>
      <c r="K987" s="3" t="n">
        <v>0.0705</v>
      </c>
      <c r="O987" s="0" t="s">
        <v>3832</v>
      </c>
    </row>
    <row r="988" customFormat="false" ht="13.8" hidden="false" customHeight="false" outlineLevel="0" collapsed="false">
      <c r="A988" s="0" t="s">
        <v>3833</v>
      </c>
      <c r="B988" s="0" t="n">
        <v>1</v>
      </c>
      <c r="D988" s="4" t="s">
        <v>1341</v>
      </c>
      <c r="E988" s="4" t="s">
        <v>1342</v>
      </c>
      <c r="F988" s="4" t="s">
        <v>1343</v>
      </c>
      <c r="G988" s="0" t="n">
        <v>1</v>
      </c>
      <c r="H988" s="0" t="s">
        <v>27</v>
      </c>
      <c r="J988" s="0" t="s">
        <v>28</v>
      </c>
      <c r="K988" s="0" t="str">
        <f aca="false">"10.11 %"</f>
        <v>10.11 %</v>
      </c>
      <c r="O988" s="0" t="s">
        <v>3834</v>
      </c>
    </row>
    <row r="989" customFormat="false" ht="13.8" hidden="false" customHeight="false" outlineLevel="0" collapsed="false">
      <c r="A989" s="0" t="s">
        <v>3833</v>
      </c>
      <c r="B989" s="0" t="n">
        <v>1</v>
      </c>
      <c r="D989" s="4" t="s">
        <v>201</v>
      </c>
      <c r="E989" s="0" t="s">
        <v>202</v>
      </c>
      <c r="F989" s="4" t="s">
        <v>422</v>
      </c>
      <c r="G989" s="0" t="n">
        <v>1</v>
      </c>
      <c r="H989" s="0" t="s">
        <v>27</v>
      </c>
      <c r="J989" s="0" t="s">
        <v>28</v>
      </c>
      <c r="K989" s="35" t="n">
        <v>0.097</v>
      </c>
      <c r="O989" s="0" t="s">
        <v>3835</v>
      </c>
    </row>
    <row r="990" customFormat="false" ht="13.8" hidden="false" customHeight="false" outlineLevel="0" collapsed="false">
      <c r="A990" s="0" t="s">
        <v>3836</v>
      </c>
      <c r="B990" s="0" t="n">
        <v>1</v>
      </c>
      <c r="D990" s="0" t="s">
        <v>16</v>
      </c>
      <c r="E990" s="0" t="s">
        <v>17</v>
      </c>
      <c r="F990" s="0" t="s">
        <v>18</v>
      </c>
      <c r="G990" s="0" t="n">
        <v>0</v>
      </c>
      <c r="H990" s="0" t="s">
        <v>3837</v>
      </c>
      <c r="I990" s="0" t="s">
        <v>3838</v>
      </c>
      <c r="J990" s="0" t="s">
        <v>3839</v>
      </c>
      <c r="K990" s="0" t="str">
        <f aca="false">"1.87 %"</f>
        <v>1.87 %</v>
      </c>
      <c r="L990" s="0" t="str">
        <f aca="false">"1.35 V"</f>
        <v>1.35 V</v>
      </c>
      <c r="O990" s="0" t="s">
        <v>3840</v>
      </c>
    </row>
    <row r="991" customFormat="false" ht="13.8" hidden="false" customHeight="false" outlineLevel="0" collapsed="false">
      <c r="A991" s="0" t="s">
        <v>3841</v>
      </c>
      <c r="B991" s="0" t="n">
        <v>1</v>
      </c>
      <c r="D991" s="0" t="s">
        <v>208</v>
      </c>
      <c r="E991" s="0" t="s">
        <v>17</v>
      </c>
      <c r="F991" s="4" t="s">
        <v>1323</v>
      </c>
      <c r="G991" s="0" t="n">
        <v>1</v>
      </c>
      <c r="H991" s="0" t="s">
        <v>117</v>
      </c>
      <c r="J991" s="4" t="s">
        <v>3842</v>
      </c>
      <c r="K991" s="3" t="n">
        <v>0.0488</v>
      </c>
      <c r="O991" s="0" t="s">
        <v>3843</v>
      </c>
    </row>
    <row r="992" customFormat="false" ht="13.8" hidden="false" customHeight="false" outlineLevel="0" collapsed="false">
      <c r="A992" s="0" t="s">
        <v>3844</v>
      </c>
      <c r="B992" s="0" t="n">
        <v>1</v>
      </c>
      <c r="D992" s="0" t="s">
        <v>3845</v>
      </c>
      <c r="E992" s="0" t="s">
        <v>3846</v>
      </c>
      <c r="F992" s="0" t="s">
        <v>3847</v>
      </c>
      <c r="G992" s="0" t="n">
        <v>0</v>
      </c>
      <c r="H992" s="4" t="s">
        <v>599</v>
      </c>
      <c r="I992" s="0" t="s">
        <v>3199</v>
      </c>
      <c r="J992" s="4" t="s">
        <v>601</v>
      </c>
      <c r="K992" s="35" t="n">
        <v>0.101</v>
      </c>
      <c r="O992" s="0" t="s">
        <v>3848</v>
      </c>
    </row>
    <row r="993" customFormat="false" ht="13.8" hidden="false" customHeight="false" outlineLevel="0" collapsed="false">
      <c r="A993" s="0" t="s">
        <v>3849</v>
      </c>
      <c r="B993" s="0" t="n">
        <v>1</v>
      </c>
      <c r="D993" s="0" t="s">
        <v>16</v>
      </c>
      <c r="E993" s="0" t="s">
        <v>17</v>
      </c>
      <c r="F993" s="0" t="s">
        <v>3850</v>
      </c>
      <c r="G993" s="0" t="n">
        <v>1</v>
      </c>
      <c r="H993" s="4" t="s">
        <v>3851</v>
      </c>
      <c r="I993" s="20" t="s">
        <v>3852</v>
      </c>
      <c r="J993" s="4" t="s">
        <v>3853</v>
      </c>
      <c r="K993" s="0" t="str">
        <f aca="false">"1.95 %"</f>
        <v>1.95 %</v>
      </c>
      <c r="O993" s="0" t="s">
        <v>3854</v>
      </c>
    </row>
    <row r="994" customFormat="false" ht="13.8" hidden="false" customHeight="false" outlineLevel="0" collapsed="false">
      <c r="A994" s="0" t="s">
        <v>3849</v>
      </c>
      <c r="B994" s="0" t="n">
        <v>1</v>
      </c>
      <c r="D994" s="0" t="s">
        <v>16</v>
      </c>
      <c r="E994" s="0" t="s">
        <v>17</v>
      </c>
      <c r="F994" s="0" t="s">
        <v>3850</v>
      </c>
      <c r="G994" s="0" t="n">
        <v>1</v>
      </c>
      <c r="H994" s="0" t="s">
        <v>3855</v>
      </c>
      <c r="I994" s="20" t="s">
        <v>3856</v>
      </c>
      <c r="J994" s="0" t="s">
        <v>3857</v>
      </c>
      <c r="K994" s="9" t="str">
        <f aca="false">"4.09"</f>
        <v>4.09</v>
      </c>
    </row>
    <row r="995" customFormat="false" ht="13.8" hidden="false" customHeight="false" outlineLevel="0" collapsed="false">
      <c r="A995" s="0" t="s">
        <v>3849</v>
      </c>
      <c r="B995" s="0" t="n">
        <v>1</v>
      </c>
      <c r="D995" s="0" t="s">
        <v>16</v>
      </c>
      <c r="E995" s="0" t="s">
        <v>17</v>
      </c>
      <c r="F995" s="0" t="s">
        <v>3850</v>
      </c>
      <c r="G995" s="0" t="n">
        <v>1</v>
      </c>
      <c r="H995" s="0" t="s">
        <v>76</v>
      </c>
      <c r="J995" s="0" t="s">
        <v>3858</v>
      </c>
      <c r="K995" s="9" t="str">
        <f aca="false">"3.8"</f>
        <v>3.8</v>
      </c>
    </row>
    <row r="996" customFormat="false" ht="13.8" hidden="false" customHeight="false" outlineLevel="0" collapsed="false">
      <c r="A996" s="0" t="s">
        <v>3849</v>
      </c>
      <c r="B996" s="0" t="n">
        <v>1</v>
      </c>
      <c r="D996" s="0" t="s">
        <v>16</v>
      </c>
      <c r="E996" s="0" t="s">
        <v>17</v>
      </c>
      <c r="F996" s="0" t="s">
        <v>3850</v>
      </c>
      <c r="G996" s="0" t="n">
        <v>1</v>
      </c>
      <c r="H996" s="0" t="s">
        <v>3859</v>
      </c>
      <c r="I996" s="20" t="s">
        <v>3860</v>
      </c>
      <c r="J996" s="0" t="s">
        <v>3861</v>
      </c>
      <c r="K996" s="9" t="str">
        <f aca="false">"1.14"</f>
        <v>1.14</v>
      </c>
    </row>
    <row r="997" customFormat="false" ht="13.8" hidden="false" customHeight="false" outlineLevel="0" collapsed="false">
      <c r="A997" s="0" t="s">
        <v>3862</v>
      </c>
      <c r="B997" s="0" t="n">
        <v>1</v>
      </c>
      <c r="D997" s="0" t="s">
        <v>1116</v>
      </c>
      <c r="E997" s="0" t="s">
        <v>1117</v>
      </c>
      <c r="F997" s="0" t="s">
        <v>1118</v>
      </c>
      <c r="G997" s="0" t="n">
        <v>0</v>
      </c>
      <c r="H997" s="0" t="s">
        <v>3863</v>
      </c>
      <c r="I997" s="0" t="s">
        <v>3864</v>
      </c>
      <c r="J997" s="0" t="s">
        <v>3865</v>
      </c>
      <c r="K997" s="0" t="str">
        <f aca="false">"10.3 %"</f>
        <v>10.3 %</v>
      </c>
      <c r="O997" s="0" t="s">
        <v>3866</v>
      </c>
    </row>
    <row r="998" customFormat="false" ht="13.8" hidden="false" customHeight="false" outlineLevel="0" collapsed="false">
      <c r="A998" s="0" t="s">
        <v>3867</v>
      </c>
      <c r="B998" s="0" t="n">
        <v>1</v>
      </c>
      <c r="D998" s="0" t="s">
        <v>3868</v>
      </c>
      <c r="E998" s="0" t="s">
        <v>3869</v>
      </c>
      <c r="F998" s="0" t="s">
        <v>3870</v>
      </c>
      <c r="G998" s="4" t="n">
        <v>0</v>
      </c>
      <c r="H998" s="4" t="s">
        <v>3871</v>
      </c>
      <c r="I998" s="0" t="s">
        <v>3872</v>
      </c>
      <c r="J998" s="4" t="s">
        <v>3873</v>
      </c>
      <c r="K998" s="0" t="str">
        <f aca="false">"9.16 %"</f>
        <v>9.16 %</v>
      </c>
      <c r="L998" s="0" t="str">
        <f aca="false">"1.01 V"</f>
        <v>1.01 V</v>
      </c>
      <c r="O998" s="0" t="s">
        <v>3874</v>
      </c>
    </row>
    <row r="999" customFormat="false" ht="13.8" hidden="false" customHeight="false" outlineLevel="0" collapsed="false">
      <c r="A999" s="0" t="s">
        <v>3867</v>
      </c>
      <c r="B999" s="0" t="n">
        <v>1</v>
      </c>
      <c r="D999" s="0" t="s">
        <v>3868</v>
      </c>
      <c r="E999" s="0" t="s">
        <v>3869</v>
      </c>
      <c r="F999" s="0" t="s">
        <v>3870</v>
      </c>
      <c r="G999" s="0" t="n">
        <v>1</v>
      </c>
      <c r="H999" s="0" t="s">
        <v>27</v>
      </c>
      <c r="J999" s="0" t="s">
        <v>1274</v>
      </c>
      <c r="K999" s="9" t="str">
        <f aca="false">"7.31"</f>
        <v>7.31</v>
      </c>
    </row>
    <row r="1000" customFormat="false" ht="13.8" hidden="false" customHeight="false" outlineLevel="0" collapsed="false">
      <c r="A1000" s="0" t="s">
        <v>3875</v>
      </c>
      <c r="B1000" s="0" t="n">
        <v>1</v>
      </c>
      <c r="D1000" s="0" t="s">
        <v>3876</v>
      </c>
      <c r="E1000" s="0" t="s">
        <v>3877</v>
      </c>
      <c r="F1000" s="4" t="s">
        <v>3878</v>
      </c>
      <c r="G1000" s="0" t="n">
        <v>0</v>
      </c>
      <c r="H1000" s="4" t="s">
        <v>3879</v>
      </c>
      <c r="I1000" s="0" t="s">
        <v>3880</v>
      </c>
      <c r="J1000" s="4" t="s">
        <v>3881</v>
      </c>
      <c r="K1000" s="0" t="str">
        <f aca="false">"8.74 %"</f>
        <v>8.74 %</v>
      </c>
      <c r="L1000" s="15" t="s">
        <v>3882</v>
      </c>
      <c r="N1000" s="0" t="str">
        <f aca="false">"0.56"</f>
        <v>0.56</v>
      </c>
      <c r="O1000" s="0" t="s">
        <v>3883</v>
      </c>
    </row>
    <row r="1001" customFormat="false" ht="13.8" hidden="false" customHeight="false" outlineLevel="0" collapsed="false">
      <c r="A1001" s="0" t="s">
        <v>3875</v>
      </c>
      <c r="B1001" s="0" t="n">
        <v>1</v>
      </c>
      <c r="D1001" s="0" t="s">
        <v>3884</v>
      </c>
      <c r="E1001" s="0" t="s">
        <v>3885</v>
      </c>
      <c r="F1001" s="4" t="s">
        <v>3886</v>
      </c>
      <c r="G1001" s="0" t="n">
        <v>0</v>
      </c>
      <c r="H1001" s="4" t="s">
        <v>3879</v>
      </c>
      <c r="I1001" s="0" t="s">
        <v>3880</v>
      </c>
      <c r="J1001" s="4" t="s">
        <v>3881</v>
      </c>
      <c r="K1001" s="28" t="n">
        <v>0.1232</v>
      </c>
      <c r="N1001" s="15" t="str">
        <f aca="false">"0.73"</f>
        <v>0.73</v>
      </c>
      <c r="O1001" s="0" t="s">
        <v>3887</v>
      </c>
    </row>
    <row r="1002" customFormat="false" ht="13.8" hidden="false" customHeight="false" outlineLevel="0" collapsed="false">
      <c r="A1002" s="0" t="s">
        <v>3888</v>
      </c>
      <c r="B1002" s="0" t="n">
        <v>1</v>
      </c>
      <c r="D1002" s="0" t="s">
        <v>3889</v>
      </c>
      <c r="E1002" s="0" t="s">
        <v>2107</v>
      </c>
      <c r="F1002" s="0" t="s">
        <v>3890</v>
      </c>
      <c r="G1002" s="0" t="n">
        <v>0</v>
      </c>
      <c r="H1002" s="4" t="s">
        <v>3891</v>
      </c>
      <c r="I1002" s="0" t="s">
        <v>3892</v>
      </c>
      <c r="J1002" s="4" t="s">
        <v>3893</v>
      </c>
      <c r="K1002" s="0" t="str">
        <f aca="false">"5.2 ± 0.1 %"</f>
        <v>5.2 ± 0.1 %</v>
      </c>
      <c r="O1002" s="0" t="s">
        <v>3894</v>
      </c>
    </row>
    <row r="1003" customFormat="false" ht="13.8" hidden="false" customHeight="false" outlineLevel="0" collapsed="false">
      <c r="A1003" s="0" t="s">
        <v>3888</v>
      </c>
      <c r="B1003" s="0" t="n">
        <v>1</v>
      </c>
      <c r="D1003" s="0" t="s">
        <v>3889</v>
      </c>
      <c r="E1003" s="0" t="s">
        <v>2107</v>
      </c>
      <c r="F1003" s="0" t="s">
        <v>3890</v>
      </c>
      <c r="G1003" s="0" t="n">
        <v>0</v>
      </c>
      <c r="H1003" s="4" t="s">
        <v>3895</v>
      </c>
      <c r="I1003" s="0" t="s">
        <v>3896</v>
      </c>
      <c r="J1003" s="4" t="s">
        <v>3897</v>
      </c>
      <c r="K1003" s="27" t="str">
        <f aca="false">"7.3 ± 0.2 %"</f>
        <v>7.3 ± 0.2 %</v>
      </c>
    </row>
    <row r="1004" customFormat="false" ht="13.8" hidden="false" customHeight="false" outlineLevel="0" collapsed="false">
      <c r="A1004" s="0" t="s">
        <v>3898</v>
      </c>
      <c r="B1004" s="0" t="n">
        <v>1</v>
      </c>
      <c r="D1004" s="0" t="s">
        <v>16</v>
      </c>
      <c r="E1004" s="0" t="s">
        <v>17</v>
      </c>
      <c r="F1004" s="0" t="s">
        <v>18</v>
      </c>
      <c r="G1004" s="0" t="n">
        <v>1</v>
      </c>
      <c r="H1004" s="4" t="s">
        <v>3899</v>
      </c>
      <c r="I1004" s="20" t="s">
        <v>3900</v>
      </c>
      <c r="J1004" s="4" t="s">
        <v>3901</v>
      </c>
      <c r="K1004" s="0" t="str">
        <f aca="false">"3.06"</f>
        <v>3.06</v>
      </c>
      <c r="O1004" s="0" t="s">
        <v>3902</v>
      </c>
    </row>
    <row r="1005" customFormat="false" ht="13.8" hidden="false" customHeight="false" outlineLevel="0" collapsed="false">
      <c r="A1005" s="0" t="s">
        <v>3898</v>
      </c>
      <c r="B1005" s="0" t="n">
        <v>1</v>
      </c>
      <c r="D1005" s="4" t="s">
        <v>16</v>
      </c>
      <c r="E1005" s="0" t="s">
        <v>17</v>
      </c>
      <c r="F1005" s="4" t="s">
        <v>18</v>
      </c>
      <c r="G1005" s="0" t="n">
        <v>1</v>
      </c>
      <c r="H1005" s="4" t="s">
        <v>117</v>
      </c>
      <c r="J1005" s="4" t="s">
        <v>118</v>
      </c>
      <c r="K1005" s="3" t="n">
        <v>0.0688</v>
      </c>
      <c r="O1005" s="0" t="s">
        <v>3903</v>
      </c>
    </row>
    <row r="1006" customFormat="false" ht="13.8" hidden="false" customHeight="false" outlineLevel="0" collapsed="false">
      <c r="A1006" s="0" t="s">
        <v>3904</v>
      </c>
      <c r="C1006" s="0" t="n">
        <v>1</v>
      </c>
      <c r="D1006" s="0" t="s">
        <v>3905</v>
      </c>
      <c r="F1006" s="0" t="s">
        <v>3906</v>
      </c>
      <c r="G1006" s="0" t="n">
        <v>0</v>
      </c>
      <c r="H1006" s="0" t="s">
        <v>3907</v>
      </c>
      <c r="J1006" s="0" t="s">
        <v>3908</v>
      </c>
      <c r="K1006" s="0" t="str">
        <f aca="false">"11 %"</f>
        <v>11 %</v>
      </c>
      <c r="O1006" s="0" t="s">
        <v>3909</v>
      </c>
    </row>
    <row r="1007" customFormat="false" ht="13.8" hidden="false" customHeight="false" outlineLevel="0" collapsed="false">
      <c r="A1007" s="0" t="s">
        <v>3910</v>
      </c>
      <c r="B1007" s="0" t="n">
        <v>1</v>
      </c>
      <c r="D1007" s="0" t="s">
        <v>403</v>
      </c>
      <c r="E1007" s="0" t="s">
        <v>404</v>
      </c>
      <c r="F1007" s="0" t="s">
        <v>405</v>
      </c>
      <c r="G1007" s="0" t="n">
        <v>1</v>
      </c>
      <c r="H1007" s="0" t="s">
        <v>27</v>
      </c>
      <c r="J1007" s="0" t="s">
        <v>28</v>
      </c>
      <c r="K1007" s="3" t="n">
        <v>0.0898</v>
      </c>
      <c r="O1007" s="0" t="s">
        <v>3911</v>
      </c>
    </row>
    <row r="1008" customFormat="false" ht="13.8" hidden="false" customHeight="false" outlineLevel="0" collapsed="false">
      <c r="A1008" s="0" t="s">
        <v>3912</v>
      </c>
      <c r="B1008" s="0" t="n">
        <v>1</v>
      </c>
      <c r="D1008" s="0" t="s">
        <v>16</v>
      </c>
      <c r="E1008" s="0" t="s">
        <v>17</v>
      </c>
      <c r="F1008" s="0" t="s">
        <v>18</v>
      </c>
      <c r="G1008" s="4" t="n">
        <v>1</v>
      </c>
      <c r="H1008" s="0" t="s">
        <v>3913</v>
      </c>
      <c r="I1008" s="20" t="s">
        <v>3914</v>
      </c>
      <c r="J1008" s="0" t="s">
        <v>3915</v>
      </c>
      <c r="K1008" s="0" t="str">
        <f aca="false">"2.80 %"</f>
        <v>2.80 %</v>
      </c>
      <c r="L1008" s="0" t="str">
        <f aca="false">"0.63 V"</f>
        <v>0.63 V</v>
      </c>
      <c r="M1008" s="0" t="str">
        <f aca="false">"8.68 mA/cm^{2}"</f>
        <v>8.68 mA/cm^{2}</v>
      </c>
      <c r="N1008" s="0" t="str">
        <f aca="false">"0.51"</f>
        <v>0.51</v>
      </c>
      <c r="O1008" s="0" t="s">
        <v>3916</v>
      </c>
    </row>
    <row r="1009" customFormat="false" ht="13.8" hidden="false" customHeight="false" outlineLevel="0" collapsed="false">
      <c r="A1009" s="0" t="s">
        <v>3917</v>
      </c>
      <c r="B1009" s="0" t="n">
        <v>1</v>
      </c>
      <c r="D1009" s="0" t="s">
        <v>1811</v>
      </c>
      <c r="E1009" s="0" t="s">
        <v>1812</v>
      </c>
      <c r="F1009" s="0" t="s">
        <v>3918</v>
      </c>
      <c r="G1009" s="0" t="n">
        <v>1</v>
      </c>
      <c r="H1009" s="0" t="s">
        <v>27</v>
      </c>
      <c r="J1009" s="0" t="s">
        <v>3919</v>
      </c>
      <c r="K1009" s="0" t="str">
        <f aca="false">"4.91 %"</f>
        <v>4.91 %</v>
      </c>
      <c r="O1009" s="0" t="s">
        <v>3920</v>
      </c>
    </row>
    <row r="1010" customFormat="false" ht="13.8" hidden="false" customHeight="false" outlineLevel="0" collapsed="false">
      <c r="A1010" s="0" t="s">
        <v>3921</v>
      </c>
      <c r="B1010" s="0" t="n">
        <v>1</v>
      </c>
      <c r="D1010" s="0" t="s">
        <v>16</v>
      </c>
      <c r="E1010" s="0" t="s">
        <v>17</v>
      </c>
      <c r="F1010" s="0" t="s">
        <v>18</v>
      </c>
      <c r="G1010" s="0" t="n">
        <v>1</v>
      </c>
      <c r="H1010" s="4" t="s">
        <v>3922</v>
      </c>
      <c r="I1010" s="20" t="s">
        <v>3923</v>
      </c>
      <c r="J1010" s="4" t="s">
        <v>40</v>
      </c>
      <c r="K1010" s="3" t="n">
        <v>0.0323</v>
      </c>
      <c r="O1010" s="0" t="s">
        <v>3924</v>
      </c>
    </row>
    <row r="1011" customFormat="false" ht="13.8" hidden="false" customHeight="false" outlineLevel="0" collapsed="false">
      <c r="A1011" s="0" t="s">
        <v>3921</v>
      </c>
      <c r="B1011" s="0" t="n">
        <v>1</v>
      </c>
      <c r="D1011" s="0" t="s">
        <v>16</v>
      </c>
      <c r="E1011" s="0" t="s">
        <v>17</v>
      </c>
      <c r="F1011" s="0" t="s">
        <v>18</v>
      </c>
      <c r="G1011" s="0" t="n">
        <v>1</v>
      </c>
      <c r="H1011" s="0" t="s">
        <v>3925</v>
      </c>
      <c r="I1011" s="20" t="s">
        <v>3926</v>
      </c>
      <c r="J1011" s="4" t="s">
        <v>40</v>
      </c>
      <c r="K1011" s="9" t="n">
        <v>0.0445</v>
      </c>
    </row>
    <row r="1012" customFormat="false" ht="13.8" hidden="false" customHeight="false" outlineLevel="0" collapsed="false">
      <c r="A1012" s="0" t="s">
        <v>3927</v>
      </c>
      <c r="B1012" s="0" t="n">
        <v>1</v>
      </c>
      <c r="D1012" s="0" t="s">
        <v>201</v>
      </c>
      <c r="E1012" s="0" t="s">
        <v>202</v>
      </c>
      <c r="F1012" s="0" t="s">
        <v>422</v>
      </c>
      <c r="G1012" s="0" t="n">
        <v>1</v>
      </c>
      <c r="H1012" s="0" t="s">
        <v>27</v>
      </c>
      <c r="J1012" s="0" t="s">
        <v>28</v>
      </c>
      <c r="K1012" s="0" t="str">
        <f aca="false">"6.58 %"</f>
        <v>6.58 %</v>
      </c>
      <c r="O1012" s="0" t="s">
        <v>3928</v>
      </c>
    </row>
    <row r="1013" customFormat="false" ht="13.8" hidden="false" customHeight="false" outlineLevel="0" collapsed="false">
      <c r="A1013" s="0" t="s">
        <v>3929</v>
      </c>
      <c r="C1013" s="0" t="n">
        <v>1</v>
      </c>
      <c r="D1013" s="0" t="s">
        <v>3930</v>
      </c>
      <c r="E1013" s="0" t="s">
        <v>110</v>
      </c>
      <c r="F1013" s="0" t="s">
        <v>3931</v>
      </c>
      <c r="G1013" s="0" t="n">
        <v>0</v>
      </c>
      <c r="H1013" s="0" t="s">
        <v>109</v>
      </c>
      <c r="I1013" s="0" t="s">
        <v>110</v>
      </c>
      <c r="J1013" s="0" t="s">
        <v>3931</v>
      </c>
      <c r="K1013" s="0" t="str">
        <f aca="false">"7.42 %"</f>
        <v>7.42 %</v>
      </c>
      <c r="O1013" s="0" t="s">
        <v>3932</v>
      </c>
    </row>
    <row r="1014" customFormat="false" ht="13.8" hidden="false" customHeight="false" outlineLevel="0" collapsed="false">
      <c r="A1014" s="0" t="s">
        <v>3933</v>
      </c>
      <c r="B1014" s="0" t="n">
        <v>1</v>
      </c>
      <c r="D1014" s="0" t="s">
        <v>124</v>
      </c>
      <c r="E1014" s="0" t="s">
        <v>3934</v>
      </c>
      <c r="F1014" s="0" t="s">
        <v>3935</v>
      </c>
      <c r="G1014" s="0" t="n">
        <v>1</v>
      </c>
      <c r="H1014" s="0" t="s">
        <v>27</v>
      </c>
      <c r="J1014" s="0" t="s">
        <v>28</v>
      </c>
      <c r="K1014" s="0" t="str">
        <f aca="false">"8.07 %"</f>
        <v>8.07 %</v>
      </c>
      <c r="O1014" s="0" t="s">
        <v>3936</v>
      </c>
    </row>
    <row r="1015" customFormat="false" ht="13.8" hidden="false" customHeight="false" outlineLevel="0" collapsed="false">
      <c r="A1015" s="0" t="s">
        <v>3937</v>
      </c>
      <c r="B1015" s="0" t="n">
        <v>1</v>
      </c>
      <c r="D1015" s="4" t="s">
        <v>85</v>
      </c>
      <c r="E1015" s="0" t="s">
        <v>86</v>
      </c>
      <c r="F1015" s="4" t="s">
        <v>87</v>
      </c>
      <c r="G1015" s="0" t="n">
        <v>0</v>
      </c>
      <c r="H1015" s="4" t="s">
        <v>3938</v>
      </c>
      <c r="I1015" s="0" t="s">
        <v>3939</v>
      </c>
      <c r="J1015" s="4" t="s">
        <v>3940</v>
      </c>
      <c r="K1015" s="0" t="str">
        <f aca="false">"1.70 %"</f>
        <v>1.70 %</v>
      </c>
      <c r="O1015" s="0" t="s">
        <v>3941</v>
      </c>
    </row>
    <row r="1016" customFormat="false" ht="13.8" hidden="false" customHeight="false" outlineLevel="0" collapsed="false">
      <c r="A1016" s="0" t="s">
        <v>3942</v>
      </c>
      <c r="C1016" s="0" t="n">
        <v>1</v>
      </c>
      <c r="D1016" s="0" t="s">
        <v>3943</v>
      </c>
      <c r="F1016" s="0" t="s">
        <v>3944</v>
      </c>
      <c r="G1016" s="0" t="n">
        <v>0</v>
      </c>
      <c r="H1016" s="0" t="s">
        <v>599</v>
      </c>
      <c r="J1016" s="0" t="s">
        <v>40</v>
      </c>
      <c r="K1016" s="0" t="str">
        <f aca="false">"14.52 %"</f>
        <v>14.52 %</v>
      </c>
      <c r="L1016" s="0" t="str">
        <f aca="false">"1.82 V"</f>
        <v>1.82 V</v>
      </c>
      <c r="M1016" s="0" t="str">
        <f aca="false">"10.68 mA cm^{-2}"</f>
        <v>10.68 mA cm^{-2}</v>
      </c>
      <c r="N1016" s="0" t="str">
        <f aca="false">"74.7 %"</f>
        <v>74.7 %</v>
      </c>
      <c r="O1016" s="0" t="s">
        <v>3945</v>
      </c>
    </row>
    <row r="1017" customFormat="false" ht="13.8" hidden="false" customHeight="false" outlineLevel="0" collapsed="false">
      <c r="A1017" s="0" t="s">
        <v>3946</v>
      </c>
      <c r="B1017" s="0" t="n">
        <v>1</v>
      </c>
      <c r="D1017" s="0" t="s">
        <v>201</v>
      </c>
      <c r="E1017" s="0" t="s">
        <v>202</v>
      </c>
      <c r="F1017" s="0" t="s">
        <v>422</v>
      </c>
      <c r="G1017" s="0" t="n">
        <v>1</v>
      </c>
      <c r="H1017" s="0" t="s">
        <v>27</v>
      </c>
      <c r="J1017" s="0" t="s">
        <v>28</v>
      </c>
      <c r="K1017" s="0" t="str">
        <f aca="false">"10.07 %"</f>
        <v>10.07 %</v>
      </c>
      <c r="O1017" s="0" t="s">
        <v>3947</v>
      </c>
    </row>
    <row r="1018" customFormat="false" ht="13.8" hidden="false" customHeight="false" outlineLevel="0" collapsed="false">
      <c r="A1018" s="0" t="s">
        <v>3948</v>
      </c>
      <c r="B1018" s="0" t="n">
        <v>1</v>
      </c>
      <c r="D1018" s="4" t="s">
        <v>3949</v>
      </c>
      <c r="E1018" s="4" t="s">
        <v>3950</v>
      </c>
      <c r="F1018" s="4" t="s">
        <v>3951</v>
      </c>
      <c r="G1018" s="0" t="n">
        <v>1</v>
      </c>
      <c r="H1018" s="0" t="s">
        <v>27</v>
      </c>
      <c r="J1018" s="0" t="s">
        <v>28</v>
      </c>
      <c r="K1018" s="0" t="str">
        <f aca="false">"7.2 %"</f>
        <v>7.2 %</v>
      </c>
      <c r="O1018" s="0" t="s">
        <v>3952</v>
      </c>
    </row>
    <row r="1019" customFormat="false" ht="13.8" hidden="false" customHeight="false" outlineLevel="0" collapsed="false">
      <c r="A1019" s="0" t="s">
        <v>3953</v>
      </c>
      <c r="B1019" s="0" t="n">
        <v>1</v>
      </c>
      <c r="D1019" s="0" t="s">
        <v>16</v>
      </c>
      <c r="E1019" s="0" t="s">
        <v>17</v>
      </c>
      <c r="F1019" s="0" t="s">
        <v>116</v>
      </c>
      <c r="G1019" s="0" t="n">
        <v>0</v>
      </c>
      <c r="H1019" s="4" t="s">
        <v>224</v>
      </c>
      <c r="I1019" s="0" t="s">
        <v>225</v>
      </c>
      <c r="J1019" s="4" t="s">
        <v>1698</v>
      </c>
      <c r="K1019" s="0" t="str">
        <f aca="false">"1.4 %"</f>
        <v>1.4 %</v>
      </c>
      <c r="O1019" s="0" t="s">
        <v>3954</v>
      </c>
    </row>
    <row r="1020" customFormat="false" ht="13.8" hidden="false" customHeight="false" outlineLevel="0" collapsed="false">
      <c r="A1020" s="0" t="s">
        <v>3955</v>
      </c>
      <c r="B1020" s="0" t="n">
        <v>1</v>
      </c>
      <c r="D1020" s="0" t="s">
        <v>3956</v>
      </c>
      <c r="E1020" s="0" t="s">
        <v>3957</v>
      </c>
      <c r="F1020" s="0" t="s">
        <v>3958</v>
      </c>
      <c r="G1020" s="0" t="n">
        <v>0</v>
      </c>
      <c r="H1020" s="4" t="s">
        <v>163</v>
      </c>
      <c r="I1020" s="0" t="s">
        <v>164</v>
      </c>
      <c r="J1020" s="4" t="s">
        <v>165</v>
      </c>
      <c r="K1020" s="0" t="str">
        <f aca="false">"9.8 %"</f>
        <v>9.8 %</v>
      </c>
      <c r="O1020" s="0" t="s">
        <v>3959</v>
      </c>
    </row>
    <row r="1021" customFormat="false" ht="13.8" hidden="false" customHeight="false" outlineLevel="0" collapsed="false">
      <c r="A1021" s="0" t="s">
        <v>3960</v>
      </c>
      <c r="B1021" s="0" t="n">
        <v>1</v>
      </c>
      <c r="D1021" s="0" t="s">
        <v>16</v>
      </c>
      <c r="E1021" s="0" t="s">
        <v>17</v>
      </c>
      <c r="F1021" s="0" t="s">
        <v>116</v>
      </c>
      <c r="G1021" s="0" t="n">
        <v>1</v>
      </c>
      <c r="H1021" s="4" t="s">
        <v>117</v>
      </c>
      <c r="J1021" s="4" t="s">
        <v>2655</v>
      </c>
      <c r="K1021" s="0" t="str">
        <f aca="false">"5.89 %"</f>
        <v>5.89 %</v>
      </c>
      <c r="O1021" s="0" t="s">
        <v>3961</v>
      </c>
    </row>
    <row r="1022" customFormat="false" ht="13.8" hidden="false" customHeight="false" outlineLevel="0" collapsed="false">
      <c r="A1022" s="0" t="s">
        <v>3960</v>
      </c>
      <c r="B1022" s="0" t="n">
        <v>1</v>
      </c>
      <c r="D1022" s="0" t="s">
        <v>16</v>
      </c>
      <c r="E1022" s="0" t="s">
        <v>17</v>
      </c>
      <c r="F1022" s="0" t="s">
        <v>116</v>
      </c>
      <c r="G1022" s="0" t="n">
        <v>1</v>
      </c>
      <c r="H1022" s="27" t="s">
        <v>76</v>
      </c>
      <c r="J1022" s="27" t="s">
        <v>3962</v>
      </c>
      <c r="K1022" s="9" t="n">
        <v>0.0396</v>
      </c>
    </row>
    <row r="1023" customFormat="false" ht="13.8" hidden="false" customHeight="false" outlineLevel="0" collapsed="false">
      <c r="A1023" s="0" t="s">
        <v>3963</v>
      </c>
      <c r="B1023" s="0" t="n">
        <v>1</v>
      </c>
      <c r="D1023" s="0" t="s">
        <v>3964</v>
      </c>
      <c r="E1023" s="0" t="s">
        <v>3965</v>
      </c>
      <c r="F1023" s="0" t="s">
        <v>3966</v>
      </c>
      <c r="G1023" s="0" t="n">
        <v>1</v>
      </c>
      <c r="H1023" s="4" t="s">
        <v>3967</v>
      </c>
      <c r="J1023" s="4" t="s">
        <v>40</v>
      </c>
      <c r="K1023" s="0" t="str">
        <f aca="false">"&gt; 9 %"</f>
        <v>&gt; 9 %</v>
      </c>
      <c r="O1023" s="0" t="s">
        <v>3968</v>
      </c>
    </row>
    <row r="1024" customFormat="false" ht="13.8" hidden="false" customHeight="false" outlineLevel="0" collapsed="false">
      <c r="A1024" s="0" t="s">
        <v>3969</v>
      </c>
      <c r="B1024" s="0" t="n">
        <v>1</v>
      </c>
      <c r="D1024" s="0" t="s">
        <v>85</v>
      </c>
      <c r="E1024" s="0" t="s">
        <v>86</v>
      </c>
      <c r="F1024" s="4" t="s">
        <v>87</v>
      </c>
      <c r="G1024" s="0" t="n">
        <v>1</v>
      </c>
      <c r="H1024" s="0" t="s">
        <v>27</v>
      </c>
      <c r="J1024" s="0" t="s">
        <v>28</v>
      </c>
      <c r="K1024" s="0" t="str">
        <f aca="false">"7.41 %"</f>
        <v>7.41 %</v>
      </c>
      <c r="M1024" s="15" t="str">
        <f aca="false">"13.73 mA cm^{-2}"</f>
        <v>13.73 mA cm^{-2}</v>
      </c>
      <c r="O1024" s="0" t="s">
        <v>3970</v>
      </c>
    </row>
    <row r="1025" customFormat="false" ht="13.8" hidden="false" customHeight="false" outlineLevel="0" collapsed="false">
      <c r="A1025" s="0" t="s">
        <v>3971</v>
      </c>
      <c r="B1025" s="0" t="n">
        <v>1</v>
      </c>
      <c r="D1025" s="0" t="s">
        <v>201</v>
      </c>
      <c r="E1025" s="0" t="s">
        <v>202</v>
      </c>
      <c r="F1025" s="0" t="s">
        <v>422</v>
      </c>
      <c r="G1025" s="0" t="n">
        <v>0</v>
      </c>
      <c r="H1025" s="0" t="s">
        <v>3972</v>
      </c>
      <c r="I1025" s="0" t="s">
        <v>3973</v>
      </c>
      <c r="J1025" s="0" t="s">
        <v>3974</v>
      </c>
      <c r="K1025" s="0" t="str">
        <f aca="false">"8.48 %"</f>
        <v>8.48 %</v>
      </c>
      <c r="M1025" s="0" t="str">
        <f aca="false">"17.07 mA cm^{-2}"</f>
        <v>17.07 mA cm^{-2}</v>
      </c>
      <c r="N1025" s="0" t="str">
        <f aca="false">"0.67"</f>
        <v>0.67</v>
      </c>
      <c r="O1025" s="0" t="s">
        <v>3975</v>
      </c>
    </row>
    <row r="1026" customFormat="false" ht="13.8" hidden="false" customHeight="false" outlineLevel="0" collapsed="false">
      <c r="A1026" s="0" t="s">
        <v>3976</v>
      </c>
      <c r="B1026" s="0" t="n">
        <v>1</v>
      </c>
      <c r="D1026" s="0" t="s">
        <v>3977</v>
      </c>
      <c r="E1026" s="0" t="s">
        <v>3978</v>
      </c>
      <c r="F1026" s="4" t="s">
        <v>3979</v>
      </c>
      <c r="G1026" s="0" t="n">
        <v>1</v>
      </c>
      <c r="H1026" s="4" t="s">
        <v>195</v>
      </c>
      <c r="J1026" s="4" t="s">
        <v>28</v>
      </c>
      <c r="K1026" s="0" t="str">
        <f aca="false">"6.08 %"</f>
        <v>6.08 %</v>
      </c>
      <c r="O1026" s="0" t="s">
        <v>3980</v>
      </c>
    </row>
    <row r="1027" customFormat="false" ht="13.8" hidden="false" customHeight="false" outlineLevel="0" collapsed="false">
      <c r="A1027" s="0" t="s">
        <v>3976</v>
      </c>
      <c r="B1027" s="0" t="n">
        <v>1</v>
      </c>
      <c r="D1027" s="0" t="s">
        <v>3981</v>
      </c>
      <c r="E1027" s="0" t="s">
        <v>3982</v>
      </c>
      <c r="F1027" s="4" t="s">
        <v>3983</v>
      </c>
      <c r="G1027" s="0" t="n">
        <v>1</v>
      </c>
      <c r="H1027" s="4" t="s">
        <v>195</v>
      </c>
      <c r="J1027" s="4" t="s">
        <v>28</v>
      </c>
    </row>
    <row r="1028" customFormat="false" ht="13.8" hidden="false" customHeight="false" outlineLevel="0" collapsed="false">
      <c r="A1028" s="0" t="s">
        <v>3984</v>
      </c>
      <c r="B1028" s="0" t="n">
        <v>1</v>
      </c>
      <c r="D1028" s="0" t="s">
        <v>16</v>
      </c>
      <c r="E1028" s="0" t="s">
        <v>17</v>
      </c>
      <c r="F1028" s="0" t="s">
        <v>116</v>
      </c>
      <c r="G1028" s="0" t="n">
        <v>1</v>
      </c>
      <c r="H1028" s="0" t="s">
        <v>33</v>
      </c>
      <c r="J1028" s="0" t="s">
        <v>34</v>
      </c>
      <c r="K1028" s="0" t="str">
        <f aca="false">"4.0 %"</f>
        <v>4.0 %</v>
      </c>
      <c r="O1028" s="0" t="s">
        <v>3985</v>
      </c>
    </row>
    <row r="1029" customFormat="false" ht="13.8" hidden="false" customHeight="false" outlineLevel="0" collapsed="false">
      <c r="A1029" s="0" t="s">
        <v>3986</v>
      </c>
      <c r="B1029" s="0" t="n">
        <v>1</v>
      </c>
      <c r="D1029" s="0" t="s">
        <v>3987</v>
      </c>
      <c r="E1029" s="0" t="s">
        <v>3988</v>
      </c>
      <c r="F1029" s="0" t="s">
        <v>3989</v>
      </c>
      <c r="G1029" s="0" t="n">
        <v>1</v>
      </c>
      <c r="H1029" s="0" t="s">
        <v>27</v>
      </c>
      <c r="J1029" s="0" t="s">
        <v>28</v>
      </c>
      <c r="K1029" s="0" t="str">
        <f aca="false">"1.28 %"</f>
        <v>1.28 %</v>
      </c>
      <c r="L1029" s="15" t="str">
        <f aca="false">"0.81 V"</f>
        <v>0.81 V</v>
      </c>
      <c r="M1029" s="0" t="str">
        <f aca="false">"4.93 mA/cm^{2}"</f>
        <v>4.93 mA/cm^{2}</v>
      </c>
      <c r="N1029" s="15" t="str">
        <f aca="false">"32.1 %"</f>
        <v>32.1 %</v>
      </c>
      <c r="O1029" s="0" t="s">
        <v>3990</v>
      </c>
    </row>
    <row r="1030" customFormat="false" ht="13.8" hidden="false" customHeight="false" outlineLevel="0" collapsed="false">
      <c r="A1030" s="0" t="s">
        <v>3991</v>
      </c>
      <c r="B1030" s="0" t="n">
        <v>1</v>
      </c>
      <c r="D1030" s="0" t="s">
        <v>3992</v>
      </c>
      <c r="E1030" s="0" t="s">
        <v>3993</v>
      </c>
      <c r="F1030" s="0" t="s">
        <v>3994</v>
      </c>
      <c r="G1030" s="0" t="n">
        <v>1</v>
      </c>
      <c r="H1030" s="0" t="s">
        <v>27</v>
      </c>
      <c r="J1030" s="0" t="s">
        <v>28</v>
      </c>
      <c r="K1030" s="0" t="str">
        <f aca="false">"7.4 %"</f>
        <v>7.4 %</v>
      </c>
      <c r="O1030" s="0" t="s">
        <v>3995</v>
      </c>
    </row>
    <row r="1031" customFormat="false" ht="13.8" hidden="false" customHeight="false" outlineLevel="0" collapsed="false">
      <c r="A1031" s="0" t="s">
        <v>3996</v>
      </c>
      <c r="B1031" s="0" t="n">
        <v>1</v>
      </c>
      <c r="D1031" s="0" t="s">
        <v>253</v>
      </c>
      <c r="E1031" s="0" t="s">
        <v>3997</v>
      </c>
      <c r="F1031" s="0" t="s">
        <v>258</v>
      </c>
      <c r="G1031" s="0" t="n">
        <v>1</v>
      </c>
      <c r="H1031" s="0" t="s">
        <v>27</v>
      </c>
      <c r="J1031" s="0" t="s">
        <v>28</v>
      </c>
      <c r="K1031" s="15" t="str">
        <f aca="false">"1.93 %"</f>
        <v>1.93 %</v>
      </c>
      <c r="O1031" s="0" t="s">
        <v>3998</v>
      </c>
    </row>
    <row r="1032" customFormat="false" ht="13.8" hidden="false" customHeight="false" outlineLevel="0" collapsed="false">
      <c r="A1032" s="0" t="s">
        <v>3999</v>
      </c>
      <c r="B1032" s="0" t="n">
        <v>1</v>
      </c>
      <c r="D1032" s="0" t="s">
        <v>4000</v>
      </c>
      <c r="E1032" s="0" t="s">
        <v>288</v>
      </c>
      <c r="F1032" s="0" t="s">
        <v>4001</v>
      </c>
      <c r="G1032" s="0" t="n">
        <v>1</v>
      </c>
      <c r="H1032" s="0" t="s">
        <v>27</v>
      </c>
      <c r="J1032" s="0" t="s">
        <v>1274</v>
      </c>
      <c r="K1032" s="0" t="str">
        <f aca="false">"7.50 %"</f>
        <v>7.50 %</v>
      </c>
      <c r="O1032" s="0" t="s">
        <v>4002</v>
      </c>
    </row>
    <row r="1033" customFormat="false" ht="13.8" hidden="false" customHeight="false" outlineLevel="0" collapsed="false">
      <c r="A1033" s="0" t="s">
        <v>4003</v>
      </c>
      <c r="B1033" s="0" t="n">
        <v>1</v>
      </c>
      <c r="D1033" s="0" t="s">
        <v>4004</v>
      </c>
      <c r="E1033" s="0" t="s">
        <v>4005</v>
      </c>
      <c r="F1033" s="0" t="s">
        <v>4006</v>
      </c>
      <c r="G1033" s="0" t="n">
        <v>1</v>
      </c>
      <c r="H1033" s="0" t="s">
        <v>33</v>
      </c>
      <c r="J1033" s="0" t="s">
        <v>34</v>
      </c>
      <c r="K1033" s="0" t="str">
        <f aca="false">"1.20 %"</f>
        <v>1.20 %</v>
      </c>
      <c r="O1033" s="0" t="s">
        <v>4007</v>
      </c>
    </row>
    <row r="1034" customFormat="false" ht="13.8" hidden="false" customHeight="false" outlineLevel="0" collapsed="false">
      <c r="A1034" s="0" t="s">
        <v>4003</v>
      </c>
      <c r="B1034" s="0" t="n">
        <v>1</v>
      </c>
      <c r="D1034" s="0" t="s">
        <v>4004</v>
      </c>
      <c r="E1034" s="0" t="s">
        <v>4005</v>
      </c>
      <c r="F1034" s="0" t="s">
        <v>4006</v>
      </c>
      <c r="G1034" s="0" t="n">
        <v>1</v>
      </c>
      <c r="H1034" s="4" t="s">
        <v>27</v>
      </c>
      <c r="J1034" s="4" t="s">
        <v>28</v>
      </c>
      <c r="K1034" s="0" t="str">
        <f aca="false">"1.84 %"</f>
        <v>1.84 %</v>
      </c>
      <c r="O1034" s="0" t="s">
        <v>4008</v>
      </c>
    </row>
    <row r="1035" customFormat="false" ht="13.8" hidden="false" customHeight="false" outlineLevel="0" collapsed="false">
      <c r="A1035" s="0" t="s">
        <v>4009</v>
      </c>
      <c r="B1035" s="0" t="n">
        <v>1</v>
      </c>
      <c r="D1035" s="0" t="s">
        <v>109</v>
      </c>
      <c r="E1035" s="0" t="s">
        <v>110</v>
      </c>
      <c r="F1035" s="0" t="s">
        <v>4010</v>
      </c>
      <c r="G1035" s="0" t="n">
        <v>1</v>
      </c>
      <c r="H1035" s="0" t="s">
        <v>27</v>
      </c>
      <c r="J1035" s="0" t="s">
        <v>28</v>
      </c>
      <c r="K1035" s="0" t="str">
        <f aca="false">"5.86 %"</f>
        <v>5.86 %</v>
      </c>
      <c r="O1035" s="0" t="s">
        <v>4011</v>
      </c>
    </row>
    <row r="1036" customFormat="false" ht="13.8" hidden="false" customHeight="false" outlineLevel="0" collapsed="false">
      <c r="A1036" s="0" t="s">
        <v>4012</v>
      </c>
      <c r="B1036" s="0" t="n">
        <v>1</v>
      </c>
      <c r="D1036" s="0" t="s">
        <v>16</v>
      </c>
      <c r="E1036" s="0" t="s">
        <v>17</v>
      </c>
      <c r="F1036" s="0" t="s">
        <v>116</v>
      </c>
      <c r="G1036" s="0" t="n">
        <v>1</v>
      </c>
      <c r="H1036" s="0" t="s">
        <v>33</v>
      </c>
      <c r="J1036" s="0" t="s">
        <v>34</v>
      </c>
      <c r="K1036" s="0" t="str">
        <f aca="false">"2.0 %"</f>
        <v>2.0 %</v>
      </c>
      <c r="O1036" s="0" t="s">
        <v>4013</v>
      </c>
    </row>
    <row r="1037" customFormat="false" ht="13.8" hidden="false" customHeight="false" outlineLevel="0" collapsed="false">
      <c r="A1037" s="0" t="s">
        <v>4014</v>
      </c>
      <c r="B1037" s="0" t="n">
        <v>1</v>
      </c>
      <c r="D1037" s="4" t="s">
        <v>201</v>
      </c>
      <c r="E1037" s="0" t="s">
        <v>202</v>
      </c>
      <c r="F1037" s="4" t="s">
        <v>422</v>
      </c>
      <c r="G1037" s="0" t="n">
        <v>0</v>
      </c>
      <c r="H1037" s="4" t="s">
        <v>4015</v>
      </c>
      <c r="I1037" s="0" t="s">
        <v>4016</v>
      </c>
      <c r="J1037" s="4" t="s">
        <v>4017</v>
      </c>
      <c r="K1037" s="0" t="str">
        <f aca="false">"4.35 %"</f>
        <v>4.35 %</v>
      </c>
      <c r="M1037" s="0" t="str">
        <f aca="false">"13.26 mA cm^{-2}"</f>
        <v>13.26 mA cm^{-2}</v>
      </c>
      <c r="O1037" s="0" t="s">
        <v>4018</v>
      </c>
    </row>
    <row r="1038" customFormat="false" ht="13.8" hidden="false" customHeight="false" outlineLevel="0" collapsed="false">
      <c r="A1038" s="0" t="s">
        <v>4019</v>
      </c>
      <c r="B1038" s="0" t="n">
        <v>1</v>
      </c>
      <c r="D1038" s="0" t="s">
        <v>85</v>
      </c>
      <c r="E1038" s="0" t="s">
        <v>86</v>
      </c>
      <c r="F1038" s="0" t="s">
        <v>87</v>
      </c>
      <c r="G1038" s="0" t="n">
        <v>1</v>
      </c>
      <c r="H1038" s="0" t="s">
        <v>27</v>
      </c>
      <c r="J1038" s="0" t="s">
        <v>28</v>
      </c>
      <c r="K1038" s="0" t="str">
        <f aca="false">"10.1 %"</f>
        <v>10.1 %</v>
      </c>
      <c r="O1038" s="0" t="s">
        <v>4020</v>
      </c>
    </row>
    <row r="1039" customFormat="false" ht="13.8" hidden="false" customHeight="false" outlineLevel="0" collapsed="false">
      <c r="A1039" s="0" t="s">
        <v>4021</v>
      </c>
      <c r="B1039" s="0" t="n">
        <v>1</v>
      </c>
      <c r="D1039" s="0" t="s">
        <v>599</v>
      </c>
      <c r="E1039" s="0" t="s">
        <v>600</v>
      </c>
      <c r="F1039" s="0" t="s">
        <v>4022</v>
      </c>
      <c r="G1039" s="0" t="n">
        <v>0</v>
      </c>
      <c r="H1039" s="4" t="s">
        <v>4023</v>
      </c>
      <c r="I1039" s="0" t="s">
        <v>4024</v>
      </c>
      <c r="J1039" s="0" t="s">
        <v>4025</v>
      </c>
      <c r="K1039" s="0" t="str">
        <f aca="false">"7.66 %"</f>
        <v>7.66 %</v>
      </c>
      <c r="O1039" s="0" t="s">
        <v>4026</v>
      </c>
    </row>
    <row r="1040" customFormat="false" ht="13.8" hidden="false" customHeight="false" outlineLevel="0" collapsed="false">
      <c r="A1040" s="0" t="s">
        <v>4027</v>
      </c>
      <c r="B1040" s="0" t="n">
        <v>1</v>
      </c>
      <c r="D1040" s="0" t="s">
        <v>124</v>
      </c>
      <c r="E1040" s="0" t="s">
        <v>4028</v>
      </c>
      <c r="F1040" s="0" t="s">
        <v>427</v>
      </c>
      <c r="G1040" s="0" t="n">
        <v>1</v>
      </c>
      <c r="H1040" s="0" t="s">
        <v>27</v>
      </c>
      <c r="J1040" s="0" t="s">
        <v>28</v>
      </c>
      <c r="K1040" s="0" t="str">
        <f aca="false">"3.50 %"</f>
        <v>3.50 %</v>
      </c>
      <c r="L1040" s="15" t="s">
        <v>4029</v>
      </c>
      <c r="M1040" s="15" t="s">
        <v>4030</v>
      </c>
      <c r="N1040" s="0" t="str">
        <f aca="false">"0.53"</f>
        <v>0.53</v>
      </c>
      <c r="O1040" s="0" t="s">
        <v>4031</v>
      </c>
    </row>
    <row r="1041" customFormat="false" ht="13.8" hidden="false" customHeight="false" outlineLevel="0" collapsed="false">
      <c r="A1041" s="0" t="s">
        <v>4027</v>
      </c>
      <c r="B1041" s="0" t="n">
        <v>1</v>
      </c>
      <c r="D1041" s="0" t="s">
        <v>128</v>
      </c>
      <c r="E1041" s="0" t="s">
        <v>4032</v>
      </c>
      <c r="F1041" s="0" t="s">
        <v>130</v>
      </c>
      <c r="G1041" s="0" t="n">
        <v>1</v>
      </c>
      <c r="H1041" s="0" t="s">
        <v>27</v>
      </c>
      <c r="J1041" s="0" t="s">
        <v>28</v>
      </c>
      <c r="K1041" s="28" t="n">
        <v>0.0315</v>
      </c>
      <c r="L1041" s="15" t="s">
        <v>2443</v>
      </c>
      <c r="M1041" s="0" t="str">
        <f aca="false">"8.59 mA cm^{-2}"</f>
        <v>8.59 mA cm^{-2}</v>
      </c>
      <c r="N1041" s="0" t="str">
        <f aca="false">"0.49"</f>
        <v>0.49</v>
      </c>
      <c r="O1041" s="0" t="s">
        <v>4033</v>
      </c>
    </row>
    <row r="1042" customFormat="false" ht="13.8" hidden="false" customHeight="false" outlineLevel="0" collapsed="false">
      <c r="A1042" s="0" t="s">
        <v>4034</v>
      </c>
      <c r="B1042" s="0" t="n">
        <v>1</v>
      </c>
      <c r="D1042" s="4" t="s">
        <v>4035</v>
      </c>
      <c r="E1042" s="4" t="s">
        <v>4036</v>
      </c>
      <c r="F1042" s="0" t="s">
        <v>258</v>
      </c>
      <c r="G1042" s="0" t="n">
        <v>1</v>
      </c>
      <c r="H1042" s="0" t="s">
        <v>27</v>
      </c>
      <c r="J1042" s="0" t="s">
        <v>28</v>
      </c>
      <c r="K1042" s="0" t="str">
        <f aca="false">"1.33 %"</f>
        <v>1.33 %</v>
      </c>
      <c r="L1042" s="0" t="str">
        <f aca="false">"0.68 V"</f>
        <v>0.68 V</v>
      </c>
      <c r="M1042" s="0" t="str">
        <f aca="false">"4.95 mA/cm^{2}"</f>
        <v>4.95 mA/cm^{2}</v>
      </c>
      <c r="N1042" s="0" t="str">
        <f aca="false">"40 %"</f>
        <v>40 %</v>
      </c>
      <c r="O1042" s="0" t="s">
        <v>4037</v>
      </c>
    </row>
    <row r="1043" customFormat="false" ht="13.8" hidden="false" customHeight="false" outlineLevel="0" collapsed="false">
      <c r="A1043" s="0" t="s">
        <v>4038</v>
      </c>
      <c r="B1043" s="0" t="n">
        <v>1</v>
      </c>
      <c r="D1043" s="4" t="s">
        <v>4039</v>
      </c>
      <c r="E1043" s="0" t="s">
        <v>4040</v>
      </c>
      <c r="F1043" s="4" t="s">
        <v>4041</v>
      </c>
      <c r="G1043" s="0" t="n">
        <v>1</v>
      </c>
      <c r="H1043" s="0" t="s">
        <v>27</v>
      </c>
      <c r="J1043" s="15" t="s">
        <v>28</v>
      </c>
      <c r="K1043" s="0" t="str">
        <f aca="false">"2.33 %"</f>
        <v>2.33 %</v>
      </c>
      <c r="L1043" s="0" t="str">
        <f aca="false">"0.81 V"</f>
        <v>0.81 V</v>
      </c>
      <c r="M1043" s="0" t="str">
        <f aca="false">"6.97 mA/cm^{2}"</f>
        <v>6.97 mA/cm^{2}</v>
      </c>
      <c r="N1043" s="0" t="str">
        <f aca="false">"0.41"</f>
        <v>0.41</v>
      </c>
      <c r="O1043" s="0" t="s">
        <v>4042</v>
      </c>
    </row>
    <row r="1044" customFormat="false" ht="13.8" hidden="false" customHeight="false" outlineLevel="0" collapsed="false">
      <c r="A1044" s="0" t="s">
        <v>4043</v>
      </c>
      <c r="B1044" s="0" t="n">
        <v>1</v>
      </c>
      <c r="D1044" s="4" t="s">
        <v>4044</v>
      </c>
      <c r="E1044" s="0" t="s">
        <v>4045</v>
      </c>
      <c r="F1044" s="4" t="s">
        <v>130</v>
      </c>
      <c r="G1044" s="0" t="n">
        <v>1</v>
      </c>
      <c r="H1044" s="0" t="s">
        <v>27</v>
      </c>
      <c r="J1044" s="0" t="s">
        <v>28</v>
      </c>
      <c r="K1044" s="0" t="str">
        <f aca="false">"4.69 %"</f>
        <v>4.69 %</v>
      </c>
      <c r="O1044" s="0" t="s">
        <v>4046</v>
      </c>
    </row>
    <row r="1045" customFormat="false" ht="13.8" hidden="false" customHeight="false" outlineLevel="0" collapsed="false">
      <c r="A1045" s="0" t="s">
        <v>4047</v>
      </c>
      <c r="B1045" s="0" t="n">
        <v>1</v>
      </c>
      <c r="D1045" s="0" t="s">
        <v>201</v>
      </c>
      <c r="E1045" s="0" t="s">
        <v>202</v>
      </c>
      <c r="F1045" s="0" t="s">
        <v>422</v>
      </c>
      <c r="G1045" s="0" t="n">
        <v>1</v>
      </c>
      <c r="H1045" s="0" t="s">
        <v>27</v>
      </c>
      <c r="J1045" s="0" t="s">
        <v>28</v>
      </c>
      <c r="K1045" s="0" t="str">
        <f aca="false">"10.8 %"</f>
        <v>10.8 %</v>
      </c>
      <c r="L1045" s="0" t="str">
        <f aca="false">"0.82 V"</f>
        <v>0.82 V</v>
      </c>
      <c r="M1045" s="0" t="str">
        <f aca="false">"19.1 mA cm^{-2}"</f>
        <v>19.1 mA cm^{-2}</v>
      </c>
      <c r="N1045" s="0" t="str">
        <f aca="false">"69.1 %"</f>
        <v>69.1 %</v>
      </c>
      <c r="O1045" s="0" t="s">
        <v>4048</v>
      </c>
    </row>
    <row r="1046" customFormat="false" ht="13.8" hidden="false" customHeight="false" outlineLevel="0" collapsed="false">
      <c r="A1046" s="0" t="s">
        <v>4049</v>
      </c>
      <c r="B1046" s="0" t="n">
        <v>1</v>
      </c>
      <c r="D1046" s="4" t="s">
        <v>208</v>
      </c>
      <c r="E1046" s="4" t="s">
        <v>17</v>
      </c>
      <c r="F1046" s="4" t="s">
        <v>209</v>
      </c>
      <c r="G1046" s="0" t="n">
        <v>1</v>
      </c>
      <c r="H1046" s="4" t="s">
        <v>4050</v>
      </c>
      <c r="J1046" s="4" t="s">
        <v>4051</v>
      </c>
      <c r="K1046" s="0" t="str">
        <f aca="false">"1.5 %"</f>
        <v>1.5 %</v>
      </c>
      <c r="O1046" s="0" t="s">
        <v>4052</v>
      </c>
    </row>
    <row r="1047" customFormat="false" ht="13.8" hidden="false" customHeight="false" outlineLevel="0" collapsed="false">
      <c r="A1047" s="0" t="s">
        <v>4053</v>
      </c>
      <c r="B1047" s="0" t="n">
        <v>1</v>
      </c>
      <c r="D1047" s="0" t="s">
        <v>4054</v>
      </c>
      <c r="E1047" s="30" t="s">
        <v>4055</v>
      </c>
      <c r="F1047" s="4" t="s">
        <v>4056</v>
      </c>
      <c r="G1047" s="0" t="n">
        <v>1</v>
      </c>
      <c r="H1047" s="0" t="s">
        <v>66</v>
      </c>
      <c r="J1047" s="0" t="s">
        <v>67</v>
      </c>
      <c r="K1047" s="0" t="str">
        <f aca="false">"1.35 %"</f>
        <v>1.35 %</v>
      </c>
      <c r="L1047" s="0" t="str">
        <f aca="false">"0.56 V"</f>
        <v>0.56 V</v>
      </c>
      <c r="M1047" s="0" t="str">
        <f aca="false">"7.41 mA/cm^{2}"</f>
        <v>7.41 mA/cm^{2}</v>
      </c>
      <c r="N1047" s="0" t="str">
        <f aca="false">"33 %"</f>
        <v>33 %</v>
      </c>
      <c r="O1047" s="0" t="s">
        <v>4057</v>
      </c>
    </row>
    <row r="1048" customFormat="false" ht="13.8" hidden="false" customHeight="false" outlineLevel="0" collapsed="false">
      <c r="A1048" s="0" t="s">
        <v>4058</v>
      </c>
      <c r="B1048" s="0" t="n">
        <v>1</v>
      </c>
      <c r="D1048" s="0" t="s">
        <v>4059</v>
      </c>
      <c r="E1048" s="0" t="s">
        <v>3718</v>
      </c>
      <c r="F1048" s="0" t="s">
        <v>4060</v>
      </c>
      <c r="G1048" s="0" t="n">
        <v>1</v>
      </c>
      <c r="H1048" s="0" t="s">
        <v>27</v>
      </c>
      <c r="J1048" s="0" t="s">
        <v>28</v>
      </c>
      <c r="K1048" s="0" t="str">
        <f aca="false">"8.1 %"</f>
        <v>8.1 %</v>
      </c>
      <c r="O1048" s="0" t="s">
        <v>4061</v>
      </c>
    </row>
    <row r="1049" customFormat="false" ht="13.8" hidden="false" customHeight="false" outlineLevel="0" collapsed="false">
      <c r="A1049" s="0" t="s">
        <v>4062</v>
      </c>
      <c r="B1049" s="0" t="n">
        <v>1</v>
      </c>
      <c r="D1049" s="4" t="s">
        <v>4044</v>
      </c>
      <c r="E1049" s="0" t="s">
        <v>4063</v>
      </c>
      <c r="F1049" s="4" t="s">
        <v>130</v>
      </c>
      <c r="G1049" s="0" t="n">
        <v>1</v>
      </c>
      <c r="H1049" s="0" t="s">
        <v>27</v>
      </c>
      <c r="J1049" s="0" t="s">
        <v>28</v>
      </c>
      <c r="K1049" s="28" t="n">
        <v>0.0424</v>
      </c>
      <c r="O1049" s="0" t="s">
        <v>4064</v>
      </c>
    </row>
    <row r="1050" customFormat="false" ht="13.8" hidden="false" customHeight="false" outlineLevel="0" collapsed="false">
      <c r="A1050" s="0" t="s">
        <v>4065</v>
      </c>
      <c r="B1050" s="0" t="n">
        <v>1</v>
      </c>
      <c r="D1050" s="0" t="s">
        <v>4066</v>
      </c>
      <c r="E1050" s="0" t="s">
        <v>4067</v>
      </c>
      <c r="F1050" s="0" t="s">
        <v>4068</v>
      </c>
      <c r="G1050" s="0" t="n">
        <v>1</v>
      </c>
      <c r="H1050" s="0" t="s">
        <v>33</v>
      </c>
      <c r="J1050" s="15" t="s">
        <v>34</v>
      </c>
      <c r="K1050" s="0" t="str">
        <f aca="false">"7.1 %"</f>
        <v>7.1 %</v>
      </c>
      <c r="O1050" s="0" t="s">
        <v>4069</v>
      </c>
    </row>
    <row r="1051" customFormat="false" ht="13.8" hidden="false" customHeight="false" outlineLevel="0" collapsed="false">
      <c r="A1051" s="0" t="s">
        <v>4065</v>
      </c>
      <c r="B1051" s="0" t="n">
        <v>1</v>
      </c>
      <c r="D1051" s="0" t="s">
        <v>2311</v>
      </c>
      <c r="E1051" s="0" t="s">
        <v>4070</v>
      </c>
      <c r="F1051" s="27" t="s">
        <v>2382</v>
      </c>
      <c r="G1051" s="0" t="n">
        <v>1</v>
      </c>
      <c r="H1051" s="0" t="s">
        <v>33</v>
      </c>
      <c r="J1051" s="0" t="s">
        <v>34</v>
      </c>
      <c r="K1051" s="9" t="n">
        <v>0.051</v>
      </c>
    </row>
    <row r="1052" customFormat="false" ht="13.5" hidden="false" customHeight="true" outlineLevel="0" collapsed="false">
      <c r="A1052" s="0" t="s">
        <v>4071</v>
      </c>
      <c r="B1052" s="0" t="n">
        <v>1</v>
      </c>
      <c r="D1052" s="0" t="s">
        <v>4072</v>
      </c>
      <c r="E1052" s="26" t="s">
        <v>4073</v>
      </c>
      <c r="F1052" s="0" t="s">
        <v>4074</v>
      </c>
      <c r="G1052" s="0" t="n">
        <v>1</v>
      </c>
      <c r="H1052" s="0" t="s">
        <v>66</v>
      </c>
      <c r="J1052" s="4" t="s">
        <v>4075</v>
      </c>
      <c r="K1052" s="28" t="str">
        <f aca="false">"1.30 %"</f>
        <v>1.30 %</v>
      </c>
      <c r="O1052" s="0" t="s">
        <v>4076</v>
      </c>
    </row>
    <row r="1053" customFormat="false" ht="12" hidden="false" customHeight="true" outlineLevel="0" collapsed="false">
      <c r="A1053" s="0" t="s">
        <v>4071</v>
      </c>
      <c r="B1053" s="0" t="n">
        <v>1</v>
      </c>
      <c r="D1053" s="0" t="s">
        <v>4077</v>
      </c>
      <c r="E1053" s="0" t="s">
        <v>4078</v>
      </c>
      <c r="F1053" s="0" t="s">
        <v>4079</v>
      </c>
      <c r="G1053" s="0" t="n">
        <v>1</v>
      </c>
      <c r="H1053" s="0" t="s">
        <v>66</v>
      </c>
      <c r="J1053" s="4" t="s">
        <v>4075</v>
      </c>
      <c r="K1053" s="0" t="str">
        <f aca="false">"0.55 %"</f>
        <v>0.55 %</v>
      </c>
      <c r="O1053" s="0" t="s">
        <v>4080</v>
      </c>
    </row>
    <row r="1054" customFormat="false" ht="13.8" hidden="false" customHeight="false" outlineLevel="0" collapsed="false">
      <c r="A1054" s="0" t="s">
        <v>4081</v>
      </c>
      <c r="B1054" s="0" t="n">
        <v>1</v>
      </c>
      <c r="D1054" s="0" t="s">
        <v>272</v>
      </c>
      <c r="E1054" s="0" t="s">
        <v>273</v>
      </c>
      <c r="F1054" s="4" t="s">
        <v>4082</v>
      </c>
      <c r="G1054" s="0" t="n">
        <v>1</v>
      </c>
      <c r="H1054" s="0" t="s">
        <v>33</v>
      </c>
      <c r="J1054" s="0" t="s">
        <v>4083</v>
      </c>
      <c r="K1054" s="0" t="str">
        <f aca="false">"2.5 %"</f>
        <v>2.5 %</v>
      </c>
      <c r="O1054" s="0" t="s">
        <v>4084</v>
      </c>
    </row>
    <row r="1055" customFormat="false" ht="13.8" hidden="false" customHeight="false" outlineLevel="0" collapsed="false">
      <c r="A1055" s="0" t="s">
        <v>4085</v>
      </c>
      <c r="B1055" s="0" t="n">
        <v>1</v>
      </c>
      <c r="D1055" s="4" t="s">
        <v>4086</v>
      </c>
      <c r="E1055" s="0" t="s">
        <v>4087</v>
      </c>
      <c r="F1055" s="4" t="s">
        <v>667</v>
      </c>
      <c r="G1055" s="0" t="n">
        <v>0</v>
      </c>
      <c r="H1055" s="4" t="s">
        <v>4088</v>
      </c>
      <c r="I1055" s="0" t="s">
        <v>4089</v>
      </c>
      <c r="J1055" s="4" t="s">
        <v>4090</v>
      </c>
      <c r="K1055" s="0" t="str">
        <f aca="false">"7.1 %"</f>
        <v>7.1 %</v>
      </c>
      <c r="O1055" s="0" t="s">
        <v>4091</v>
      </c>
    </row>
    <row r="1056" customFormat="false" ht="13.8" hidden="false" customHeight="false" outlineLevel="0" collapsed="false">
      <c r="A1056" s="0" t="s">
        <v>4092</v>
      </c>
      <c r="B1056" s="0" t="n">
        <v>1</v>
      </c>
      <c r="D1056" s="0" t="s">
        <v>201</v>
      </c>
      <c r="E1056" s="0" t="s">
        <v>202</v>
      </c>
      <c r="F1056" s="0" t="s">
        <v>422</v>
      </c>
      <c r="G1056" s="0" t="n">
        <v>0</v>
      </c>
      <c r="H1056" s="0" t="s">
        <v>4093</v>
      </c>
      <c r="I1056" s="4" t="s">
        <v>4094</v>
      </c>
      <c r="J1056" s="4" t="s">
        <v>4095</v>
      </c>
      <c r="K1056" s="0" t="str">
        <f aca="false">"6.11 %"</f>
        <v>6.11 %</v>
      </c>
      <c r="O1056" s="0" t="s">
        <v>4096</v>
      </c>
    </row>
    <row r="1057" customFormat="false" ht="13.8" hidden="false" customHeight="false" outlineLevel="0" collapsed="false">
      <c r="A1057" s="0" t="s">
        <v>4097</v>
      </c>
      <c r="B1057" s="0" t="n">
        <v>1</v>
      </c>
      <c r="D1057" s="0" t="s">
        <v>4098</v>
      </c>
      <c r="E1057" s="0" t="s">
        <v>4099</v>
      </c>
      <c r="F1057" s="0" t="s">
        <v>4100</v>
      </c>
      <c r="G1057" s="0" t="n">
        <v>0</v>
      </c>
      <c r="H1057" s="4" t="s">
        <v>1121</v>
      </c>
      <c r="I1057" s="0" t="s">
        <v>225</v>
      </c>
      <c r="J1057" s="0" t="s">
        <v>1996</v>
      </c>
      <c r="K1057" s="0" t="str">
        <f aca="false">"5.0 %"</f>
        <v>5.0 %</v>
      </c>
      <c r="M1057" s="15" t="s">
        <v>4101</v>
      </c>
      <c r="O1057" s="0" t="s">
        <v>4102</v>
      </c>
    </row>
    <row r="1058" customFormat="false" ht="13.8" hidden="false" customHeight="false" outlineLevel="0" collapsed="false">
      <c r="A1058" s="0" t="s">
        <v>4103</v>
      </c>
      <c r="B1058" s="0" t="n">
        <v>1</v>
      </c>
      <c r="D1058" s="4" t="s">
        <v>4104</v>
      </c>
      <c r="E1058" s="0" t="s">
        <v>4105</v>
      </c>
      <c r="F1058" s="4" t="s">
        <v>4106</v>
      </c>
      <c r="G1058" s="0" t="n">
        <v>1</v>
      </c>
      <c r="H1058" s="4" t="s">
        <v>3232</v>
      </c>
      <c r="J1058" s="4" t="s">
        <v>3233</v>
      </c>
      <c r="K1058" s="0" t="str">
        <f aca="false">"2.5 %"</f>
        <v>2.5 %</v>
      </c>
      <c r="O1058" s="0" t="s">
        <v>4107</v>
      </c>
    </row>
    <row r="1059" customFormat="false" ht="13.8" hidden="false" customHeight="false" outlineLevel="0" collapsed="false">
      <c r="A1059" s="0" t="s">
        <v>4108</v>
      </c>
      <c r="B1059" s="0" t="n">
        <v>1</v>
      </c>
      <c r="D1059" s="4" t="s">
        <v>4109</v>
      </c>
      <c r="E1059" s="0" t="s">
        <v>4110</v>
      </c>
      <c r="F1059" s="4" t="s">
        <v>4111</v>
      </c>
      <c r="G1059" s="0" t="n">
        <v>1</v>
      </c>
      <c r="H1059" s="0" t="s">
        <v>526</v>
      </c>
      <c r="J1059" s="15" t="s">
        <v>3518</v>
      </c>
      <c r="K1059" s="0" t="str">
        <f aca="false">"3.96 %"</f>
        <v>3.96 %</v>
      </c>
      <c r="O1059" s="0" t="s">
        <v>4112</v>
      </c>
    </row>
    <row r="1060" customFormat="false" ht="13.8" hidden="false" customHeight="false" outlineLevel="0" collapsed="false">
      <c r="A1060" s="0" t="s">
        <v>4113</v>
      </c>
      <c r="B1060" s="0" t="n">
        <v>1</v>
      </c>
      <c r="D1060" s="0" t="s">
        <v>201</v>
      </c>
      <c r="E1060" s="0" t="s">
        <v>202</v>
      </c>
      <c r="F1060" s="0" t="s">
        <v>422</v>
      </c>
      <c r="G1060" s="0" t="n">
        <v>1</v>
      </c>
      <c r="H1060" s="0" t="s">
        <v>27</v>
      </c>
      <c r="J1060" s="0" t="s">
        <v>28</v>
      </c>
      <c r="K1060" s="0" t="str">
        <f aca="false">"10.06 %"</f>
        <v>10.06 %</v>
      </c>
      <c r="O1060" s="0" t="s">
        <v>4114</v>
      </c>
    </row>
    <row r="1061" customFormat="false" ht="13.8" hidden="false" customHeight="false" outlineLevel="0" collapsed="false">
      <c r="A1061" s="0" t="s">
        <v>4115</v>
      </c>
      <c r="C1061" s="0" t="n">
        <v>1</v>
      </c>
      <c r="D1061" s="0" t="s">
        <v>4116</v>
      </c>
      <c r="F1061" s="0" t="s">
        <v>4117</v>
      </c>
      <c r="G1061" s="0" t="n">
        <v>1</v>
      </c>
      <c r="H1061" s="0" t="s">
        <v>27</v>
      </c>
      <c r="J1061" s="0" t="s">
        <v>4118</v>
      </c>
      <c r="K1061" s="0" t="str">
        <f aca="false">"7.4 %"</f>
        <v>7.4 %</v>
      </c>
      <c r="L1061" s="0" t="str">
        <f aca="false">"1.71 V"</f>
        <v>1.71 V</v>
      </c>
      <c r="O1061" s="0" t="s">
        <v>4119</v>
      </c>
    </row>
    <row r="1062" customFormat="false" ht="13.8" hidden="false" customHeight="false" outlineLevel="0" collapsed="false">
      <c r="A1062" s="0" t="s">
        <v>4115</v>
      </c>
      <c r="C1062" s="0" t="n">
        <v>1</v>
      </c>
      <c r="D1062" s="0" t="s">
        <v>4120</v>
      </c>
      <c r="F1062" s="0" t="s">
        <v>4121</v>
      </c>
      <c r="G1062" s="0" t="n">
        <v>1</v>
      </c>
      <c r="H1062" s="0" t="s">
        <v>27</v>
      </c>
      <c r="J1062" s="0" t="s">
        <v>4118</v>
      </c>
      <c r="K1062" s="0" t="str">
        <f aca="false">"7.9 %"</f>
        <v>7.9 %</v>
      </c>
      <c r="O1062" s="0" t="s">
        <v>4122</v>
      </c>
    </row>
    <row r="1063" customFormat="false" ht="13.8" hidden="false" customHeight="false" outlineLevel="0" collapsed="false">
      <c r="A1063" s="0" t="s">
        <v>4123</v>
      </c>
      <c r="B1063" s="0" t="n">
        <v>1</v>
      </c>
      <c r="D1063" s="0" t="s">
        <v>4124</v>
      </c>
      <c r="E1063" s="0" t="s">
        <v>4125</v>
      </c>
      <c r="F1063" s="0" t="s">
        <v>4126</v>
      </c>
      <c r="G1063" s="0" t="n">
        <v>1</v>
      </c>
      <c r="H1063" s="0" t="s">
        <v>27</v>
      </c>
      <c r="J1063" s="0" t="s">
        <v>4127</v>
      </c>
      <c r="K1063" s="0" t="str">
        <f aca="false">"6.44 %"</f>
        <v>6.44 %</v>
      </c>
      <c r="O1063" s="0" t="s">
        <v>4128</v>
      </c>
    </row>
    <row r="1064" customFormat="false" ht="13.8" hidden="false" customHeight="false" outlineLevel="0" collapsed="false">
      <c r="A1064" s="0" t="s">
        <v>4129</v>
      </c>
      <c r="B1064" s="0" t="n">
        <v>1</v>
      </c>
      <c r="D1064" s="0" t="s">
        <v>201</v>
      </c>
      <c r="E1064" s="0" t="s">
        <v>202</v>
      </c>
      <c r="F1064" s="0" t="s">
        <v>422</v>
      </c>
      <c r="G1064" s="0" t="n">
        <v>1</v>
      </c>
      <c r="H1064" s="0" t="s">
        <v>27</v>
      </c>
      <c r="J1064" s="0" t="s">
        <v>28</v>
      </c>
      <c r="K1064" s="0" t="str">
        <f aca="false">"9.32 %"</f>
        <v>9.32 %</v>
      </c>
      <c r="O1064" s="0" t="s">
        <v>4130</v>
      </c>
    </row>
    <row r="1065" customFormat="false" ht="13.8" hidden="false" customHeight="false" outlineLevel="0" collapsed="false">
      <c r="A1065" s="0" t="s">
        <v>4131</v>
      </c>
      <c r="B1065" s="0" t="n">
        <v>1</v>
      </c>
      <c r="D1065" s="0" t="s">
        <v>4132</v>
      </c>
      <c r="E1065" s="0" t="s">
        <v>4133</v>
      </c>
      <c r="F1065" s="0" t="s">
        <v>4134</v>
      </c>
      <c r="G1065" s="0" t="n">
        <v>1</v>
      </c>
      <c r="H1065" s="4" t="s">
        <v>3185</v>
      </c>
      <c r="J1065" s="4" t="s">
        <v>34</v>
      </c>
      <c r="K1065" s="0" t="str">
        <f aca="false">"3.5 %"</f>
        <v>3.5 %</v>
      </c>
      <c r="O1065" s="0" t="s">
        <v>4135</v>
      </c>
    </row>
    <row r="1066" customFormat="false" ht="13.8" hidden="false" customHeight="false" outlineLevel="0" collapsed="false">
      <c r="A1066" s="0" t="s">
        <v>4136</v>
      </c>
      <c r="B1066" s="0" t="n">
        <v>1</v>
      </c>
      <c r="D1066" s="0" t="s">
        <v>4137</v>
      </c>
      <c r="E1066" s="0" t="s">
        <v>4138</v>
      </c>
      <c r="F1066" s="0" t="s">
        <v>4139</v>
      </c>
      <c r="G1066" s="0" t="n">
        <v>1</v>
      </c>
      <c r="H1066" s="0" t="s">
        <v>66</v>
      </c>
      <c r="J1066" s="0" t="s">
        <v>67</v>
      </c>
      <c r="K1066" s="0" t="str">
        <f aca="false">"5.59 %"</f>
        <v>5.59 %</v>
      </c>
      <c r="L1066" s="0" t="str">
        <f aca="false">"0.77 V"</f>
        <v>0.77 V</v>
      </c>
      <c r="M1066" s="0" t="str">
        <f aca="false">"11.9 mA cm^{-2}"</f>
        <v>11.9 mA cm^{-2}</v>
      </c>
      <c r="N1066" s="0" t="str">
        <f aca="false">"0.61"</f>
        <v>0.61</v>
      </c>
      <c r="O1066" s="0" t="s">
        <v>4140</v>
      </c>
    </row>
    <row r="1067" customFormat="false" ht="13.8" hidden="false" customHeight="false" outlineLevel="0" collapsed="false">
      <c r="A1067" s="0" t="s">
        <v>4141</v>
      </c>
      <c r="B1067" s="0" t="n">
        <v>1</v>
      </c>
      <c r="D1067" s="4" t="s">
        <v>4142</v>
      </c>
      <c r="E1067" s="0" t="s">
        <v>4143</v>
      </c>
      <c r="F1067" s="4" t="s">
        <v>4144</v>
      </c>
      <c r="G1067" s="0" t="n">
        <v>1</v>
      </c>
      <c r="H1067" s="0" t="s">
        <v>27</v>
      </c>
      <c r="J1067" s="0" t="s">
        <v>1228</v>
      </c>
      <c r="K1067" s="0" t="str">
        <f aca="false">"1.3 %"</f>
        <v>1.3 %</v>
      </c>
      <c r="O1067" s="0" t="s">
        <v>4145</v>
      </c>
    </row>
    <row r="1068" customFormat="false" ht="13.8" hidden="false" customHeight="false" outlineLevel="0" collapsed="false">
      <c r="A1068" s="0" t="s">
        <v>4141</v>
      </c>
      <c r="B1068" s="0" t="n">
        <v>1</v>
      </c>
      <c r="D1068" s="0" t="s">
        <v>4146</v>
      </c>
      <c r="E1068" s="0" t="s">
        <v>4147</v>
      </c>
      <c r="F1068" s="0" t="s">
        <v>4148</v>
      </c>
      <c r="G1068" s="0" t="n">
        <v>1</v>
      </c>
      <c r="H1068" s="0" t="s">
        <v>27</v>
      </c>
      <c r="J1068" s="0" t="s">
        <v>1228</v>
      </c>
      <c r="K1068" s="29" t="n">
        <v>0.033</v>
      </c>
    </row>
    <row r="1069" customFormat="false" ht="13.8" hidden="false" customHeight="false" outlineLevel="0" collapsed="false">
      <c r="A1069" s="0" t="s">
        <v>4141</v>
      </c>
      <c r="B1069" s="0" t="n">
        <v>1</v>
      </c>
      <c r="D1069" s="0" t="s">
        <v>4149</v>
      </c>
      <c r="E1069" s="0" t="s">
        <v>4150</v>
      </c>
      <c r="F1069" s="0" t="s">
        <v>4151</v>
      </c>
      <c r="G1069" s="0" t="n">
        <v>1</v>
      </c>
      <c r="H1069" s="0" t="s">
        <v>27</v>
      </c>
      <c r="J1069" s="0" t="s">
        <v>1228</v>
      </c>
      <c r="K1069" s="29" t="str">
        <f aca="false">"3.5"</f>
        <v>3.5</v>
      </c>
    </row>
    <row r="1070" customFormat="false" ht="13.8" hidden="false" customHeight="false" outlineLevel="0" collapsed="false">
      <c r="A1070" s="0" t="s">
        <v>4152</v>
      </c>
      <c r="B1070" s="0" t="n">
        <v>1</v>
      </c>
      <c r="D1070" s="0" t="s">
        <v>4153</v>
      </c>
      <c r="E1070" s="0" t="s">
        <v>4154</v>
      </c>
      <c r="F1070" s="0" t="s">
        <v>4155</v>
      </c>
      <c r="G1070" s="0" t="n">
        <v>1</v>
      </c>
      <c r="H1070" s="0" t="s">
        <v>27</v>
      </c>
      <c r="J1070" s="4" t="s">
        <v>4156</v>
      </c>
      <c r="K1070" s="0" t="str">
        <f aca="false">"3.36 %"</f>
        <v>3.36 %</v>
      </c>
      <c r="L1070" s="0" t="str">
        <f aca="false">"0.9 V"</f>
        <v>0.9 V</v>
      </c>
      <c r="M1070" s="0" t="s">
        <v>4157</v>
      </c>
      <c r="N1070" s="0" t="str">
        <f aca="false">"0.50"</f>
        <v>0.50</v>
      </c>
      <c r="O1070" s="0" t="s">
        <v>4158</v>
      </c>
    </row>
    <row r="1071" customFormat="false" ht="13.8" hidden="false" customHeight="false" outlineLevel="0" collapsed="false">
      <c r="A1071" s="0" t="s">
        <v>4159</v>
      </c>
      <c r="C1071" s="0" t="n">
        <v>1</v>
      </c>
      <c r="D1071" s="0" t="s">
        <v>4160</v>
      </c>
      <c r="F1071" s="0" t="s">
        <v>4161</v>
      </c>
      <c r="G1071" s="0" t="n">
        <v>1</v>
      </c>
      <c r="H1071" s="0" t="s">
        <v>27</v>
      </c>
      <c r="J1071" s="0" t="s">
        <v>28</v>
      </c>
      <c r="K1071" s="0" t="str">
        <f aca="false">"7.91 %"</f>
        <v>7.91 %</v>
      </c>
      <c r="O1071" s="0" t="s">
        <v>4162</v>
      </c>
    </row>
    <row r="1072" customFormat="false" ht="13.8" hidden="false" customHeight="false" outlineLevel="0" collapsed="false">
      <c r="A1072" s="0" t="s">
        <v>4163</v>
      </c>
      <c r="B1072" s="0" t="n">
        <v>1</v>
      </c>
      <c r="D1072" s="0" t="s">
        <v>4164</v>
      </c>
      <c r="E1072" s="0" t="s">
        <v>4165</v>
      </c>
      <c r="F1072" s="0" t="s">
        <v>4166</v>
      </c>
      <c r="G1072" s="0" t="n">
        <v>1</v>
      </c>
      <c r="H1072" s="0" t="s">
        <v>27</v>
      </c>
      <c r="J1072" s="0" t="s">
        <v>28</v>
      </c>
      <c r="K1072" s="0" t="str">
        <f aca="false">"2.15 %"</f>
        <v>2.15 %</v>
      </c>
      <c r="L1072" s="15" t="s">
        <v>3010</v>
      </c>
      <c r="M1072" s="15" t="s">
        <v>4167</v>
      </c>
      <c r="N1072" s="4" t="str">
        <f aca="false">"0.40"</f>
        <v>0.40</v>
      </c>
      <c r="O1072" s="0" t="s">
        <v>4168</v>
      </c>
    </row>
    <row r="1073" customFormat="false" ht="13.8" hidden="false" customHeight="false" outlineLevel="0" collapsed="false">
      <c r="A1073" s="0" t="s">
        <v>4163</v>
      </c>
      <c r="B1073" s="0" t="n">
        <v>1</v>
      </c>
      <c r="D1073" s="0" t="s">
        <v>4169</v>
      </c>
      <c r="E1073" s="0" t="s">
        <v>4170</v>
      </c>
      <c r="F1073" s="0" t="s">
        <v>4171</v>
      </c>
      <c r="G1073" s="0" t="n">
        <v>1</v>
      </c>
      <c r="H1073" s="0" t="s">
        <v>27</v>
      </c>
      <c r="J1073" s="0" t="s">
        <v>28</v>
      </c>
      <c r="K1073" s="28" t="n">
        <v>0.0259</v>
      </c>
      <c r="L1073" s="4" t="s">
        <v>3266</v>
      </c>
      <c r="M1073" s="0" t="str">
        <f aca="false">"7.3 mA/cm^{2}"</f>
        <v>7.3 mA/cm^{2}</v>
      </c>
      <c r="N1073" s="4" t="str">
        <f aca="false">"0.38"</f>
        <v>0.38</v>
      </c>
      <c r="O1073" s="0" t="s">
        <v>4172</v>
      </c>
    </row>
    <row r="1074" customFormat="false" ht="13.8" hidden="false" customHeight="false" outlineLevel="0" collapsed="false">
      <c r="A1074" s="0" t="s">
        <v>4173</v>
      </c>
      <c r="B1074" s="0" t="n">
        <v>1</v>
      </c>
      <c r="D1074" s="0" t="s">
        <v>4174</v>
      </c>
      <c r="E1074" s="0" t="s">
        <v>17</v>
      </c>
      <c r="F1074" s="0" t="s">
        <v>4175</v>
      </c>
      <c r="G1074" s="0" t="n">
        <v>1</v>
      </c>
      <c r="H1074" s="0" t="s">
        <v>33</v>
      </c>
      <c r="J1074" s="4" t="s">
        <v>1265</v>
      </c>
      <c r="K1074" s="0" t="str">
        <f aca="false">"4 %"</f>
        <v>4 %</v>
      </c>
      <c r="O1074" s="0" t="s">
        <v>4176</v>
      </c>
    </row>
    <row r="1075" customFormat="false" ht="13.8" hidden="false" customHeight="false" outlineLevel="0" collapsed="false">
      <c r="A1075" s="0" t="s">
        <v>4177</v>
      </c>
      <c r="B1075" s="0" t="n">
        <v>1</v>
      </c>
      <c r="D1075" s="4" t="s">
        <v>599</v>
      </c>
      <c r="E1075" s="0" t="s">
        <v>3199</v>
      </c>
      <c r="F1075" s="4" t="s">
        <v>601</v>
      </c>
      <c r="G1075" s="0" t="n">
        <v>0</v>
      </c>
      <c r="H1075" s="4" t="s">
        <v>4178</v>
      </c>
      <c r="I1075" s="0" t="s">
        <v>4179</v>
      </c>
      <c r="J1075" s="4" t="s">
        <v>4180</v>
      </c>
      <c r="K1075" s="3" t="str">
        <f aca="false">"7.74"</f>
        <v>7.74</v>
      </c>
      <c r="M1075" s="0" t="str">
        <f aca="false">"15.98 mA/cm^{2}"</f>
        <v>15.98 mA/cm^{2}</v>
      </c>
      <c r="N1075" s="0" t="str">
        <f aca="false">"54.67 %"</f>
        <v>54.67 %</v>
      </c>
      <c r="O1075" s="0" t="s">
        <v>4181</v>
      </c>
    </row>
    <row r="1076" customFormat="false" ht="13.8" hidden="false" customHeight="false" outlineLevel="0" collapsed="false">
      <c r="A1076" s="0" t="s">
        <v>4177</v>
      </c>
      <c r="B1076" s="0" t="n">
        <v>1</v>
      </c>
      <c r="D1076" s="0" t="s">
        <v>599</v>
      </c>
      <c r="E1076" s="0" t="s">
        <v>3199</v>
      </c>
      <c r="F1076" s="0" t="s">
        <v>601</v>
      </c>
      <c r="G1076" s="0" t="n">
        <v>0</v>
      </c>
      <c r="H1076" s="0" t="s">
        <v>4182</v>
      </c>
      <c r="I1076" s="0" t="s">
        <v>4183</v>
      </c>
      <c r="J1076" s="0" t="s">
        <v>4184</v>
      </c>
      <c r="K1076" s="9" t="n">
        <v>0.0695</v>
      </c>
      <c r="L1076" s="0" t="s">
        <v>167</v>
      </c>
    </row>
    <row r="1077" customFormat="false" ht="13.8" hidden="false" customHeight="false" outlineLevel="0" collapsed="false">
      <c r="A1077" s="0" t="s">
        <v>4185</v>
      </c>
      <c r="B1077" s="0" t="n">
        <v>1</v>
      </c>
      <c r="D1077" s="0" t="s">
        <v>4186</v>
      </c>
      <c r="E1077" s="0" t="s">
        <v>4187</v>
      </c>
      <c r="F1077" s="0" t="s">
        <v>4188</v>
      </c>
      <c r="G1077" s="0" t="n">
        <v>1</v>
      </c>
      <c r="H1077" s="0" t="s">
        <v>33</v>
      </c>
      <c r="J1077" s="4" t="s">
        <v>1265</v>
      </c>
      <c r="K1077" s="0" t="str">
        <f aca="false">"3.5 %"</f>
        <v>3.5 %</v>
      </c>
      <c r="N1077" s="0" t="str">
        <f aca="false">"59 %"</f>
        <v>59 %</v>
      </c>
      <c r="O1077" s="0" t="s">
        <v>4189</v>
      </c>
    </row>
    <row r="1078" customFormat="false" ht="13.8" hidden="false" customHeight="false" outlineLevel="0" collapsed="false">
      <c r="A1078" s="0" t="s">
        <v>4190</v>
      </c>
      <c r="B1078" s="0" t="n">
        <v>1</v>
      </c>
      <c r="D1078" s="0" t="s">
        <v>208</v>
      </c>
      <c r="E1078" s="0" t="s">
        <v>17</v>
      </c>
      <c r="F1078" s="0" t="s">
        <v>209</v>
      </c>
      <c r="G1078" s="0" t="n">
        <v>0</v>
      </c>
      <c r="H1078" s="4" t="s">
        <v>4191</v>
      </c>
      <c r="I1078" s="0" t="s">
        <v>4192</v>
      </c>
      <c r="J1078" s="4" t="s">
        <v>4193</v>
      </c>
      <c r="K1078" s="0" t="str">
        <f aca="false">"0.27 %"</f>
        <v>0.27 %</v>
      </c>
      <c r="L1078" s="0" t="str">
        <f aca="false">"0.90 V"</f>
        <v>0.90 V</v>
      </c>
      <c r="O1078" s="0" t="s">
        <v>4194</v>
      </c>
    </row>
    <row r="1079" customFormat="false" ht="13.8" hidden="false" customHeight="false" outlineLevel="0" collapsed="false">
      <c r="A1079" s="0" t="s">
        <v>4195</v>
      </c>
      <c r="B1079" s="0" t="n">
        <v>1</v>
      </c>
      <c r="D1079" s="4" t="s">
        <v>124</v>
      </c>
      <c r="E1079" s="0" t="s">
        <v>4196</v>
      </c>
      <c r="F1079" s="4" t="s">
        <v>427</v>
      </c>
      <c r="G1079" s="0" t="n">
        <v>1</v>
      </c>
      <c r="H1079" s="0" t="s">
        <v>27</v>
      </c>
      <c r="J1079" s="0" t="s">
        <v>28</v>
      </c>
      <c r="K1079" s="0" t="str">
        <f aca="false">"1.21 %"</f>
        <v>1.21 %</v>
      </c>
      <c r="L1079" s="0" t="str">
        <f aca="false">"0.61 V"</f>
        <v>0.61 V</v>
      </c>
      <c r="M1079" s="0" t="str">
        <f aca="false">"6.19 mA/cm^{2}"</f>
        <v>6.19 mA/cm^{2}</v>
      </c>
      <c r="N1079" s="0" t="str">
        <f aca="false">"0.32"</f>
        <v>0.32</v>
      </c>
      <c r="O1079" s="0" t="s">
        <v>4197</v>
      </c>
    </row>
    <row r="1080" customFormat="false" ht="13.8" hidden="false" customHeight="false" outlineLevel="0" collapsed="false">
      <c r="A1080" s="0" t="s">
        <v>4198</v>
      </c>
      <c r="B1080" s="0" t="n">
        <v>1</v>
      </c>
      <c r="D1080" s="4" t="s">
        <v>124</v>
      </c>
      <c r="E1080" s="0" t="s">
        <v>4199</v>
      </c>
      <c r="F1080" s="4" t="s">
        <v>427</v>
      </c>
      <c r="G1080" s="0" t="n">
        <v>1</v>
      </c>
      <c r="H1080" s="0" t="s">
        <v>27</v>
      </c>
      <c r="J1080" s="0" t="s">
        <v>28</v>
      </c>
      <c r="K1080" s="0" t="str">
        <f aca="false">"2.7 %"</f>
        <v>2.7 %</v>
      </c>
      <c r="O1080" s="0" t="s">
        <v>4200</v>
      </c>
    </row>
    <row r="1081" customFormat="false" ht="13.8" hidden="false" customHeight="false" outlineLevel="0" collapsed="false">
      <c r="A1081" s="0" t="s">
        <v>4201</v>
      </c>
      <c r="B1081" s="0" t="n">
        <v>1</v>
      </c>
      <c r="D1081" s="0" t="s">
        <v>3703</v>
      </c>
      <c r="E1081" s="0" t="s">
        <v>1689</v>
      </c>
      <c r="F1081" s="0" t="s">
        <v>3704</v>
      </c>
      <c r="G1081" s="0" t="n">
        <v>1</v>
      </c>
      <c r="H1081" s="0" t="s">
        <v>66</v>
      </c>
      <c r="J1081" s="0" t="s">
        <v>67</v>
      </c>
      <c r="K1081" s="0" t="str">
        <f aca="false">"6.4 %"</f>
        <v>6.4 %</v>
      </c>
      <c r="O1081" s="0" t="s">
        <v>4202</v>
      </c>
    </row>
    <row r="1082" customFormat="false" ht="13.8" hidden="false" customHeight="false" outlineLevel="0" collapsed="false">
      <c r="A1082" s="0" t="s">
        <v>4203</v>
      </c>
      <c r="C1082" s="0" t="n">
        <v>1</v>
      </c>
      <c r="D1082" s="0" t="s">
        <v>221</v>
      </c>
      <c r="E1082" s="0" t="s">
        <v>222</v>
      </c>
      <c r="F1082" s="0" t="s">
        <v>4204</v>
      </c>
      <c r="G1082" s="0" t="n">
        <v>1</v>
      </c>
      <c r="H1082" s="0" t="s">
        <v>27</v>
      </c>
      <c r="J1082" s="0" t="s">
        <v>28</v>
      </c>
      <c r="K1082" s="0" t="str">
        <f aca="false">"9.46 %"</f>
        <v>9.46 %</v>
      </c>
      <c r="O1082" s="0" t="s">
        <v>4205</v>
      </c>
    </row>
    <row r="1083" customFormat="false" ht="13.8" hidden="false" customHeight="false" outlineLevel="0" collapsed="false">
      <c r="A1083" s="0" t="s">
        <v>4206</v>
      </c>
      <c r="B1083" s="0" t="n">
        <v>1</v>
      </c>
      <c r="D1083" s="0" t="s">
        <v>85</v>
      </c>
      <c r="E1083" s="0" t="s">
        <v>86</v>
      </c>
      <c r="F1083" s="0" t="s">
        <v>87</v>
      </c>
      <c r="G1083" s="0" t="n">
        <v>0</v>
      </c>
      <c r="H1083" s="0" t="s">
        <v>224</v>
      </c>
      <c r="I1083" s="0" t="s">
        <v>225</v>
      </c>
      <c r="J1083" s="0" t="s">
        <v>1698</v>
      </c>
      <c r="K1083" s="0" t="str">
        <f aca="false">"2.7 %"</f>
        <v>2.7 %</v>
      </c>
      <c r="O1083" s="0" t="s">
        <v>4207</v>
      </c>
    </row>
    <row r="1084" customFormat="false" ht="13.8" hidden="false" customHeight="false" outlineLevel="0" collapsed="false">
      <c r="A1084" s="0" t="s">
        <v>4208</v>
      </c>
      <c r="B1084" s="0" t="n">
        <v>1</v>
      </c>
      <c r="D1084" s="0" t="s">
        <v>16</v>
      </c>
      <c r="E1084" s="0" t="s">
        <v>17</v>
      </c>
      <c r="F1084" s="0" t="s">
        <v>18</v>
      </c>
      <c r="G1084" s="0" t="n">
        <v>1</v>
      </c>
      <c r="H1084" s="0" t="s">
        <v>1457</v>
      </c>
      <c r="J1084" s="0" t="s">
        <v>2016</v>
      </c>
      <c r="K1084" s="0" t="str">
        <f aca="false">"6.20 %"</f>
        <v>6.20 %</v>
      </c>
      <c r="O1084" s="0" t="s">
        <v>4209</v>
      </c>
    </row>
    <row r="1085" customFormat="false" ht="13.8" hidden="false" customHeight="false" outlineLevel="0" collapsed="false">
      <c r="A1085" s="0" t="s">
        <v>4210</v>
      </c>
      <c r="B1085" s="0" t="n">
        <v>1</v>
      </c>
      <c r="D1085" s="0" t="s">
        <v>201</v>
      </c>
      <c r="E1085" s="0" t="s">
        <v>202</v>
      </c>
      <c r="F1085" s="0" t="s">
        <v>422</v>
      </c>
      <c r="G1085" s="0" t="n">
        <v>1</v>
      </c>
      <c r="H1085" s="0" t="s">
        <v>27</v>
      </c>
      <c r="J1085" s="0" t="s">
        <v>28</v>
      </c>
      <c r="K1085" s="0" t="str">
        <f aca="false">"8.93 %"</f>
        <v>8.93 %</v>
      </c>
      <c r="O1085" s="0" t="s">
        <v>4211</v>
      </c>
    </row>
    <row r="1086" customFormat="false" ht="13.8" hidden="false" customHeight="false" outlineLevel="0" collapsed="false">
      <c r="A1086" s="0" t="s">
        <v>4212</v>
      </c>
      <c r="B1086" s="0" t="n">
        <v>1</v>
      </c>
      <c r="D1086" s="0" t="s">
        <v>4213</v>
      </c>
      <c r="E1086" s="0" t="s">
        <v>404</v>
      </c>
      <c r="F1086" s="0" t="s">
        <v>4214</v>
      </c>
      <c r="G1086" s="0" t="n">
        <v>1</v>
      </c>
      <c r="H1086" s="0" t="s">
        <v>27</v>
      </c>
      <c r="J1086" s="0" t="s">
        <v>28</v>
      </c>
      <c r="K1086" s="3" t="str">
        <f aca="false">"∼6.77 %"</f>
        <v>∼6.77 %</v>
      </c>
      <c r="O1086" s="0" t="s">
        <v>4215</v>
      </c>
    </row>
    <row r="1087" customFormat="false" ht="13.8" hidden="false" customHeight="false" outlineLevel="0" collapsed="false">
      <c r="A1087" s="0" t="s">
        <v>4212</v>
      </c>
      <c r="B1087" s="0" t="n">
        <v>1</v>
      </c>
      <c r="D1087" s="0" t="s">
        <v>16</v>
      </c>
      <c r="E1087" s="0" t="s">
        <v>17</v>
      </c>
      <c r="F1087" s="0" t="s">
        <v>116</v>
      </c>
      <c r="G1087" s="0" t="n">
        <v>1</v>
      </c>
      <c r="H1087" s="0" t="s">
        <v>76</v>
      </c>
      <c r="J1087" s="0" t="s">
        <v>77</v>
      </c>
      <c r="K1087" s="9" t="str">
        <f aca="false">"4.08 %"</f>
        <v>4.08 %</v>
      </c>
    </row>
    <row r="1088" customFormat="false" ht="13.8" hidden="false" customHeight="false" outlineLevel="0" collapsed="false">
      <c r="A1088" s="0" t="s">
        <v>4216</v>
      </c>
      <c r="B1088" s="0" t="n">
        <v>1</v>
      </c>
      <c r="D1088" s="4" t="s">
        <v>4217</v>
      </c>
      <c r="E1088" s="0" t="s">
        <v>4218</v>
      </c>
      <c r="F1088" s="4" t="s">
        <v>4219</v>
      </c>
      <c r="G1088" s="0" t="n">
        <v>1</v>
      </c>
      <c r="H1088" s="0" t="s">
        <v>76</v>
      </c>
      <c r="J1088" s="0" t="s">
        <v>77</v>
      </c>
      <c r="K1088" s="15" t="str">
        <f aca="false">"2.72 %"</f>
        <v>2.72 %</v>
      </c>
      <c r="O1088" s="0" t="s">
        <v>4220</v>
      </c>
    </row>
    <row r="1089" customFormat="false" ht="13.8" hidden="false" customHeight="false" outlineLevel="0" collapsed="false">
      <c r="A1089" s="0" t="s">
        <v>4221</v>
      </c>
      <c r="B1089" s="0" t="n">
        <v>1</v>
      </c>
      <c r="D1089" s="0" t="s">
        <v>4222</v>
      </c>
      <c r="E1089" s="0" t="s">
        <v>4223</v>
      </c>
      <c r="F1089" s="0" t="s">
        <v>4224</v>
      </c>
      <c r="G1089" s="0" t="n">
        <v>1</v>
      </c>
      <c r="H1089" s="0" t="s">
        <v>4225</v>
      </c>
      <c r="J1089" s="0" t="s">
        <v>4226</v>
      </c>
      <c r="K1089" s="3" t="n">
        <v>0.0296</v>
      </c>
      <c r="L1089" s="15" t="s">
        <v>4227</v>
      </c>
      <c r="M1089" s="15" t="s">
        <v>4228</v>
      </c>
      <c r="N1089" s="33" t="n">
        <v>0.39</v>
      </c>
      <c r="O1089" s="0" t="s">
        <v>4229</v>
      </c>
    </row>
    <row r="1090" customFormat="false" ht="13.8" hidden="false" customHeight="false" outlineLevel="0" collapsed="false">
      <c r="A1090" s="0" t="s">
        <v>4221</v>
      </c>
      <c r="B1090" s="0" t="n">
        <v>1</v>
      </c>
      <c r="D1090" s="0" t="s">
        <v>4230</v>
      </c>
      <c r="E1090" s="0" t="s">
        <v>4231</v>
      </c>
      <c r="F1090" s="0" t="s">
        <v>4232</v>
      </c>
      <c r="G1090" s="0" t="n">
        <v>1</v>
      </c>
      <c r="H1090" s="0" t="s">
        <v>4225</v>
      </c>
      <c r="J1090" s="0" t="s">
        <v>4226</v>
      </c>
      <c r="K1090" s="15" t="str">
        <f aca="false">"4.10 %"</f>
        <v>4.10 %</v>
      </c>
      <c r="L1090" s="0" t="str">
        <f aca="false">"0.59 V"</f>
        <v>0.59 V</v>
      </c>
      <c r="M1090" s="15" t="s">
        <v>4233</v>
      </c>
      <c r="N1090" s="0" t="str">
        <f aca="false">"48 %"</f>
        <v>48 %</v>
      </c>
      <c r="O1090" s="0" t="s">
        <v>4234</v>
      </c>
    </row>
    <row r="1091" customFormat="false" ht="13.8" hidden="false" customHeight="false" outlineLevel="0" collapsed="false">
      <c r="A1091" s="0" t="s">
        <v>4235</v>
      </c>
      <c r="B1091" s="0" t="n">
        <v>1</v>
      </c>
      <c r="D1091" s="0" t="s">
        <v>16</v>
      </c>
      <c r="E1091" s="0" t="s">
        <v>17</v>
      </c>
      <c r="F1091" s="0" t="s">
        <v>18</v>
      </c>
      <c r="G1091" s="0" t="n">
        <v>1</v>
      </c>
      <c r="H1091" s="0" t="s">
        <v>33</v>
      </c>
      <c r="J1091" s="0" t="s">
        <v>34</v>
      </c>
      <c r="K1091" s="0" t="str">
        <f aca="false">"3 %"</f>
        <v>3 %</v>
      </c>
      <c r="O1091" s="0" t="s">
        <v>4236</v>
      </c>
    </row>
    <row r="1092" customFormat="false" ht="13.8" hidden="false" customHeight="false" outlineLevel="0" collapsed="false">
      <c r="A1092" s="0" t="s">
        <v>4237</v>
      </c>
      <c r="C1092" s="0" t="n">
        <v>1</v>
      </c>
      <c r="D1092" s="0" t="s">
        <v>4238</v>
      </c>
      <c r="F1092" s="0" t="s">
        <v>4239</v>
      </c>
      <c r="G1092" s="0" t="n">
        <v>1</v>
      </c>
      <c r="H1092" s="0" t="s">
        <v>27</v>
      </c>
      <c r="J1092" s="0" t="s">
        <v>28</v>
      </c>
      <c r="K1092" s="0" t="str">
        <f aca="false">"7.75 %"</f>
        <v>7.75 %</v>
      </c>
      <c r="O1092" s="0" t="s">
        <v>4240</v>
      </c>
    </row>
    <row r="1093" customFormat="false" ht="13.8" hidden="false" customHeight="false" outlineLevel="0" collapsed="false">
      <c r="A1093" s="0" t="s">
        <v>4241</v>
      </c>
      <c r="B1093" s="0" t="n">
        <v>1</v>
      </c>
      <c r="D1093" s="0" t="s">
        <v>128</v>
      </c>
      <c r="E1093" s="0" t="s">
        <v>4242</v>
      </c>
      <c r="F1093" s="0" t="s">
        <v>130</v>
      </c>
      <c r="G1093" s="0" t="n">
        <v>1</v>
      </c>
      <c r="H1093" s="4" t="s">
        <v>4243</v>
      </c>
      <c r="J1093" s="4" t="s">
        <v>4244</v>
      </c>
      <c r="K1093" s="0" t="str">
        <f aca="false">"1.0 %"</f>
        <v>1.0 %</v>
      </c>
      <c r="O1093" s="0" t="s">
        <v>4245</v>
      </c>
    </row>
    <row r="1094" customFormat="false" ht="13.8" hidden="false" customHeight="false" outlineLevel="0" collapsed="false">
      <c r="A1094" s="0" t="s">
        <v>4241</v>
      </c>
      <c r="B1094" s="0" t="n">
        <v>1</v>
      </c>
      <c r="D1094" s="0" t="s">
        <v>124</v>
      </c>
      <c r="E1094" s="0" t="s">
        <v>4246</v>
      </c>
      <c r="F1094" s="0" t="s">
        <v>427</v>
      </c>
      <c r="G1094" s="0" t="n">
        <v>1</v>
      </c>
      <c r="H1094" s="0" t="s">
        <v>4243</v>
      </c>
      <c r="J1094" s="0" t="s">
        <v>4244</v>
      </c>
      <c r="K1094" s="9" t="n">
        <v>0.033</v>
      </c>
    </row>
    <row r="1095" customFormat="false" ht="13.8" hidden="false" customHeight="false" outlineLevel="0" collapsed="false">
      <c r="A1095" s="0" t="s">
        <v>4247</v>
      </c>
      <c r="B1095" s="0" t="n">
        <v>1</v>
      </c>
      <c r="D1095" s="0" t="s">
        <v>4248</v>
      </c>
      <c r="E1095" s="0" t="s">
        <v>2107</v>
      </c>
      <c r="F1095" s="0" t="s">
        <v>4249</v>
      </c>
      <c r="G1095" s="0" t="n">
        <v>1</v>
      </c>
      <c r="H1095" s="0" t="s">
        <v>27</v>
      </c>
      <c r="J1095" s="0" t="s">
        <v>28</v>
      </c>
      <c r="K1095" s="28" t="n">
        <v>0.0863</v>
      </c>
      <c r="L1095" s="15" t="s">
        <v>3313</v>
      </c>
      <c r="M1095" s="15" t="s">
        <v>4250</v>
      </c>
      <c r="N1095" s="28" t="n">
        <v>0.7395</v>
      </c>
      <c r="O1095" s="0" t="s">
        <v>4251</v>
      </c>
    </row>
    <row r="1096" customFormat="false" ht="13.8" hidden="false" customHeight="false" outlineLevel="0" collapsed="false">
      <c r="A1096" s="0" t="s">
        <v>4252</v>
      </c>
      <c r="B1096" s="0" t="n">
        <v>1</v>
      </c>
      <c r="D1096" s="0" t="s">
        <v>4253</v>
      </c>
      <c r="E1096" s="0" t="s">
        <v>4254</v>
      </c>
      <c r="F1096" s="0" t="s">
        <v>4255</v>
      </c>
      <c r="G1096" s="0" t="n">
        <v>1</v>
      </c>
      <c r="H1096" s="0" t="s">
        <v>27</v>
      </c>
      <c r="J1096" s="0" t="s">
        <v>28</v>
      </c>
      <c r="K1096" s="0" t="str">
        <f aca="false">"7.39 %"</f>
        <v>7.39 %</v>
      </c>
      <c r="L1096" s="0" t="str">
        <f aca="false">"0.93 V"</f>
        <v>0.93 V</v>
      </c>
      <c r="M1096" s="0" t="str">
        <f aca="false">"14.11 mA cm^{-2}"</f>
        <v>14.11 mA cm^{-2}</v>
      </c>
      <c r="N1096" s="0" t="str">
        <f aca="false">"0.56"</f>
        <v>0.56</v>
      </c>
      <c r="O1096" s="0" t="s">
        <v>4256</v>
      </c>
    </row>
    <row r="1097" customFormat="false" ht="13.8" hidden="false" customHeight="false" outlineLevel="0" collapsed="false">
      <c r="A1097" s="0" t="s">
        <v>4257</v>
      </c>
      <c r="B1097" s="0" t="n">
        <v>1</v>
      </c>
      <c r="D1097" s="0" t="s">
        <v>4258</v>
      </c>
      <c r="E1097" s="0" t="s">
        <v>4259</v>
      </c>
      <c r="F1097" s="0" t="s">
        <v>4260</v>
      </c>
      <c r="G1097" s="0" t="n">
        <v>1</v>
      </c>
      <c r="H1097" s="0" t="s">
        <v>318</v>
      </c>
      <c r="J1097" s="0" t="s">
        <v>319</v>
      </c>
      <c r="K1097" s="3" t="n">
        <v>0.0072</v>
      </c>
      <c r="L1097" s="0" t="str">
        <f aca="false">"0.61 V"</f>
        <v>0.61 V</v>
      </c>
      <c r="M1097" s="0" t="str">
        <f aca="false">"3.90 mA/cm^{2}"</f>
        <v>3.90 mA/cm^{2}</v>
      </c>
      <c r="N1097" s="0" t="str">
        <f aca="false">"30.3 %"</f>
        <v>30.3 %</v>
      </c>
      <c r="O1097" s="0" t="s">
        <v>4261</v>
      </c>
    </row>
    <row r="1098" customFormat="false" ht="13.8" hidden="false" customHeight="false" outlineLevel="0" collapsed="false">
      <c r="A1098" s="0" t="s">
        <v>4257</v>
      </c>
      <c r="B1098" s="0" t="n">
        <v>1</v>
      </c>
      <c r="D1098" s="0" t="s">
        <v>4262</v>
      </c>
      <c r="E1098" s="0" t="s">
        <v>4263</v>
      </c>
      <c r="F1098" s="0" t="s">
        <v>4264</v>
      </c>
      <c r="G1098" s="0" t="n">
        <v>1</v>
      </c>
      <c r="H1098" s="0" t="s">
        <v>318</v>
      </c>
      <c r="J1098" s="0" t="s">
        <v>319</v>
      </c>
      <c r="K1098" s="9" t="n">
        <v>0.0056</v>
      </c>
    </row>
    <row r="1099" customFormat="false" ht="13.8" hidden="false" customHeight="false" outlineLevel="0" collapsed="false">
      <c r="A1099" s="0" t="s">
        <v>4265</v>
      </c>
      <c r="B1099" s="0" t="n">
        <v>1</v>
      </c>
      <c r="D1099" s="0" t="s">
        <v>16</v>
      </c>
      <c r="E1099" s="0" t="s">
        <v>17</v>
      </c>
      <c r="F1099" s="0" t="s">
        <v>116</v>
      </c>
      <c r="G1099" s="0" t="n">
        <v>1</v>
      </c>
      <c r="H1099" s="0" t="s">
        <v>66</v>
      </c>
      <c r="J1099" s="0" t="s">
        <v>67</v>
      </c>
      <c r="K1099" s="0" t="str">
        <f aca="false">"3.91 %"</f>
        <v>3.91 %</v>
      </c>
      <c r="O1099" s="0" t="s">
        <v>4266</v>
      </c>
    </row>
    <row r="1100" customFormat="false" ht="13.8" hidden="false" customHeight="false" outlineLevel="0" collapsed="false">
      <c r="A1100" s="0" t="s">
        <v>4267</v>
      </c>
      <c r="B1100" s="0" t="n">
        <v>1</v>
      </c>
      <c r="D1100" s="0" t="s">
        <v>16</v>
      </c>
      <c r="E1100" s="0" t="s">
        <v>17</v>
      </c>
      <c r="F1100" s="0" t="s">
        <v>18</v>
      </c>
      <c r="G1100" s="0" t="n">
        <v>0</v>
      </c>
      <c r="H1100" s="0" t="s">
        <v>2664</v>
      </c>
      <c r="I1100" s="0" t="s">
        <v>2665</v>
      </c>
      <c r="J1100" s="0" t="s">
        <v>4268</v>
      </c>
      <c r="K1100" s="0" t="str">
        <f aca="false">"1.60 %"</f>
        <v>1.60 %</v>
      </c>
      <c r="L1100" s="0" t="str">
        <f aca="false">"0.59 V"</f>
        <v>0.59 V</v>
      </c>
      <c r="M1100" s="15" t="s">
        <v>4269</v>
      </c>
      <c r="N1100" s="0" t="str">
        <f aca="false">"0.61"</f>
        <v>0.61</v>
      </c>
      <c r="O1100" s="0" t="s">
        <v>4270</v>
      </c>
    </row>
    <row r="1101" customFormat="false" ht="13.8" hidden="false" customHeight="false" outlineLevel="0" collapsed="false">
      <c r="A1101" s="0" t="s">
        <v>4271</v>
      </c>
      <c r="B1101" s="0" t="n">
        <v>1</v>
      </c>
      <c r="D1101" s="0" t="s">
        <v>58</v>
      </c>
      <c r="E1101" s="0" t="s">
        <v>17</v>
      </c>
      <c r="F1101" s="0" t="s">
        <v>4272</v>
      </c>
      <c r="G1101" s="0" t="n">
        <v>1</v>
      </c>
      <c r="H1101" s="0" t="s">
        <v>33</v>
      </c>
      <c r="J1101" s="0" t="s">
        <v>34</v>
      </c>
      <c r="K1101" s="0" t="str">
        <f aca="false">"2.80 %"</f>
        <v>2.80 %</v>
      </c>
      <c r="O1101" s="0" t="s">
        <v>4273</v>
      </c>
    </row>
    <row r="1102" customFormat="false" ht="13.8" hidden="false" customHeight="false" outlineLevel="0" collapsed="false">
      <c r="A1102" s="0" t="s">
        <v>4274</v>
      </c>
      <c r="B1102" s="0" t="n">
        <v>1</v>
      </c>
      <c r="D1102" s="0" t="s">
        <v>16</v>
      </c>
      <c r="E1102" s="0" t="s">
        <v>17</v>
      </c>
      <c r="F1102" s="0" t="s">
        <v>116</v>
      </c>
      <c r="G1102" s="0" t="n">
        <v>1</v>
      </c>
      <c r="H1102" s="0" t="s">
        <v>33</v>
      </c>
      <c r="J1102" s="0" t="s">
        <v>34</v>
      </c>
      <c r="K1102" s="0" t="str">
        <f aca="false">"3.74 %"</f>
        <v>3.74 %</v>
      </c>
      <c r="O1102" s="0" t="s">
        <v>4275</v>
      </c>
    </row>
    <row r="1103" customFormat="false" ht="13.8" hidden="false" customHeight="false" outlineLevel="0" collapsed="false">
      <c r="A1103" s="0" t="s">
        <v>4276</v>
      </c>
      <c r="B1103" s="0" t="n">
        <v>1</v>
      </c>
      <c r="D1103" s="4" t="s">
        <v>16</v>
      </c>
      <c r="E1103" s="0" t="s">
        <v>17</v>
      </c>
      <c r="F1103" s="4" t="s">
        <v>116</v>
      </c>
      <c r="G1103" s="0" t="n">
        <v>1</v>
      </c>
      <c r="H1103" s="0" t="s">
        <v>76</v>
      </c>
      <c r="J1103" s="0" t="s">
        <v>4277</v>
      </c>
      <c r="K1103" s="0" t="str">
        <f aca="false">"4.53 %"</f>
        <v>4.53 %</v>
      </c>
      <c r="O1103" s="0" t="s">
        <v>4278</v>
      </c>
    </row>
    <row r="1104" customFormat="false" ht="13.8" hidden="false" customHeight="false" outlineLevel="0" collapsed="false">
      <c r="A1104" s="0" t="s">
        <v>4279</v>
      </c>
      <c r="C1104" s="0" t="n">
        <v>1</v>
      </c>
      <c r="D1104" s="0" t="s">
        <v>16</v>
      </c>
      <c r="E1104" s="0" t="s">
        <v>17</v>
      </c>
      <c r="F1104" s="0" t="s">
        <v>18</v>
      </c>
      <c r="G1104" s="0" t="n">
        <v>1</v>
      </c>
      <c r="H1104" s="0" t="s">
        <v>76</v>
      </c>
      <c r="J1104" s="0" t="s">
        <v>77</v>
      </c>
      <c r="K1104" s="0" t="str">
        <f aca="false">"3.65 %"</f>
        <v>3.65 %</v>
      </c>
      <c r="O1104" s="0" t="s">
        <v>4280</v>
      </c>
    </row>
    <row r="1105" customFormat="false" ht="13.8" hidden="false" customHeight="false" outlineLevel="0" collapsed="false">
      <c r="A1105" s="0" t="s">
        <v>4281</v>
      </c>
      <c r="C1105" s="0" t="n">
        <v>1</v>
      </c>
      <c r="D1105" s="0" t="s">
        <v>16</v>
      </c>
      <c r="E1105" s="0" t="s">
        <v>17</v>
      </c>
      <c r="F1105" s="0" t="s">
        <v>116</v>
      </c>
      <c r="G1105" s="0" t="n">
        <v>1</v>
      </c>
      <c r="H1105" s="4" t="s">
        <v>4282</v>
      </c>
      <c r="I1105" s="20" t="s">
        <v>4283</v>
      </c>
      <c r="J1105" s="4" t="s">
        <v>4284</v>
      </c>
      <c r="K1105" s="0" t="str">
        <f aca="false">"1.34 %"</f>
        <v>1.34 %</v>
      </c>
      <c r="O1105" s="0" t="s">
        <v>4285</v>
      </c>
    </row>
    <row r="1106" customFormat="false" ht="13.8" hidden="false" customHeight="false" outlineLevel="0" collapsed="false">
      <c r="A1106" s="0" t="s">
        <v>4286</v>
      </c>
      <c r="B1106" s="0" t="n">
        <v>1</v>
      </c>
      <c r="D1106" s="0" t="s">
        <v>16</v>
      </c>
      <c r="E1106" s="0" t="s">
        <v>17</v>
      </c>
      <c r="F1106" s="0" t="s">
        <v>18</v>
      </c>
      <c r="G1106" s="0" t="n">
        <v>1</v>
      </c>
      <c r="H1106" s="0" t="s">
        <v>117</v>
      </c>
      <c r="J1106" s="0" t="s">
        <v>118</v>
      </c>
      <c r="K1106" s="0" t="str">
        <f aca="false">"3.67 %"</f>
        <v>3.67 %</v>
      </c>
      <c r="O1106" s="0" t="s">
        <v>4287</v>
      </c>
    </row>
    <row r="1107" customFormat="false" ht="13.8" hidden="false" customHeight="false" outlineLevel="0" collapsed="false">
      <c r="A1107" s="0" t="s">
        <v>4288</v>
      </c>
      <c r="B1107" s="0" t="n">
        <v>1</v>
      </c>
      <c r="D1107" s="0" t="s">
        <v>4289</v>
      </c>
      <c r="E1107" s="0" t="s">
        <v>4290</v>
      </c>
      <c r="F1107" s="0" t="s">
        <v>4291</v>
      </c>
      <c r="G1107" s="0" t="n">
        <v>1</v>
      </c>
      <c r="H1107" s="0" t="s">
        <v>66</v>
      </c>
      <c r="J1107" s="0" t="s">
        <v>67</v>
      </c>
      <c r="K1107" s="0" t="str">
        <f aca="false">"4.90 %"</f>
        <v>4.90 %</v>
      </c>
      <c r="L1107" s="0" t="str">
        <f aca="false">"0.92 V"</f>
        <v>0.92 V</v>
      </c>
      <c r="O1107" s="0" t="s">
        <v>4292</v>
      </c>
    </row>
    <row r="1108" customFormat="false" ht="13.8" hidden="false" customHeight="false" outlineLevel="0" collapsed="false">
      <c r="A1108" s="0" t="s">
        <v>4293</v>
      </c>
      <c r="B1108" s="0" t="n">
        <v>1</v>
      </c>
      <c r="D1108" s="4" t="s">
        <v>201</v>
      </c>
      <c r="E1108" s="4" t="s">
        <v>202</v>
      </c>
      <c r="F1108" s="4" t="s">
        <v>422</v>
      </c>
      <c r="G1108" s="0" t="n">
        <v>1</v>
      </c>
      <c r="H1108" s="0" t="s">
        <v>27</v>
      </c>
      <c r="J1108" s="0" t="s">
        <v>28</v>
      </c>
      <c r="K1108" s="0" t="str">
        <f aca="false">"8.67 %"</f>
        <v>8.67 %</v>
      </c>
      <c r="O1108" s="0" t="s">
        <v>4294</v>
      </c>
    </row>
    <row r="1109" customFormat="false" ht="13.8" hidden="false" customHeight="false" outlineLevel="0" collapsed="false">
      <c r="A1109" s="0" t="s">
        <v>4293</v>
      </c>
      <c r="B1109" s="0" t="n">
        <v>1</v>
      </c>
      <c r="D1109" s="4" t="s">
        <v>243</v>
      </c>
      <c r="E1109" s="4" t="s">
        <v>244</v>
      </c>
      <c r="F1109" s="4" t="s">
        <v>245</v>
      </c>
      <c r="G1109" s="0" t="n">
        <v>1</v>
      </c>
      <c r="H1109" s="0" t="s">
        <v>27</v>
      </c>
      <c r="J1109" s="0" t="s">
        <v>28</v>
      </c>
      <c r="K1109" s="0" t="str">
        <f aca="false">"6.18 %"</f>
        <v>6.18 %</v>
      </c>
      <c r="O1109" s="0" t="s">
        <v>4295</v>
      </c>
    </row>
    <row r="1110" customFormat="false" ht="13.8" hidden="false" customHeight="false" outlineLevel="0" collapsed="false">
      <c r="A1110" s="0" t="s">
        <v>4296</v>
      </c>
      <c r="B1110" s="0" t="n">
        <v>1</v>
      </c>
      <c r="D1110" s="0" t="s">
        <v>85</v>
      </c>
      <c r="E1110" s="0" t="s">
        <v>86</v>
      </c>
      <c r="F1110" s="0" t="s">
        <v>87</v>
      </c>
      <c r="G1110" s="0" t="n">
        <v>1</v>
      </c>
      <c r="H1110" s="0" t="s">
        <v>27</v>
      </c>
      <c r="J1110" s="0" t="s">
        <v>28</v>
      </c>
      <c r="K1110" s="0" t="str">
        <f aca="false">"7.74 %"</f>
        <v>7.74 %</v>
      </c>
      <c r="O1110" s="0" t="s">
        <v>4297</v>
      </c>
    </row>
    <row r="1111" customFormat="false" ht="13.8" hidden="false" customHeight="false" outlineLevel="0" collapsed="false">
      <c r="A1111" s="0" t="s">
        <v>4298</v>
      </c>
      <c r="B1111" s="0" t="n">
        <v>1</v>
      </c>
      <c r="D1111" s="0" t="s">
        <v>4299</v>
      </c>
      <c r="E1111" s="0" t="s">
        <v>4300</v>
      </c>
      <c r="F1111" s="0" t="s">
        <v>4301</v>
      </c>
      <c r="G1111" s="0" t="n">
        <v>0</v>
      </c>
      <c r="H1111" s="4" t="s">
        <v>163</v>
      </c>
      <c r="I1111" s="0" t="s">
        <v>164</v>
      </c>
      <c r="J1111" s="4" t="s">
        <v>165</v>
      </c>
      <c r="K1111" s="0" t="str">
        <f aca="false">"7.86 %"</f>
        <v>7.86 %</v>
      </c>
      <c r="L1111" s="0" t="str">
        <f aca="false">"0.96 V"</f>
        <v>0.96 V</v>
      </c>
      <c r="M1111" s="0" t="str">
        <f aca="false">"16.11 mA cm^{-2}"</f>
        <v>16.11 mA cm^{-2}</v>
      </c>
      <c r="O1111" s="0" t="s">
        <v>4302</v>
      </c>
    </row>
    <row r="1112" customFormat="false" ht="13.8" hidden="false" customHeight="false" outlineLevel="0" collapsed="false">
      <c r="A1112" s="0" t="s">
        <v>4303</v>
      </c>
      <c r="B1112" s="0" t="n">
        <v>1</v>
      </c>
      <c r="D1112" s="0" t="s">
        <v>4304</v>
      </c>
      <c r="E1112" s="0" t="s">
        <v>4305</v>
      </c>
      <c r="F1112" s="0" t="s">
        <v>4306</v>
      </c>
      <c r="G1112" s="0" t="n">
        <v>0</v>
      </c>
      <c r="H1112" s="0" t="s">
        <v>3060</v>
      </c>
      <c r="I1112" s="0" t="s">
        <v>3061</v>
      </c>
      <c r="J1112" s="0" t="s">
        <v>4307</v>
      </c>
      <c r="K1112" s="0" t="str">
        <f aca="false">"2.95 %"</f>
        <v>2.95 %</v>
      </c>
      <c r="O1112" s="0" t="s">
        <v>4308</v>
      </c>
    </row>
    <row r="1113" customFormat="false" ht="13.8" hidden="false" customHeight="false" outlineLevel="0" collapsed="false">
      <c r="A1113" s="0" t="s">
        <v>4309</v>
      </c>
      <c r="B1113" s="0" t="n">
        <v>1</v>
      </c>
      <c r="D1113" s="4" t="s">
        <v>124</v>
      </c>
      <c r="E1113" s="0" t="s">
        <v>4310</v>
      </c>
      <c r="F1113" s="4" t="s">
        <v>427</v>
      </c>
      <c r="G1113" s="0" t="n">
        <v>1</v>
      </c>
      <c r="H1113" s="0" t="s">
        <v>33</v>
      </c>
      <c r="J1113" s="0" t="s">
        <v>60</v>
      </c>
      <c r="K1113" s="0" t="str">
        <f aca="false">"1.78 %"</f>
        <v>1.78 %</v>
      </c>
      <c r="L1113" s="0" t="str">
        <f aca="false">"0.79 V"</f>
        <v>0.79 V</v>
      </c>
      <c r="M1113" s="0" t="str">
        <f aca="false">"6.63 mA cm^{-2}"</f>
        <v>6.63 mA cm^{-2}</v>
      </c>
      <c r="N1113" s="0" t="str">
        <f aca="false">"0.34"</f>
        <v>0.34</v>
      </c>
      <c r="O1113" s="0" t="s">
        <v>4311</v>
      </c>
    </row>
    <row r="1114" customFormat="false" ht="13.8" hidden="false" customHeight="false" outlineLevel="0" collapsed="false">
      <c r="A1114" s="0" t="s">
        <v>4312</v>
      </c>
      <c r="B1114" s="0" t="n">
        <v>1</v>
      </c>
      <c r="D1114" s="4" t="s">
        <v>2311</v>
      </c>
      <c r="E1114" s="4" t="s">
        <v>4313</v>
      </c>
      <c r="F1114" s="4" t="s">
        <v>2382</v>
      </c>
      <c r="G1114" s="0" t="n">
        <v>1</v>
      </c>
      <c r="H1114" s="0" t="s">
        <v>27</v>
      </c>
      <c r="J1114" s="0" t="s">
        <v>28</v>
      </c>
      <c r="K1114" s="0" t="str">
        <f aca="false">"3.83 %"</f>
        <v>3.83 %</v>
      </c>
      <c r="O1114" s="0" t="s">
        <v>4314</v>
      </c>
    </row>
    <row r="1115" customFormat="false" ht="13.8" hidden="false" customHeight="false" outlineLevel="0" collapsed="false">
      <c r="A1115" s="0" t="s">
        <v>4312</v>
      </c>
      <c r="B1115" s="0" t="n">
        <v>1</v>
      </c>
      <c r="D1115" s="0" t="s">
        <v>253</v>
      </c>
      <c r="E1115" s="0" t="s">
        <v>4315</v>
      </c>
      <c r="F1115" s="0" t="s">
        <v>258</v>
      </c>
      <c r="G1115" s="0" t="n">
        <v>1</v>
      </c>
      <c r="H1115" s="0" t="s">
        <v>27</v>
      </c>
      <c r="J1115" s="0" t="s">
        <v>28</v>
      </c>
      <c r="K1115" s="9" t="str">
        <f aca="false">"1.60 %"</f>
        <v>1.60 %</v>
      </c>
    </row>
    <row r="1116" customFormat="false" ht="15" hidden="false" customHeight="true" outlineLevel="0" collapsed="false">
      <c r="A1116" s="0" t="s">
        <v>4312</v>
      </c>
      <c r="B1116" s="0" t="n">
        <v>1</v>
      </c>
      <c r="D1116" s="0" t="s">
        <v>128</v>
      </c>
      <c r="E1116" s="0" t="s">
        <v>4316</v>
      </c>
      <c r="F1116" s="0" t="s">
        <v>130</v>
      </c>
      <c r="G1116" s="0" t="n">
        <v>1</v>
      </c>
      <c r="H1116" s="0" t="s">
        <v>27</v>
      </c>
      <c r="J1116" s="0" t="s">
        <v>28</v>
      </c>
      <c r="K1116" s="9" t="n">
        <v>0.0384</v>
      </c>
    </row>
    <row r="1117" customFormat="false" ht="13.8" hidden="false" customHeight="false" outlineLevel="0" collapsed="false">
      <c r="A1117" s="0" t="s">
        <v>4312</v>
      </c>
      <c r="B1117" s="0" t="n">
        <v>1</v>
      </c>
      <c r="D1117" s="0" t="s">
        <v>124</v>
      </c>
      <c r="E1117" s="0" t="s">
        <v>4317</v>
      </c>
      <c r="F1117" s="0" t="s">
        <v>427</v>
      </c>
      <c r="G1117" s="0" t="n">
        <v>1</v>
      </c>
      <c r="H1117" s="0" t="s">
        <v>27</v>
      </c>
      <c r="J1117" s="0" t="s">
        <v>28</v>
      </c>
      <c r="K1117" s="9" t="str">
        <f aca="false">"4.10 %"</f>
        <v>4.10 %</v>
      </c>
    </row>
    <row r="1118" customFormat="false" ht="13.8" hidden="false" customHeight="false" outlineLevel="0" collapsed="false">
      <c r="A1118" s="0" t="s">
        <v>4318</v>
      </c>
      <c r="B1118" s="0" t="n">
        <v>1</v>
      </c>
      <c r="D1118" s="0" t="s">
        <v>208</v>
      </c>
      <c r="E1118" s="0" t="s">
        <v>17</v>
      </c>
      <c r="F1118" s="0" t="s">
        <v>18</v>
      </c>
      <c r="G1118" s="0" t="n">
        <v>1</v>
      </c>
      <c r="H1118" s="0" t="s">
        <v>33</v>
      </c>
      <c r="J1118" s="0" t="s">
        <v>504</v>
      </c>
      <c r="K1118" s="0" t="str">
        <f aca="false">"4.3 %"</f>
        <v>4.3 %</v>
      </c>
      <c r="N1118" s="0" t="str">
        <f aca="false">"64 %"</f>
        <v>64 %</v>
      </c>
      <c r="O1118" s="0" t="s">
        <v>4319</v>
      </c>
    </row>
    <row r="1119" customFormat="false" ht="13.8" hidden="false" customHeight="false" outlineLevel="0" collapsed="false">
      <c r="A1119" s="0" t="s">
        <v>4320</v>
      </c>
      <c r="B1119" s="0" t="n">
        <v>1</v>
      </c>
      <c r="D1119" s="4" t="s">
        <v>4321</v>
      </c>
      <c r="E1119" s="4" t="s">
        <v>4322</v>
      </c>
      <c r="F1119" s="4" t="s">
        <v>4323</v>
      </c>
      <c r="G1119" s="0" t="n">
        <v>1</v>
      </c>
      <c r="H1119" s="0" t="s">
        <v>27</v>
      </c>
      <c r="J1119" s="0" t="s">
        <v>28</v>
      </c>
      <c r="K1119" s="0" t="str">
        <f aca="false">"4.13 %"</f>
        <v>4.13 %</v>
      </c>
      <c r="L1119" s="0" t="str">
        <f aca="false">"0.71 V"</f>
        <v>0.71 V</v>
      </c>
      <c r="M1119" s="0" t="str">
        <f aca="false">"-11.3 mA/cm^{2}"</f>
        <v>-11.3 mA/cm^{2}</v>
      </c>
      <c r="N1119" s="0" t="str">
        <f aca="false">"0.52"</f>
        <v>0.52</v>
      </c>
      <c r="O1119" s="0" t="s">
        <v>4324</v>
      </c>
    </row>
    <row r="1120" customFormat="false" ht="13.8" hidden="false" customHeight="false" outlineLevel="0" collapsed="false">
      <c r="A1120" s="0" t="s">
        <v>4325</v>
      </c>
      <c r="B1120" s="0" t="n">
        <v>1</v>
      </c>
      <c r="D1120" s="0" t="s">
        <v>4326</v>
      </c>
      <c r="E1120" s="0" t="s">
        <v>202</v>
      </c>
      <c r="F1120" s="0" t="s">
        <v>4327</v>
      </c>
      <c r="G1120" s="0" t="n">
        <v>1</v>
      </c>
      <c r="H1120" s="0" t="s">
        <v>27</v>
      </c>
      <c r="J1120" s="4" t="s">
        <v>28</v>
      </c>
      <c r="K1120" s="0" t="str">
        <f aca="false">"9.29 %"</f>
        <v>9.29 %</v>
      </c>
      <c r="O1120" s="0" t="s">
        <v>4328</v>
      </c>
    </row>
    <row r="1121" customFormat="false" ht="13.8" hidden="false" customHeight="false" outlineLevel="0" collapsed="false">
      <c r="A1121" s="0" t="s">
        <v>4329</v>
      </c>
      <c r="B1121" s="0" t="n">
        <v>1</v>
      </c>
      <c r="D1121" s="0" t="s">
        <v>16</v>
      </c>
      <c r="E1121" s="0" t="s">
        <v>17</v>
      </c>
      <c r="F1121" s="0" t="s">
        <v>18</v>
      </c>
      <c r="G1121" s="0" t="n">
        <v>1</v>
      </c>
      <c r="H1121" s="0" t="s">
        <v>33</v>
      </c>
      <c r="J1121" s="0" t="s">
        <v>40</v>
      </c>
      <c r="K1121" s="0" t="str">
        <f aca="false">"2.6 %"</f>
        <v>2.6 %</v>
      </c>
      <c r="O1121" s="0" t="s">
        <v>4330</v>
      </c>
    </row>
    <row r="1122" customFormat="false" ht="13.8" hidden="false" customHeight="false" outlineLevel="0" collapsed="false">
      <c r="A1122" s="0" t="s">
        <v>4331</v>
      </c>
      <c r="B1122" s="0" t="n">
        <v>1</v>
      </c>
      <c r="D1122" s="0" t="s">
        <v>4332</v>
      </c>
      <c r="E1122" s="0" t="s">
        <v>1278</v>
      </c>
      <c r="F1122" s="0" t="s">
        <v>4333</v>
      </c>
      <c r="G1122" s="0" t="n">
        <v>1</v>
      </c>
      <c r="H1122" s="0" t="s">
        <v>33</v>
      </c>
      <c r="J1122" s="0" t="s">
        <v>34</v>
      </c>
      <c r="K1122" s="0" t="str">
        <f aca="false">"1.66 %"</f>
        <v>1.66 %</v>
      </c>
      <c r="O1122" s="0" t="s">
        <v>4334</v>
      </c>
    </row>
    <row r="1123" customFormat="false" ht="13.8" hidden="false" customHeight="false" outlineLevel="0" collapsed="false">
      <c r="A1123" s="0" t="s">
        <v>4331</v>
      </c>
      <c r="B1123" s="0" t="n">
        <v>1</v>
      </c>
      <c r="D1123" s="0" t="s">
        <v>4335</v>
      </c>
      <c r="E1123" s="0" t="s">
        <v>4336</v>
      </c>
      <c r="F1123" s="0" t="s">
        <v>4337</v>
      </c>
      <c r="G1123" s="0" t="n">
        <v>1</v>
      </c>
      <c r="H1123" s="0" t="s">
        <v>33</v>
      </c>
      <c r="J1123" s="0" t="s">
        <v>34</v>
      </c>
      <c r="K1123" s="28" t="n">
        <v>0.0208</v>
      </c>
      <c r="O1123" s="0" t="s">
        <v>4338</v>
      </c>
    </row>
    <row r="1124" customFormat="false" ht="13.8" hidden="false" customHeight="false" outlineLevel="0" collapsed="false">
      <c r="A1124" s="0" t="s">
        <v>4339</v>
      </c>
      <c r="B1124" s="0" t="n">
        <v>1</v>
      </c>
      <c r="D1124" s="4" t="s">
        <v>4340</v>
      </c>
      <c r="E1124" s="0" t="s">
        <v>4341</v>
      </c>
      <c r="F1124" s="4" t="s">
        <v>4342</v>
      </c>
      <c r="G1124" s="0" t="n">
        <v>1</v>
      </c>
      <c r="H1124" s="0" t="s">
        <v>27</v>
      </c>
      <c r="J1124" s="0" t="s">
        <v>28</v>
      </c>
      <c r="K1124" s="0" t="str">
        <f aca="false">"4.33 %"</f>
        <v>4.33 %</v>
      </c>
      <c r="L1124" s="0" t="str">
        <f aca="false">"1.09 V"</f>
        <v>1.09 V</v>
      </c>
      <c r="O1124" s="0" t="s">
        <v>4343</v>
      </c>
    </row>
    <row r="1125" customFormat="false" ht="13.8" hidden="false" customHeight="false" outlineLevel="0" collapsed="false">
      <c r="A1125" s="0" t="s">
        <v>4344</v>
      </c>
      <c r="B1125" s="0" t="n">
        <v>1</v>
      </c>
      <c r="D1125" s="0" t="s">
        <v>16</v>
      </c>
      <c r="E1125" s="0" t="s">
        <v>17</v>
      </c>
      <c r="F1125" s="0" t="s">
        <v>116</v>
      </c>
      <c r="G1125" s="0" t="n">
        <v>1</v>
      </c>
      <c r="H1125" s="4" t="s">
        <v>4345</v>
      </c>
      <c r="I1125" s="0" t="s">
        <v>4346</v>
      </c>
      <c r="J1125" s="4" t="s">
        <v>4347</v>
      </c>
      <c r="K1125" s="0" t="str">
        <f aca="false">"2.92 %"</f>
        <v>2.92 %</v>
      </c>
      <c r="O1125" s="0" t="s">
        <v>4348</v>
      </c>
    </row>
    <row r="1126" customFormat="false" ht="13.8" hidden="false" customHeight="false" outlineLevel="0" collapsed="false">
      <c r="A1126" s="0" t="s">
        <v>4349</v>
      </c>
      <c r="B1126" s="0" t="n">
        <v>1</v>
      </c>
      <c r="D1126" s="0" t="s">
        <v>4350</v>
      </c>
      <c r="E1126" s="0" t="s">
        <v>600</v>
      </c>
      <c r="F1126" s="0" t="s">
        <v>4351</v>
      </c>
      <c r="G1126" s="0" t="n">
        <v>0</v>
      </c>
      <c r="H1126" s="4" t="s">
        <v>4352</v>
      </c>
      <c r="I1126" s="0" t="s">
        <v>4353</v>
      </c>
      <c r="J1126" s="4" t="s">
        <v>4354</v>
      </c>
      <c r="K1126" s="0" t="str">
        <f aca="false">"8.57 %"</f>
        <v>8.57 %</v>
      </c>
      <c r="O1126" s="0" t="s">
        <v>4355</v>
      </c>
    </row>
    <row r="1127" customFormat="false" ht="13.8" hidden="false" customHeight="false" outlineLevel="0" collapsed="false">
      <c r="A1127" s="0" t="s">
        <v>4356</v>
      </c>
      <c r="B1127" s="0" t="n">
        <v>1</v>
      </c>
      <c r="D1127" s="0" t="s">
        <v>16</v>
      </c>
      <c r="E1127" s="0" t="s">
        <v>17</v>
      </c>
      <c r="F1127" s="0" t="s">
        <v>116</v>
      </c>
      <c r="G1127" s="0" t="n">
        <v>1</v>
      </c>
      <c r="H1127" s="0" t="s">
        <v>33</v>
      </c>
      <c r="J1127" s="0" t="s">
        <v>34</v>
      </c>
      <c r="K1127" s="0" t="str">
        <f aca="false">"3.80 %"</f>
        <v>3.80 %</v>
      </c>
      <c r="O1127" s="0" t="s">
        <v>4357</v>
      </c>
    </row>
    <row r="1128" customFormat="false" ht="13.8" hidden="false" customHeight="false" outlineLevel="0" collapsed="false">
      <c r="A1128" s="0" t="s">
        <v>4358</v>
      </c>
      <c r="B1128" s="0" t="n">
        <v>1</v>
      </c>
      <c r="D1128" s="0" t="s">
        <v>63</v>
      </c>
      <c r="E1128" s="4" t="s">
        <v>64</v>
      </c>
      <c r="F1128" s="0" t="s">
        <v>65</v>
      </c>
      <c r="G1128" s="0" t="n">
        <v>1</v>
      </c>
      <c r="H1128" s="0" t="s">
        <v>66</v>
      </c>
      <c r="J1128" s="0" t="s">
        <v>67</v>
      </c>
      <c r="K1128" s="0" t="str">
        <f aca="false">"7.84 %"</f>
        <v>7.84 %</v>
      </c>
      <c r="O1128" s="0" t="s">
        <v>4359</v>
      </c>
    </row>
    <row r="1129" customFormat="false" ht="13.8" hidden="false" customHeight="false" outlineLevel="0" collapsed="false">
      <c r="A1129" s="0" t="s">
        <v>4360</v>
      </c>
      <c r="B1129" s="0" t="n">
        <v>1</v>
      </c>
      <c r="D1129" s="0" t="s">
        <v>109</v>
      </c>
      <c r="E1129" s="4" t="s">
        <v>110</v>
      </c>
      <c r="F1129" s="0" t="s">
        <v>111</v>
      </c>
      <c r="G1129" s="0" t="n">
        <v>1</v>
      </c>
      <c r="H1129" s="0" t="s">
        <v>27</v>
      </c>
      <c r="J1129" s="0" t="s">
        <v>28</v>
      </c>
      <c r="K1129" s="0" t="str">
        <f aca="false">"1.9 %"</f>
        <v>1.9 %</v>
      </c>
      <c r="O1129" s="0" t="s">
        <v>4361</v>
      </c>
    </row>
    <row r="1130" customFormat="false" ht="13.8" hidden="false" customHeight="false" outlineLevel="0" collapsed="false">
      <c r="A1130" s="0" t="s">
        <v>4362</v>
      </c>
      <c r="B1130" s="0" t="n">
        <v>1</v>
      </c>
      <c r="D1130" s="0" t="s">
        <v>2311</v>
      </c>
      <c r="E1130" s="0" t="s">
        <v>4363</v>
      </c>
      <c r="F1130" s="0" t="s">
        <v>2382</v>
      </c>
      <c r="G1130" s="0" t="n">
        <v>1</v>
      </c>
      <c r="H1130" s="0" t="s">
        <v>76</v>
      </c>
      <c r="J1130" s="0" t="s">
        <v>77</v>
      </c>
      <c r="K1130" s="0" t="str">
        <f aca="false">"2.73 %"</f>
        <v>2.73 %</v>
      </c>
      <c r="L1130" s="0" t="str">
        <f aca="false">"0.79 V"</f>
        <v>0.79 V</v>
      </c>
      <c r="M1130" s="0" t="str">
        <f aca="false">"5.97 mA cm^{-2}"</f>
        <v>5.97 mA cm^{-2}</v>
      </c>
      <c r="N1130" s="0" t="str">
        <f aca="false">"0.62"</f>
        <v>0.62</v>
      </c>
      <c r="O1130" s="0" t="s">
        <v>4364</v>
      </c>
    </row>
    <row r="1131" customFormat="false" ht="13.8" hidden="false" customHeight="false" outlineLevel="0" collapsed="false">
      <c r="A1131" s="0" t="s">
        <v>4365</v>
      </c>
      <c r="C1131" s="0" t="n">
        <v>1</v>
      </c>
      <c r="D1131" s="0" t="s">
        <v>16</v>
      </c>
      <c r="E1131" s="0" t="s">
        <v>17</v>
      </c>
      <c r="F1131" s="0" t="s">
        <v>18</v>
      </c>
      <c r="G1131" s="0" t="n">
        <v>1</v>
      </c>
      <c r="H1131" s="0" t="s">
        <v>76</v>
      </c>
      <c r="J1131" s="0" t="s">
        <v>4366</v>
      </c>
      <c r="K1131" s="0" t="str">
        <f aca="false">"3.17 %"</f>
        <v>3.17 %</v>
      </c>
      <c r="L1131" s="0" t="str">
        <f aca="false">"0.62 V"</f>
        <v>0.62 V</v>
      </c>
      <c r="M1131" s="0" t="str">
        <f aca="false">"9.63 mA cm^{-2}"</f>
        <v>9.63 mA cm^{-2}</v>
      </c>
      <c r="N1131" s="0" t="str">
        <f aca="false">"64.90 %"</f>
        <v>64.90 %</v>
      </c>
      <c r="O1131" s="0" t="s">
        <v>4367</v>
      </c>
    </row>
    <row r="1132" customFormat="false" ht="13.8" hidden="false" customHeight="false" outlineLevel="0" collapsed="false">
      <c r="A1132" s="0" t="s">
        <v>4368</v>
      </c>
      <c r="B1132" s="0" t="n">
        <v>1</v>
      </c>
      <c r="D1132" s="0" t="s">
        <v>16</v>
      </c>
      <c r="E1132" s="0" t="s">
        <v>17</v>
      </c>
      <c r="F1132" s="0" t="s">
        <v>116</v>
      </c>
      <c r="G1132" s="0" t="n">
        <v>0</v>
      </c>
      <c r="H1132" s="4" t="s">
        <v>4369</v>
      </c>
      <c r="I1132" s="0" t="s">
        <v>4370</v>
      </c>
      <c r="J1132" s="4" t="s">
        <v>4371</v>
      </c>
      <c r="K1132" s="0" t="str">
        <f aca="false">"3.64 %"</f>
        <v>3.64 %</v>
      </c>
      <c r="O1132" s="0" t="s">
        <v>4372</v>
      </c>
    </row>
    <row r="1133" customFormat="false" ht="13.8" hidden="false" customHeight="false" outlineLevel="0" collapsed="false">
      <c r="A1133" s="0" t="s">
        <v>4373</v>
      </c>
      <c r="B1133" s="0" t="n">
        <v>1</v>
      </c>
      <c r="D1133" s="0" t="s">
        <v>16</v>
      </c>
      <c r="E1133" s="0" t="s">
        <v>17</v>
      </c>
      <c r="F1133" s="0" t="s">
        <v>116</v>
      </c>
      <c r="G1133" s="0" t="n">
        <v>1</v>
      </c>
      <c r="H1133" s="0" t="s">
        <v>33</v>
      </c>
      <c r="J1133" s="0" t="s">
        <v>34</v>
      </c>
      <c r="K1133" s="0" t="str">
        <f aca="false">"4.56 %"</f>
        <v>4.56 %</v>
      </c>
      <c r="O1133" s="0" t="s">
        <v>4374</v>
      </c>
    </row>
    <row r="1134" customFormat="false" ht="13.8" hidden="false" customHeight="false" outlineLevel="0" collapsed="false">
      <c r="A1134" s="0" t="s">
        <v>4375</v>
      </c>
      <c r="C1134" s="0" t="n">
        <v>1</v>
      </c>
      <c r="D1134" s="0" t="s">
        <v>85</v>
      </c>
      <c r="E1134" s="0" t="s">
        <v>86</v>
      </c>
      <c r="F1134" s="0" t="s">
        <v>87</v>
      </c>
      <c r="G1134" s="0" t="n">
        <v>1</v>
      </c>
      <c r="H1134" s="0" t="s">
        <v>27</v>
      </c>
      <c r="J1134" s="0" t="s">
        <v>28</v>
      </c>
      <c r="K1134" s="0" t="str">
        <f aca="false">"10.20 %"</f>
        <v>10.20 %</v>
      </c>
      <c r="O1134" s="0" t="s">
        <v>4376</v>
      </c>
    </row>
    <row r="1135" customFormat="false" ht="13.8" hidden="false" customHeight="false" outlineLevel="0" collapsed="false">
      <c r="A1135" s="0" t="s">
        <v>4377</v>
      </c>
      <c r="B1135" s="0" t="n">
        <v>1</v>
      </c>
      <c r="D1135" s="0" t="s">
        <v>4378</v>
      </c>
      <c r="E1135" s="0" t="s">
        <v>4379</v>
      </c>
      <c r="F1135" s="0" t="s">
        <v>4380</v>
      </c>
      <c r="G1135" s="0" t="n">
        <v>1</v>
      </c>
      <c r="H1135" s="0" t="s">
        <v>27</v>
      </c>
      <c r="J1135" s="0" t="s">
        <v>28</v>
      </c>
      <c r="K1135" s="0" t="str">
        <f aca="false">"2.70 %"</f>
        <v>2.70 %</v>
      </c>
      <c r="L1135" s="0" t="str">
        <f aca="false">"0.70 V"</f>
        <v>0.70 V</v>
      </c>
      <c r="M1135" s="0" t="str">
        <f aca="false">"7.23 mA/cm^{2}"</f>
        <v>7.23 mA/cm^{2}</v>
      </c>
      <c r="N1135" s="0" t="str">
        <f aca="false">"47.08 %"</f>
        <v>47.08 %</v>
      </c>
      <c r="O1135" s="0" t="s">
        <v>4381</v>
      </c>
    </row>
    <row r="1136" customFormat="false" ht="13.8" hidden="false" customHeight="false" outlineLevel="0" collapsed="false">
      <c r="A1136" s="0" t="s">
        <v>4382</v>
      </c>
      <c r="B1136" s="0" t="n">
        <v>1</v>
      </c>
      <c r="D1136" s="0" t="s">
        <v>109</v>
      </c>
      <c r="E1136" s="0" t="s">
        <v>110</v>
      </c>
      <c r="F1136" s="0" t="s">
        <v>111</v>
      </c>
      <c r="G1136" s="0" t="n">
        <v>1</v>
      </c>
      <c r="H1136" s="0" t="s">
        <v>27</v>
      </c>
      <c r="J1136" s="0" t="s">
        <v>28</v>
      </c>
      <c r="K1136" s="0" t="str">
        <f aca="false">"4.82 %"</f>
        <v>4.82 %</v>
      </c>
      <c r="O1136" s="0" t="s">
        <v>4383</v>
      </c>
    </row>
    <row r="1137" customFormat="false" ht="13.8" hidden="false" customHeight="false" outlineLevel="0" collapsed="false">
      <c r="A1137" s="0" t="s">
        <v>4384</v>
      </c>
      <c r="B1137" s="0" t="n">
        <v>1</v>
      </c>
      <c r="D1137" s="0" t="s">
        <v>4385</v>
      </c>
      <c r="E1137" s="0" t="s">
        <v>4386</v>
      </c>
      <c r="F1137" s="0" t="s">
        <v>4387</v>
      </c>
      <c r="G1137" s="0" t="n">
        <v>1</v>
      </c>
      <c r="H1137" s="0" t="s">
        <v>27</v>
      </c>
      <c r="J1137" s="0" t="s">
        <v>40</v>
      </c>
      <c r="K1137" s="0" t="str">
        <f aca="false">"7 %"</f>
        <v>7 %</v>
      </c>
      <c r="O1137" s="0" t="s">
        <v>4388</v>
      </c>
    </row>
    <row r="1138" customFormat="false" ht="13.8" hidden="false" customHeight="false" outlineLevel="0" collapsed="false">
      <c r="A1138" s="0" t="s">
        <v>4389</v>
      </c>
      <c r="B1138" s="0" t="n">
        <v>1</v>
      </c>
      <c r="D1138" s="0" t="s">
        <v>16</v>
      </c>
      <c r="E1138" s="0" t="s">
        <v>17</v>
      </c>
      <c r="F1138" s="0" t="s">
        <v>18</v>
      </c>
      <c r="G1138" s="0" t="n">
        <v>1</v>
      </c>
      <c r="H1138" s="0" t="s">
        <v>33</v>
      </c>
      <c r="J1138" s="0" t="s">
        <v>4390</v>
      </c>
      <c r="K1138" s="0" t="str">
        <f aca="false">"3.6 %"</f>
        <v>3.6 %</v>
      </c>
      <c r="O1138" s="0" t="s">
        <v>4391</v>
      </c>
    </row>
    <row r="1139" customFormat="false" ht="13.8" hidden="false" customHeight="false" outlineLevel="0" collapsed="false">
      <c r="A1139" s="0" t="s">
        <v>4392</v>
      </c>
      <c r="B1139" s="0" t="n">
        <v>1</v>
      </c>
      <c r="D1139" s="4" t="s">
        <v>4393</v>
      </c>
      <c r="E1139" s="0" t="s">
        <v>4394</v>
      </c>
      <c r="F1139" s="4" t="s">
        <v>4395</v>
      </c>
      <c r="G1139" s="0" t="n">
        <v>1</v>
      </c>
      <c r="H1139" s="0" t="s">
        <v>27</v>
      </c>
      <c r="J1139" s="0" t="s">
        <v>28</v>
      </c>
      <c r="K1139" s="0" t="str">
        <f aca="false">"4.1 %"</f>
        <v>4.1 %</v>
      </c>
      <c r="L1139" s="15" t="s">
        <v>4396</v>
      </c>
      <c r="O1139" s="0" t="s">
        <v>4397</v>
      </c>
    </row>
    <row r="1140" customFormat="false" ht="13.8" hidden="false" customHeight="false" outlineLevel="0" collapsed="false">
      <c r="A1140" s="0" t="s">
        <v>4398</v>
      </c>
      <c r="B1140" s="0" t="n">
        <v>1</v>
      </c>
      <c r="D1140" s="0" t="s">
        <v>4399</v>
      </c>
      <c r="E1140" s="0" t="s">
        <v>4400</v>
      </c>
      <c r="F1140" s="0" t="s">
        <v>4401</v>
      </c>
      <c r="G1140" s="0" t="n">
        <v>1</v>
      </c>
      <c r="H1140" s="4" t="s">
        <v>4402</v>
      </c>
      <c r="J1140" s="4" t="s">
        <v>4403</v>
      </c>
      <c r="K1140" s="0" t="str">
        <f aca="false">"2.3 %"</f>
        <v>2.3 %</v>
      </c>
      <c r="O1140" s="0" t="s">
        <v>4404</v>
      </c>
    </row>
    <row r="1141" customFormat="false" ht="15.75" hidden="false" customHeight="false" outlineLevel="0" collapsed="false">
      <c r="A1141" s="0" t="s">
        <v>4405</v>
      </c>
      <c r="B1141" s="0" t="n">
        <v>1</v>
      </c>
      <c r="D1141" s="0" t="s">
        <v>16</v>
      </c>
      <c r="E1141" s="0" t="s">
        <v>17</v>
      </c>
      <c r="F1141" s="0" t="s">
        <v>116</v>
      </c>
      <c r="G1141" s="0" t="n">
        <v>1</v>
      </c>
      <c r="H1141" s="4" t="s">
        <v>4406</v>
      </c>
      <c r="I1141" s="16" t="s">
        <v>4407</v>
      </c>
      <c r="J1141" s="4" t="s">
        <v>4408</v>
      </c>
      <c r="K1141" s="0" t="str">
        <f aca="false">"2.0 %"</f>
        <v>2.0 %</v>
      </c>
      <c r="O1141" s="0" t="s">
        <v>4409</v>
      </c>
    </row>
    <row r="1142" customFormat="false" ht="13.8" hidden="false" customHeight="false" outlineLevel="0" collapsed="false">
      <c r="A1142" s="0" t="s">
        <v>4410</v>
      </c>
      <c r="B1142" s="0" t="n">
        <v>1</v>
      </c>
      <c r="D1142" s="0" t="s">
        <v>208</v>
      </c>
      <c r="E1142" s="0" t="s">
        <v>17</v>
      </c>
      <c r="F1142" s="0" t="s">
        <v>209</v>
      </c>
      <c r="G1142" s="0" t="n">
        <v>1</v>
      </c>
      <c r="H1142" s="0" t="s">
        <v>1017</v>
      </c>
      <c r="J1142" s="0" t="s">
        <v>1832</v>
      </c>
      <c r="K1142" s="0" t="str">
        <f aca="false">"3.19 %"</f>
        <v>3.19 %</v>
      </c>
      <c r="O1142" s="0" t="s">
        <v>4411</v>
      </c>
    </row>
    <row r="1143" customFormat="false" ht="13.8" hidden="false" customHeight="false" outlineLevel="0" collapsed="false">
      <c r="A1143" s="0" t="s">
        <v>4412</v>
      </c>
      <c r="B1143" s="0" t="n">
        <v>1</v>
      </c>
      <c r="D1143" s="4" t="s">
        <v>4413</v>
      </c>
      <c r="E1143" s="0" t="s">
        <v>4414</v>
      </c>
      <c r="F1143" s="4" t="s">
        <v>4415</v>
      </c>
      <c r="G1143" s="0" t="n">
        <v>1</v>
      </c>
      <c r="H1143" s="0" t="s">
        <v>27</v>
      </c>
      <c r="J1143" s="0" t="s">
        <v>28</v>
      </c>
      <c r="K1143" s="0" t="str">
        <f aca="false">"2.9 %"</f>
        <v>2.9 %</v>
      </c>
      <c r="L1143" s="0" t="str">
        <f aca="false">"0.92 V"</f>
        <v>0.92 V</v>
      </c>
      <c r="M1143" s="0" t="str">
        <f aca="false">"4.61 mA/cm^{2}"</f>
        <v>4.61 mA/cm^{2}</v>
      </c>
      <c r="N1143" s="4" t="str">
        <f aca="false">"0.68"</f>
        <v>0.68</v>
      </c>
      <c r="O1143" s="0" t="s">
        <v>4416</v>
      </c>
    </row>
    <row r="1144" customFormat="false" ht="13.8" hidden="false" customHeight="false" outlineLevel="0" collapsed="false">
      <c r="A1144" s="0" t="s">
        <v>4412</v>
      </c>
      <c r="B1144" s="0" t="n">
        <v>1</v>
      </c>
      <c r="D1144" s="4" t="s">
        <v>4417</v>
      </c>
      <c r="E1144" s="0" t="s">
        <v>4418</v>
      </c>
      <c r="F1144" s="4" t="s">
        <v>4419</v>
      </c>
      <c r="G1144" s="0" t="n">
        <v>1</v>
      </c>
      <c r="H1144" s="0" t="s">
        <v>27</v>
      </c>
      <c r="J1144" s="0" t="s">
        <v>28</v>
      </c>
      <c r="K1144" s="0" t="str">
        <f aca="false">"6.19 %"</f>
        <v>6.19 %</v>
      </c>
      <c r="L1144" s="15" t="s">
        <v>3266</v>
      </c>
      <c r="M1144" s="0" t="str">
        <f aca="false">"9.57 mA/cm^{2}"</f>
        <v>9.57 mA/cm^{2}</v>
      </c>
      <c r="N1144" s="4" t="str">
        <f aca="false">"0.70"</f>
        <v>0.70</v>
      </c>
      <c r="O1144" s="0" t="s">
        <v>4420</v>
      </c>
    </row>
    <row r="1145" customFormat="false" ht="13.8" hidden="false" customHeight="false" outlineLevel="0" collapsed="false">
      <c r="A1145" s="0" t="s">
        <v>4412</v>
      </c>
      <c r="B1145" s="0" t="n">
        <v>1</v>
      </c>
      <c r="D1145" s="0" t="s">
        <v>4421</v>
      </c>
      <c r="E1145" s="0" t="s">
        <v>4422</v>
      </c>
      <c r="F1145" s="0" t="s">
        <v>4423</v>
      </c>
      <c r="G1145" s="0" t="n">
        <v>1</v>
      </c>
      <c r="H1145" s="0" t="s">
        <v>27</v>
      </c>
      <c r="J1145" s="0" t="s">
        <v>28</v>
      </c>
      <c r="K1145" s="29" t="n">
        <v>0.072</v>
      </c>
      <c r="L1145" s="0" t="s">
        <v>763</v>
      </c>
      <c r="M1145" s="0" t="s">
        <v>4424</v>
      </c>
      <c r="N1145" s="0" t="str">
        <f aca="false">"0.69"</f>
        <v>0.69</v>
      </c>
    </row>
    <row r="1146" customFormat="false" ht="13.8" hidden="false" customHeight="false" outlineLevel="0" collapsed="false">
      <c r="A1146" s="0" t="s">
        <v>4425</v>
      </c>
      <c r="B1146" s="0" t="n">
        <v>1</v>
      </c>
      <c r="D1146" s="0" t="s">
        <v>16</v>
      </c>
      <c r="E1146" s="0" t="s">
        <v>17</v>
      </c>
      <c r="F1146" s="0" t="s">
        <v>18</v>
      </c>
      <c r="G1146" s="0" t="n">
        <v>1</v>
      </c>
      <c r="H1146" s="0" t="s">
        <v>33</v>
      </c>
      <c r="J1146" s="0" t="s">
        <v>60</v>
      </c>
      <c r="K1146" s="0" t="str">
        <f aca="false">"3.02 %"</f>
        <v>3.02 %</v>
      </c>
      <c r="M1146" s="0" t="str">
        <f aca="false">"11.46 mA/cm^{2}"</f>
        <v>11.46 mA/cm^{2}</v>
      </c>
      <c r="O1146" s="0" t="s">
        <v>4426</v>
      </c>
    </row>
    <row r="1147" customFormat="false" ht="13.8" hidden="false" customHeight="false" outlineLevel="0" collapsed="false">
      <c r="A1147" s="0" t="s">
        <v>4427</v>
      </c>
      <c r="B1147" s="0" t="n">
        <v>1</v>
      </c>
      <c r="D1147" s="0" t="s">
        <v>16</v>
      </c>
      <c r="E1147" s="0" t="s">
        <v>17</v>
      </c>
      <c r="F1147" s="0" t="s">
        <v>18</v>
      </c>
      <c r="G1147" s="0" t="n">
        <v>1</v>
      </c>
      <c r="H1147" s="0" t="s">
        <v>33</v>
      </c>
      <c r="J1147" s="0" t="s">
        <v>40</v>
      </c>
      <c r="K1147" s="0" t="str">
        <f aca="false">"2.36 %"</f>
        <v>2.36 %</v>
      </c>
      <c r="M1147" s="0" t="str">
        <f aca="false">"2.08 mA/cm^{2}"</f>
        <v>2.08 mA/cm^{2}</v>
      </c>
      <c r="O1147" s="0" t="s">
        <v>4428</v>
      </c>
    </row>
    <row r="1148" customFormat="false" ht="13.8" hidden="false" customHeight="false" outlineLevel="0" collapsed="false">
      <c r="A1148" s="0" t="s">
        <v>4429</v>
      </c>
      <c r="B1148" s="0" t="n">
        <v>1</v>
      </c>
      <c r="D1148" s="0" t="s">
        <v>208</v>
      </c>
      <c r="E1148" s="0" t="s">
        <v>17</v>
      </c>
      <c r="F1148" s="0" t="s">
        <v>18</v>
      </c>
      <c r="G1148" s="0" t="n">
        <v>1</v>
      </c>
      <c r="H1148" s="0" t="s">
        <v>33</v>
      </c>
      <c r="J1148" s="4" t="s">
        <v>4430</v>
      </c>
      <c r="K1148" s="0" t="str">
        <f aca="false">"4.3 %"</f>
        <v>4.3 %</v>
      </c>
      <c r="O1148" s="0" t="s">
        <v>4431</v>
      </c>
    </row>
    <row r="1149" customFormat="false" ht="13.8" hidden="false" customHeight="false" outlineLevel="0" collapsed="false">
      <c r="A1149" s="0" t="s">
        <v>4432</v>
      </c>
      <c r="B1149" s="0" t="n">
        <v>1</v>
      </c>
      <c r="D1149" s="4" t="s">
        <v>201</v>
      </c>
      <c r="E1149" s="4" t="s">
        <v>202</v>
      </c>
      <c r="F1149" s="4" t="s">
        <v>422</v>
      </c>
      <c r="G1149" s="0" t="n">
        <v>1</v>
      </c>
      <c r="H1149" s="0" t="s">
        <v>27</v>
      </c>
      <c r="J1149" s="0" t="s">
        <v>28</v>
      </c>
      <c r="K1149" s="0" t="str">
        <f aca="false">"10.24 %"</f>
        <v>10.24 %</v>
      </c>
      <c r="O1149" s="0" t="s">
        <v>4433</v>
      </c>
    </row>
    <row r="1150" customFormat="false" ht="13.8" hidden="false" customHeight="false" outlineLevel="0" collapsed="false">
      <c r="A1150" s="0" t="s">
        <v>4432</v>
      </c>
      <c r="B1150" s="0" t="n">
        <v>1</v>
      </c>
      <c r="D1150" s="0" t="s">
        <v>85</v>
      </c>
      <c r="E1150" s="0" t="s">
        <v>86</v>
      </c>
      <c r="F1150" s="0" t="s">
        <v>87</v>
      </c>
      <c r="G1150" s="0" t="n">
        <v>1</v>
      </c>
      <c r="H1150" s="0" t="s">
        <v>27</v>
      </c>
      <c r="J1150" s="0" t="s">
        <v>28</v>
      </c>
      <c r="K1150" s="9" t="n">
        <v>0.0901</v>
      </c>
    </row>
    <row r="1151" customFormat="false" ht="13.8" hidden="false" customHeight="false" outlineLevel="0" collapsed="false">
      <c r="A1151" s="0" t="s">
        <v>4434</v>
      </c>
      <c r="B1151" s="0" t="n">
        <v>1</v>
      </c>
      <c r="D1151" s="0" t="s">
        <v>16</v>
      </c>
      <c r="E1151" s="0" t="s">
        <v>17</v>
      </c>
      <c r="F1151" s="0" t="s">
        <v>4435</v>
      </c>
      <c r="G1151" s="0" t="n">
        <v>1</v>
      </c>
      <c r="H1151" s="0" t="s">
        <v>66</v>
      </c>
      <c r="J1151" s="0" t="s">
        <v>67</v>
      </c>
      <c r="K1151" s="3" t="n">
        <v>0.0437</v>
      </c>
      <c r="O1151" s="0" t="s">
        <v>4436</v>
      </c>
    </row>
    <row r="1152" customFormat="false" ht="13.8" hidden="false" customHeight="false" outlineLevel="0" collapsed="false">
      <c r="A1152" s="0" t="s">
        <v>4437</v>
      </c>
      <c r="B1152" s="0" t="n">
        <v>1</v>
      </c>
      <c r="D1152" s="4" t="s">
        <v>4438</v>
      </c>
      <c r="E1152" s="0" t="s">
        <v>4439</v>
      </c>
      <c r="F1152" s="4" t="s">
        <v>4440</v>
      </c>
      <c r="G1152" s="0" t="n">
        <v>1</v>
      </c>
      <c r="H1152" s="0" t="s">
        <v>4441</v>
      </c>
      <c r="J1152" s="4" t="s">
        <v>4442</v>
      </c>
      <c r="K1152" s="0" t="str">
        <f aca="false">"1.90 %"</f>
        <v>1.90 %</v>
      </c>
      <c r="L1152" s="0" t="str">
        <f aca="false">"0.72 V"</f>
        <v>0.72 V</v>
      </c>
      <c r="O1152" s="0" t="s">
        <v>4443</v>
      </c>
    </row>
    <row r="1153" customFormat="false" ht="13.8" hidden="false" customHeight="false" outlineLevel="0" collapsed="false">
      <c r="A1153" s="0" t="s">
        <v>4444</v>
      </c>
      <c r="B1153" s="0" t="n">
        <v>1</v>
      </c>
      <c r="D1153" s="0" t="s">
        <v>16</v>
      </c>
      <c r="E1153" s="0" t="s">
        <v>17</v>
      </c>
      <c r="F1153" s="0" t="s">
        <v>116</v>
      </c>
      <c r="G1153" s="0" t="n">
        <v>1</v>
      </c>
      <c r="H1153" s="0" t="s">
        <v>33</v>
      </c>
      <c r="J1153" s="0" t="s">
        <v>34</v>
      </c>
      <c r="K1153" s="0" t="str">
        <f aca="false">"3.45 %"</f>
        <v>3.45 %</v>
      </c>
      <c r="O1153" s="0" t="s">
        <v>4445</v>
      </c>
    </row>
    <row r="1154" customFormat="false" ht="13.8" hidden="false" customHeight="false" outlineLevel="0" collapsed="false">
      <c r="A1154" s="0" t="s">
        <v>4446</v>
      </c>
      <c r="B1154" s="0" t="n">
        <v>1</v>
      </c>
      <c r="D1154" s="4" t="s">
        <v>128</v>
      </c>
      <c r="E1154" s="0" t="s">
        <v>4447</v>
      </c>
      <c r="F1154" s="0" t="s">
        <v>130</v>
      </c>
      <c r="G1154" s="0" t="n">
        <v>1</v>
      </c>
      <c r="H1154" s="0" t="s">
        <v>27</v>
      </c>
      <c r="J1154" s="0" t="s">
        <v>4127</v>
      </c>
      <c r="K1154" s="0" t="str">
        <f aca="false">"7.22 %"</f>
        <v>7.22 %</v>
      </c>
      <c r="O1154" s="0" t="s">
        <v>4448</v>
      </c>
    </row>
    <row r="1155" customFormat="false" ht="13.8" hidden="false" customHeight="false" outlineLevel="0" collapsed="false">
      <c r="A1155" s="0" t="s">
        <v>4446</v>
      </c>
      <c r="B1155" s="0" t="n">
        <v>1</v>
      </c>
      <c r="D1155" s="4" t="s">
        <v>124</v>
      </c>
      <c r="E1155" s="0" t="s">
        <v>4449</v>
      </c>
      <c r="F1155" s="0" t="s">
        <v>427</v>
      </c>
      <c r="G1155" s="0" t="n">
        <v>1</v>
      </c>
      <c r="H1155" s="0" t="s">
        <v>27</v>
      </c>
      <c r="J1155" s="0" t="s">
        <v>4127</v>
      </c>
      <c r="K1155" s="0" t="str">
        <f aca="false">"6.56 %"</f>
        <v>6.56 %</v>
      </c>
      <c r="O1155" s="0" t="s">
        <v>4450</v>
      </c>
    </row>
    <row r="1156" customFormat="false" ht="13.8" hidden="false" customHeight="false" outlineLevel="0" collapsed="false">
      <c r="A1156" s="0" t="s">
        <v>4451</v>
      </c>
      <c r="B1156" s="0" t="n">
        <v>1</v>
      </c>
      <c r="D1156" s="0" t="s">
        <v>4452</v>
      </c>
      <c r="E1156" s="0" t="s">
        <v>4453</v>
      </c>
      <c r="F1156" s="0" t="s">
        <v>4454</v>
      </c>
      <c r="G1156" s="0" t="n">
        <v>1</v>
      </c>
      <c r="H1156" s="0" t="s">
        <v>27</v>
      </c>
      <c r="J1156" s="0" t="s">
        <v>28</v>
      </c>
      <c r="K1156" s="0" t="str">
        <f aca="false">"3.44 %"</f>
        <v>3.44 %</v>
      </c>
      <c r="O1156" s="0" t="s">
        <v>4455</v>
      </c>
    </row>
    <row r="1157" customFormat="false" ht="13.8" hidden="false" customHeight="false" outlineLevel="0" collapsed="false">
      <c r="A1157" s="0" t="s">
        <v>4456</v>
      </c>
      <c r="B1157" s="0" t="n">
        <v>1</v>
      </c>
      <c r="D1157" s="0" t="s">
        <v>4457</v>
      </c>
      <c r="E1157" s="0" t="s">
        <v>4458</v>
      </c>
      <c r="F1157" s="0" t="s">
        <v>4459</v>
      </c>
      <c r="G1157" s="0" t="n">
        <v>1</v>
      </c>
      <c r="H1157" s="0" t="s">
        <v>27</v>
      </c>
      <c r="J1157" s="0" t="s">
        <v>28</v>
      </c>
      <c r="K1157" s="0" t="str">
        <f aca="false">"5.08 %"</f>
        <v>5.08 %</v>
      </c>
      <c r="M1157" s="0" t="str">
        <f aca="false">"9.08 mA/cm^{2}"</f>
        <v>9.08 mA/cm^{2}</v>
      </c>
      <c r="N1157" s="0" t="str">
        <f aca="false">"66.02 %"</f>
        <v>66.02 %</v>
      </c>
      <c r="O1157" s="0" t="s">
        <v>4460</v>
      </c>
    </row>
    <row r="1158" customFormat="false" ht="13.8" hidden="false" customHeight="false" outlineLevel="0" collapsed="false">
      <c r="A1158" s="0" t="s">
        <v>4461</v>
      </c>
      <c r="B1158" s="0" t="n">
        <v>1</v>
      </c>
      <c r="D1158" s="4" t="s">
        <v>4462</v>
      </c>
      <c r="E1158" s="0" t="s">
        <v>4463</v>
      </c>
      <c r="F1158" s="4" t="s">
        <v>4464</v>
      </c>
      <c r="G1158" s="0" t="n">
        <v>1</v>
      </c>
      <c r="H1158" s="0" t="s">
        <v>4441</v>
      </c>
      <c r="J1158" s="4" t="s">
        <v>4442</v>
      </c>
      <c r="K1158" s="0" t="str">
        <f aca="false">"&gt; 5.0 %"</f>
        <v>&gt; 5.0 %</v>
      </c>
      <c r="L1158" s="0" t="str">
        <f aca="false">"~1.0 V"</f>
        <v>~1.0 V</v>
      </c>
      <c r="O1158" s="0" t="s">
        <v>4465</v>
      </c>
    </row>
    <row r="1159" customFormat="false" ht="13.8" hidden="false" customHeight="false" outlineLevel="0" collapsed="false">
      <c r="A1159" s="0" t="s">
        <v>4466</v>
      </c>
      <c r="B1159" s="0" t="n">
        <v>1</v>
      </c>
      <c r="D1159" s="4" t="s">
        <v>4467</v>
      </c>
      <c r="E1159" s="0" t="s">
        <v>4468</v>
      </c>
      <c r="F1159" s="4" t="s">
        <v>4469</v>
      </c>
      <c r="G1159" s="0" t="n">
        <v>1</v>
      </c>
      <c r="H1159" s="0" t="s">
        <v>27</v>
      </c>
      <c r="J1159" s="0" t="s">
        <v>28</v>
      </c>
      <c r="K1159" s="0" t="str">
        <f aca="false">"3.32 %"</f>
        <v>3.32 %</v>
      </c>
      <c r="O1159" s="0" t="s">
        <v>4470</v>
      </c>
    </row>
    <row r="1160" customFormat="false" ht="13.8" hidden="false" customHeight="false" outlineLevel="0" collapsed="false">
      <c r="A1160" s="0" t="s">
        <v>4471</v>
      </c>
      <c r="B1160" s="0" t="n">
        <v>1</v>
      </c>
      <c r="D1160" s="0" t="s">
        <v>4472</v>
      </c>
      <c r="E1160" s="0" t="s">
        <v>4473</v>
      </c>
      <c r="F1160" s="0" t="s">
        <v>4474</v>
      </c>
      <c r="G1160" s="0" t="n">
        <v>1</v>
      </c>
      <c r="H1160" s="0" t="s">
        <v>27</v>
      </c>
      <c r="J1160" s="4" t="s">
        <v>1338</v>
      </c>
      <c r="K1160" s="15" t="s">
        <v>4475</v>
      </c>
      <c r="O1160" s="0" t="s">
        <v>4476</v>
      </c>
    </row>
    <row r="1161" customFormat="false" ht="13.8" hidden="false" customHeight="false" outlineLevel="0" collapsed="false">
      <c r="A1161" s="0" t="s">
        <v>4471</v>
      </c>
      <c r="B1161" s="0" t="n">
        <v>1</v>
      </c>
      <c r="D1161" s="0" t="s">
        <v>4477</v>
      </c>
      <c r="E1161" s="0" t="s">
        <v>4478</v>
      </c>
      <c r="F1161" s="0" t="s">
        <v>4479</v>
      </c>
      <c r="G1161" s="0" t="n">
        <v>1</v>
      </c>
      <c r="H1161" s="0" t="s">
        <v>27</v>
      </c>
      <c r="J1161" s="27" t="s">
        <v>1338</v>
      </c>
      <c r="K1161" s="9" t="str">
        <f aca="false">"1.07 %"</f>
        <v>1.07 %</v>
      </c>
    </row>
    <row r="1162" customFormat="false" ht="13.8" hidden="false" customHeight="false" outlineLevel="0" collapsed="false">
      <c r="A1162" s="0" t="s">
        <v>4480</v>
      </c>
      <c r="B1162" s="0" t="n">
        <v>1</v>
      </c>
      <c r="D1162" s="0" t="s">
        <v>109</v>
      </c>
      <c r="E1162" s="0" t="s">
        <v>110</v>
      </c>
      <c r="F1162" s="0" t="s">
        <v>4481</v>
      </c>
      <c r="G1162" s="0" t="n">
        <v>1</v>
      </c>
      <c r="H1162" s="0" t="s">
        <v>27</v>
      </c>
      <c r="J1162" s="0" t="s">
        <v>4482</v>
      </c>
      <c r="K1162" s="0" t="str">
        <f aca="false">"7.03 %"</f>
        <v>7.03 %</v>
      </c>
      <c r="L1162" s="0" t="s">
        <v>3313</v>
      </c>
      <c r="M1162" s="15" t="s">
        <v>4483</v>
      </c>
      <c r="N1162" s="15"/>
      <c r="O1162" s="0" t="s">
        <v>4484</v>
      </c>
    </row>
    <row r="1163" customFormat="false" ht="13.8" hidden="false" customHeight="false" outlineLevel="0" collapsed="false">
      <c r="A1163" s="0" t="s">
        <v>4485</v>
      </c>
      <c r="C1163" s="0" t="n">
        <v>1</v>
      </c>
      <c r="D1163" s="4" t="s">
        <v>4486</v>
      </c>
      <c r="E1163" s="0" t="s">
        <v>4487</v>
      </c>
      <c r="F1163" s="4" t="s">
        <v>4488</v>
      </c>
      <c r="G1163" s="0" t="n">
        <v>0</v>
      </c>
      <c r="H1163" s="4" t="s">
        <v>4489</v>
      </c>
      <c r="I1163" s="0" t="s">
        <v>164</v>
      </c>
      <c r="J1163" s="4" t="s">
        <v>4490</v>
      </c>
      <c r="K1163" s="0" t="str">
        <f aca="false">"10.9 %"</f>
        <v>10.9 %</v>
      </c>
      <c r="L1163" s="0" t="str">
        <f aca="false">"0.91 V"</f>
        <v>0.91 V</v>
      </c>
      <c r="M1163" s="0" t="str">
        <f aca="false">"17.6 mA cm^{-2}"</f>
        <v>17.6 mA cm^{-2}</v>
      </c>
      <c r="N1163" s="0" t="str">
        <f aca="false">"68.0 %"</f>
        <v>68.0 %</v>
      </c>
      <c r="O1163" s="0" t="s">
        <v>4491</v>
      </c>
    </row>
    <row r="1164" customFormat="false" ht="13.8" hidden="false" customHeight="false" outlineLevel="0" collapsed="false">
      <c r="A1164" s="0" t="s">
        <v>4492</v>
      </c>
      <c r="B1164" s="0" t="n">
        <v>1</v>
      </c>
      <c r="D1164" s="0" t="s">
        <v>4493</v>
      </c>
      <c r="E1164" s="0" t="s">
        <v>17</v>
      </c>
      <c r="F1164" s="0" t="s">
        <v>4494</v>
      </c>
      <c r="G1164" s="0" t="n">
        <v>1</v>
      </c>
      <c r="H1164" s="4" t="s">
        <v>4495</v>
      </c>
      <c r="J1164" s="4" t="s">
        <v>4496</v>
      </c>
      <c r="K1164" s="0" t="str">
        <f aca="false">"5.29 %"</f>
        <v>5.29 %</v>
      </c>
      <c r="O1164" s="0" t="s">
        <v>4497</v>
      </c>
    </row>
    <row r="1165" customFormat="false" ht="13.8" hidden="false" customHeight="false" outlineLevel="0" collapsed="false">
      <c r="A1165" s="0" t="s">
        <v>4498</v>
      </c>
      <c r="B1165" s="0" t="n">
        <v>1</v>
      </c>
      <c r="D1165" s="4" t="s">
        <v>4499</v>
      </c>
      <c r="E1165" s="0" t="s">
        <v>4500</v>
      </c>
      <c r="F1165" s="4" t="s">
        <v>4501</v>
      </c>
      <c r="G1165" s="0" t="n">
        <v>1</v>
      </c>
      <c r="H1165" s="0" t="s">
        <v>4502</v>
      </c>
      <c r="J1165" s="4" t="s">
        <v>4503</v>
      </c>
      <c r="K1165" s="0" t="str">
        <f aca="false">"7.8 %"</f>
        <v>7.8 %</v>
      </c>
      <c r="O1165" s="0" t="s">
        <v>4504</v>
      </c>
    </row>
    <row r="1166" customFormat="false" ht="13.8" hidden="false" customHeight="false" outlineLevel="0" collapsed="false">
      <c r="A1166" s="0" t="s">
        <v>4498</v>
      </c>
      <c r="B1166" s="0" t="n">
        <v>1</v>
      </c>
      <c r="D1166" s="0" t="s">
        <v>4505</v>
      </c>
      <c r="E1166" s="0" t="s">
        <v>4506</v>
      </c>
      <c r="F1166" s="0" t="s">
        <v>4507</v>
      </c>
      <c r="G1166" s="0" t="n">
        <v>1</v>
      </c>
      <c r="H1166" s="0" t="s">
        <v>4502</v>
      </c>
      <c r="J1166" s="27" t="s">
        <v>4503</v>
      </c>
      <c r="K1166" s="9" t="n">
        <v>0.066</v>
      </c>
    </row>
    <row r="1167" customFormat="false" ht="13.8" hidden="false" customHeight="false" outlineLevel="0" collapsed="false">
      <c r="A1167" s="0" t="s">
        <v>4508</v>
      </c>
      <c r="B1167" s="0" t="n">
        <v>1</v>
      </c>
      <c r="D1167" s="0" t="s">
        <v>1330</v>
      </c>
      <c r="E1167" s="0" t="s">
        <v>17</v>
      </c>
      <c r="F1167" s="4" t="s">
        <v>1331</v>
      </c>
      <c r="G1167" s="0" t="n">
        <v>1</v>
      </c>
      <c r="H1167" s="0" t="s">
        <v>33</v>
      </c>
      <c r="J1167" s="0" t="s">
        <v>34</v>
      </c>
      <c r="K1167" s="0" t="str">
        <f aca="false">"2.57 %"</f>
        <v>2.57 %</v>
      </c>
      <c r="O1167" s="0" t="s">
        <v>4509</v>
      </c>
    </row>
    <row r="1168" customFormat="false" ht="13.8" hidden="false" customHeight="false" outlineLevel="0" collapsed="false">
      <c r="A1168" s="0" t="s">
        <v>4510</v>
      </c>
      <c r="B1168" s="0" t="n">
        <v>1</v>
      </c>
      <c r="D1168" s="4" t="s">
        <v>4511</v>
      </c>
      <c r="E1168" s="0" t="s">
        <v>4512</v>
      </c>
      <c r="F1168" s="4" t="s">
        <v>4513</v>
      </c>
      <c r="G1168" s="0" t="n">
        <v>1</v>
      </c>
      <c r="H1168" s="0" t="s">
        <v>27</v>
      </c>
      <c r="J1168" s="0" t="s">
        <v>28</v>
      </c>
      <c r="K1168" s="0" t="str">
        <f aca="false">"5.00 %"</f>
        <v>5.00 %</v>
      </c>
      <c r="L1168" s="15" t="s">
        <v>3266</v>
      </c>
      <c r="O1168" s="0" t="s">
        <v>4514</v>
      </c>
    </row>
    <row r="1169" customFormat="false" ht="13.8" hidden="false" customHeight="false" outlineLevel="0" collapsed="false">
      <c r="A1169" s="0" t="s">
        <v>4510</v>
      </c>
      <c r="B1169" s="0" t="n">
        <v>1</v>
      </c>
      <c r="D1169" s="0" t="s">
        <v>4515</v>
      </c>
      <c r="E1169" s="0" t="s">
        <v>4516</v>
      </c>
      <c r="F1169" s="0" t="s">
        <v>4517</v>
      </c>
      <c r="G1169" s="0" t="n">
        <v>1</v>
      </c>
      <c r="H1169" s="0" t="s">
        <v>27</v>
      </c>
      <c r="J1169" s="0" t="s">
        <v>28</v>
      </c>
      <c r="K1169" s="9" t="n">
        <v>0.0554</v>
      </c>
      <c r="L1169" s="0" t="s">
        <v>428</v>
      </c>
    </row>
    <row r="1170" customFormat="false" ht="13.8" hidden="false" customHeight="false" outlineLevel="0" collapsed="false">
      <c r="A1170" s="0" t="s">
        <v>4518</v>
      </c>
      <c r="B1170" s="0" t="n">
        <v>1</v>
      </c>
      <c r="D1170" s="0" t="s">
        <v>4519</v>
      </c>
      <c r="E1170" s="0" t="s">
        <v>4520</v>
      </c>
      <c r="F1170" s="15" t="s">
        <v>4521</v>
      </c>
      <c r="G1170" s="0" t="n">
        <v>1</v>
      </c>
      <c r="H1170" s="0" t="s">
        <v>66</v>
      </c>
      <c r="J1170" s="0" t="s">
        <v>67</v>
      </c>
      <c r="K1170" s="28" t="n">
        <v>0.0016</v>
      </c>
      <c r="L1170" s="15" t="s">
        <v>4522</v>
      </c>
      <c r="M1170" s="15" t="s">
        <v>4523</v>
      </c>
      <c r="N1170" s="33" t="n">
        <v>0.28</v>
      </c>
      <c r="O1170" s="0" t="s">
        <v>4524</v>
      </c>
    </row>
    <row r="1171" customFormat="false" ht="13.8" hidden="false" customHeight="false" outlineLevel="0" collapsed="false">
      <c r="A1171" s="0" t="s">
        <v>4518</v>
      </c>
      <c r="B1171" s="0" t="n">
        <v>1</v>
      </c>
      <c r="D1171" s="0" t="s">
        <v>4525</v>
      </c>
      <c r="E1171" s="0" t="s">
        <v>4526</v>
      </c>
      <c r="F1171" s="0" t="s">
        <v>4527</v>
      </c>
      <c r="G1171" s="0" t="n">
        <v>1</v>
      </c>
      <c r="H1171" s="0" t="s">
        <v>66</v>
      </c>
      <c r="J1171" s="0" t="s">
        <v>67</v>
      </c>
      <c r="K1171" s="9" t="n">
        <v>0.0027</v>
      </c>
      <c r="L1171" s="0" t="s">
        <v>4528</v>
      </c>
      <c r="M1171" s="0" t="s">
        <v>4529</v>
      </c>
      <c r="N1171" s="14" t="n">
        <v>0.28</v>
      </c>
    </row>
    <row r="1172" customFormat="false" ht="13.8" hidden="false" customHeight="false" outlineLevel="0" collapsed="false">
      <c r="A1172" s="0" t="s">
        <v>4530</v>
      </c>
      <c r="B1172" s="0" t="n">
        <v>1</v>
      </c>
      <c r="D1172" s="0" t="s">
        <v>208</v>
      </c>
      <c r="E1172" s="0" t="s">
        <v>17</v>
      </c>
      <c r="F1172" s="0" t="s">
        <v>101</v>
      </c>
      <c r="G1172" s="0" t="n">
        <v>1</v>
      </c>
      <c r="H1172" s="0" t="s">
        <v>33</v>
      </c>
      <c r="J1172" s="0" t="s">
        <v>34</v>
      </c>
      <c r="K1172" s="0" t="str">
        <f aca="false">"1.51 %"</f>
        <v>1.51 %</v>
      </c>
      <c r="L1172" s="0" t="str">
        <f aca="false">"0.63 V"</f>
        <v>0.63 V</v>
      </c>
      <c r="M1172" s="0" t="str">
        <f aca="false">"4 mA/cm^{2}"</f>
        <v>4 mA/cm^{2}</v>
      </c>
      <c r="O1172" s="0" t="s">
        <v>4531</v>
      </c>
    </row>
    <row r="1173" customFormat="false" ht="13.8" hidden="false" customHeight="false" outlineLevel="0" collapsed="false">
      <c r="A1173" s="0" t="s">
        <v>4532</v>
      </c>
      <c r="B1173" s="0" t="n">
        <v>1</v>
      </c>
      <c r="D1173" s="0" t="s">
        <v>208</v>
      </c>
      <c r="E1173" s="0" t="s">
        <v>17</v>
      </c>
      <c r="F1173" s="0" t="s">
        <v>209</v>
      </c>
      <c r="G1173" s="0" t="n">
        <v>1</v>
      </c>
      <c r="H1173" s="0" t="s">
        <v>4533</v>
      </c>
      <c r="J1173" s="0" t="s">
        <v>40</v>
      </c>
      <c r="K1173" s="0" t="str">
        <f aca="false">"2.37 %"</f>
        <v>2.37 %</v>
      </c>
      <c r="L1173" s="15" t="s">
        <v>4534</v>
      </c>
      <c r="M1173" s="15" t="s">
        <v>4535</v>
      </c>
      <c r="N1173" s="15" t="str">
        <f aca="false">"0.53"</f>
        <v>0.53</v>
      </c>
      <c r="O1173" s="0" t="s">
        <v>4536</v>
      </c>
    </row>
    <row r="1174" customFormat="false" ht="13.8" hidden="false" customHeight="false" outlineLevel="0" collapsed="false">
      <c r="A1174" s="0" t="s">
        <v>4537</v>
      </c>
      <c r="B1174" s="0" t="n">
        <v>1</v>
      </c>
      <c r="D1174" s="4" t="s">
        <v>201</v>
      </c>
      <c r="E1174" s="0" t="s">
        <v>202</v>
      </c>
      <c r="F1174" s="4" t="s">
        <v>422</v>
      </c>
      <c r="G1174" s="0" t="n">
        <v>0</v>
      </c>
      <c r="H1174" s="0" t="s">
        <v>4538</v>
      </c>
      <c r="I1174" s="0" t="s">
        <v>4539</v>
      </c>
      <c r="J1174" s="0" t="s">
        <v>4540</v>
      </c>
      <c r="K1174" s="0" t="str">
        <f aca="false">"1.35 %"</f>
        <v>1.35 %</v>
      </c>
      <c r="O1174" s="0" t="s">
        <v>4541</v>
      </c>
    </row>
    <row r="1175" customFormat="false" ht="13.8" hidden="false" customHeight="false" outlineLevel="0" collapsed="false">
      <c r="A1175" s="0" t="s">
        <v>4542</v>
      </c>
      <c r="B1175" s="0" t="n">
        <v>1</v>
      </c>
      <c r="D1175" s="0" t="s">
        <v>16</v>
      </c>
      <c r="E1175" s="0" t="s">
        <v>17</v>
      </c>
      <c r="F1175" s="0" t="s">
        <v>4543</v>
      </c>
      <c r="G1175" s="0" t="n">
        <v>1</v>
      </c>
      <c r="H1175" s="0" t="s">
        <v>33</v>
      </c>
      <c r="J1175" s="0" t="s">
        <v>34</v>
      </c>
      <c r="K1175" s="0" t="str">
        <f aca="false">"3.94 %"</f>
        <v>3.94 %</v>
      </c>
      <c r="O1175" s="0" t="s">
        <v>4544</v>
      </c>
    </row>
    <row r="1176" customFormat="false" ht="13.8" hidden="false" customHeight="false" outlineLevel="0" collapsed="false">
      <c r="A1176" s="0" t="s">
        <v>4545</v>
      </c>
      <c r="B1176" s="0" t="n">
        <v>1</v>
      </c>
      <c r="D1176" s="0" t="s">
        <v>16</v>
      </c>
      <c r="E1176" s="0" t="s">
        <v>17</v>
      </c>
      <c r="F1176" s="0" t="s">
        <v>709</v>
      </c>
      <c r="G1176" s="0" t="n">
        <v>1</v>
      </c>
      <c r="H1176" s="0" t="s">
        <v>33</v>
      </c>
      <c r="J1176" s="0" t="s">
        <v>34</v>
      </c>
      <c r="K1176" s="0" t="str">
        <f aca="false">"5.3 %"</f>
        <v>5.3 %</v>
      </c>
      <c r="L1176" s="15" t="s">
        <v>4534</v>
      </c>
      <c r="M1176" s="15" t="s">
        <v>4546</v>
      </c>
      <c r="N1176" s="28" t="n">
        <v>0.519</v>
      </c>
      <c r="O1176" s="0" t="s">
        <v>4547</v>
      </c>
    </row>
    <row r="1177" customFormat="false" ht="13.8" hidden="false" customHeight="false" outlineLevel="0" collapsed="false">
      <c r="A1177" s="0" t="s">
        <v>4548</v>
      </c>
      <c r="B1177" s="0" t="n">
        <v>1</v>
      </c>
      <c r="D1177" s="0" t="s">
        <v>4549</v>
      </c>
      <c r="E1177" s="0" t="s">
        <v>4550</v>
      </c>
      <c r="F1177" s="0" t="s">
        <v>4551</v>
      </c>
      <c r="G1177" s="0" t="n">
        <v>1</v>
      </c>
      <c r="H1177" s="0" t="s">
        <v>33</v>
      </c>
      <c r="J1177" s="0" t="s">
        <v>40</v>
      </c>
      <c r="K1177" s="0" t="str">
        <f aca="false">"1.60 %"</f>
        <v>1.60 %</v>
      </c>
      <c r="O1177" s="0" t="s">
        <v>4552</v>
      </c>
    </row>
    <row r="1178" customFormat="false" ht="13.8" hidden="false" customHeight="false" outlineLevel="0" collapsed="false">
      <c r="A1178" s="0" t="s">
        <v>4553</v>
      </c>
      <c r="B1178" s="0" t="n">
        <v>1</v>
      </c>
      <c r="D1178" s="0" t="s">
        <v>208</v>
      </c>
      <c r="E1178" s="0" t="s">
        <v>17</v>
      </c>
      <c r="F1178" s="0" t="s">
        <v>209</v>
      </c>
      <c r="G1178" s="0" t="n">
        <v>1</v>
      </c>
      <c r="H1178" s="0" t="s">
        <v>152</v>
      </c>
      <c r="J1178" s="15" t="s">
        <v>153</v>
      </c>
      <c r="K1178" s="0" t="str">
        <f aca="false">"5.6 %"</f>
        <v>5.6 %</v>
      </c>
      <c r="O1178" s="0" t="s">
        <v>4554</v>
      </c>
    </row>
    <row r="1179" customFormat="false" ht="13.8" hidden="false" customHeight="false" outlineLevel="0" collapsed="false">
      <c r="A1179" s="0" t="s">
        <v>4555</v>
      </c>
      <c r="B1179" s="0" t="n">
        <v>1</v>
      </c>
      <c r="D1179" s="0" t="s">
        <v>201</v>
      </c>
      <c r="E1179" s="0" t="s">
        <v>202</v>
      </c>
      <c r="F1179" s="0" t="s">
        <v>4556</v>
      </c>
      <c r="G1179" s="0" t="n">
        <v>1</v>
      </c>
      <c r="H1179" s="4" t="s">
        <v>4557</v>
      </c>
      <c r="I1179" s="0" t="s">
        <v>4558</v>
      </c>
      <c r="J1179" s="4" t="s">
        <v>4559</v>
      </c>
      <c r="K1179" s="3" t="n">
        <v>0.082</v>
      </c>
      <c r="L1179" s="0" t="str">
        <f aca="false">"0.9 V"</f>
        <v>0.9 V</v>
      </c>
      <c r="M1179" s="0" t="str">
        <f aca="false">"13.5 mA cm^{-2}"</f>
        <v>13.5 mA cm^{-2}</v>
      </c>
      <c r="N1179" s="0" t="str">
        <f aca="false">"0.68"</f>
        <v>0.68</v>
      </c>
      <c r="O1179" s="0" t="s">
        <v>4560</v>
      </c>
    </row>
    <row r="1180" customFormat="false" ht="13.8" hidden="false" customHeight="false" outlineLevel="0" collapsed="false">
      <c r="A1180" s="0" t="s">
        <v>4561</v>
      </c>
      <c r="B1180" s="0" t="n">
        <v>1</v>
      </c>
      <c r="D1180" s="0" t="s">
        <v>599</v>
      </c>
      <c r="E1180" s="0" t="s">
        <v>600</v>
      </c>
      <c r="F1180" s="0" t="s">
        <v>601</v>
      </c>
      <c r="G1180" s="0" t="n">
        <v>0</v>
      </c>
      <c r="H1180" s="4" t="s">
        <v>4562</v>
      </c>
      <c r="I1180" s="0" t="s">
        <v>4563</v>
      </c>
      <c r="J1180" s="4" t="s">
        <v>4564</v>
      </c>
      <c r="K1180" s="0" t="str">
        <f aca="false">"11.48 %"</f>
        <v>11.48 %</v>
      </c>
      <c r="L1180" s="4" t="s">
        <v>3064</v>
      </c>
      <c r="M1180" s="4" t="s">
        <v>4565</v>
      </c>
      <c r="N1180" s="0" t="str">
        <f aca="false">"0.70"</f>
        <v>0.70</v>
      </c>
      <c r="O1180" s="0" t="s">
        <v>4566</v>
      </c>
    </row>
    <row r="1181" customFormat="false" ht="13.8" hidden="false" customHeight="false" outlineLevel="0" collapsed="false">
      <c r="A1181" s="0" t="s">
        <v>4561</v>
      </c>
      <c r="B1181" s="0" t="n">
        <v>1</v>
      </c>
      <c r="D1181" s="0" t="s">
        <v>599</v>
      </c>
      <c r="E1181" s="0" t="s">
        <v>600</v>
      </c>
      <c r="F1181" s="0" t="s">
        <v>601</v>
      </c>
      <c r="G1181" s="0" t="n">
        <v>0</v>
      </c>
      <c r="H1181" s="4" t="s">
        <v>4567</v>
      </c>
      <c r="I1181" s="0" t="s">
        <v>4568</v>
      </c>
      <c r="J1181" s="4" t="s">
        <v>4569</v>
      </c>
      <c r="K1181" s="28" t="n">
        <v>0.1061</v>
      </c>
      <c r="L1181" s="4" t="s">
        <v>4570</v>
      </c>
      <c r="M1181" s="4" t="s">
        <v>4571</v>
      </c>
      <c r="N1181" s="0" t="str">
        <f aca="false">"0.62"</f>
        <v>0.62</v>
      </c>
      <c r="O1181" s="0" t="s">
        <v>4572</v>
      </c>
    </row>
    <row r="1182" customFormat="false" ht="13.8" hidden="false" customHeight="false" outlineLevel="0" collapsed="false">
      <c r="A1182" s="0" t="s">
        <v>4573</v>
      </c>
      <c r="C1182" s="0" t="n">
        <v>1</v>
      </c>
      <c r="D1182" s="0" t="s">
        <v>16</v>
      </c>
      <c r="E1182" s="0" t="s">
        <v>17</v>
      </c>
      <c r="F1182" s="0" t="s">
        <v>116</v>
      </c>
      <c r="G1182" s="0" t="n">
        <v>1</v>
      </c>
      <c r="H1182" s="0" t="s">
        <v>33</v>
      </c>
      <c r="J1182" s="0" t="s">
        <v>34</v>
      </c>
      <c r="K1182" s="0" t="str">
        <f aca="false">"5.17 %"</f>
        <v>5.17 %</v>
      </c>
      <c r="O1182" s="0" t="s">
        <v>4574</v>
      </c>
    </row>
    <row r="1183" customFormat="false" ht="13.8" hidden="false" customHeight="false" outlineLevel="0" collapsed="false">
      <c r="A1183" s="0" t="s">
        <v>4575</v>
      </c>
      <c r="B1183" s="0" t="n">
        <v>1</v>
      </c>
      <c r="D1183" s="0" t="s">
        <v>4576</v>
      </c>
      <c r="E1183" s="0" t="s">
        <v>4577</v>
      </c>
      <c r="F1183" s="0" t="s">
        <v>4578</v>
      </c>
      <c r="G1183" s="0" t="n">
        <v>1</v>
      </c>
      <c r="H1183" s="4" t="s">
        <v>3232</v>
      </c>
      <c r="J1183" s="4" t="s">
        <v>3233</v>
      </c>
      <c r="K1183" s="0" t="str">
        <f aca="false">"1.08 %"</f>
        <v>1.08 %</v>
      </c>
      <c r="L1183" s="0" t="str">
        <f aca="false">"0.91 V"</f>
        <v>0.91 V</v>
      </c>
      <c r="M1183" s="0" t="str">
        <f aca="false">"3.36 mA cm^{-2}"</f>
        <v>3.36 mA cm^{-2}</v>
      </c>
      <c r="O1183" s="0" t="s">
        <v>4579</v>
      </c>
    </row>
    <row r="1184" customFormat="false" ht="15" hidden="false" customHeight="true" outlineLevel="0" collapsed="false">
      <c r="A1184" s="0" t="s">
        <v>4580</v>
      </c>
      <c r="B1184" s="0" t="n">
        <v>1</v>
      </c>
      <c r="D1184" s="0" t="s">
        <v>4581</v>
      </c>
      <c r="E1184" s="26" t="s">
        <v>4582</v>
      </c>
      <c r="F1184" s="0" t="s">
        <v>4583</v>
      </c>
      <c r="G1184" s="0" t="n">
        <v>1</v>
      </c>
      <c r="H1184" s="0" t="s">
        <v>27</v>
      </c>
      <c r="J1184" s="0" t="s">
        <v>28</v>
      </c>
      <c r="K1184" s="0" t="str">
        <f aca="false">"6.1 %"</f>
        <v>6.1 %</v>
      </c>
      <c r="M1184" s="0" t="str">
        <f aca="false">"14.4 mA cm^{-2}"</f>
        <v>14.4 mA cm^{-2}</v>
      </c>
      <c r="N1184" s="0" t="str">
        <f aca="false">"0.62"</f>
        <v>0.62</v>
      </c>
      <c r="O1184" s="0" t="s">
        <v>4584</v>
      </c>
    </row>
    <row r="1185" customFormat="false" ht="15" hidden="false" customHeight="true" outlineLevel="0" collapsed="false">
      <c r="A1185" s="0" t="s">
        <v>4580</v>
      </c>
      <c r="B1185" s="0" t="n">
        <v>1</v>
      </c>
      <c r="D1185" s="0" t="s">
        <v>4581</v>
      </c>
      <c r="E1185" s="26" t="s">
        <v>4582</v>
      </c>
      <c r="F1185" s="0" t="s">
        <v>4583</v>
      </c>
      <c r="G1185" s="0" t="n">
        <v>1</v>
      </c>
      <c r="H1185" s="0" t="s">
        <v>76</v>
      </c>
      <c r="J1185" s="0" t="s">
        <v>77</v>
      </c>
      <c r="K1185" s="0" t="str">
        <f aca="false">"4.1 %"</f>
        <v>4.1 %</v>
      </c>
      <c r="L1185" s="0" t="str">
        <f aca="false">"0.72 V"</f>
        <v>0.72 V</v>
      </c>
      <c r="M1185" s="0" t="str">
        <f aca="false">"11.6 mA cm^{-2}"</f>
        <v>11.6 mA cm^{-2}</v>
      </c>
      <c r="N1185" s="0" t="str">
        <f aca="false">"0.62"</f>
        <v>0.62</v>
      </c>
    </row>
    <row r="1186" customFormat="false" ht="13.8" hidden="false" customHeight="false" outlineLevel="0" collapsed="false">
      <c r="A1186" s="0" t="s">
        <v>4585</v>
      </c>
      <c r="B1186" s="0" t="n">
        <v>1</v>
      </c>
      <c r="D1186" s="0" t="s">
        <v>208</v>
      </c>
      <c r="E1186" s="0" t="s">
        <v>17</v>
      </c>
      <c r="F1186" s="0" t="s">
        <v>209</v>
      </c>
      <c r="G1186" s="0" t="n">
        <v>1</v>
      </c>
      <c r="H1186" s="0" t="s">
        <v>76</v>
      </c>
      <c r="J1186" s="0" t="s">
        <v>77</v>
      </c>
      <c r="K1186" s="0" t="str">
        <f aca="false">"3.62 %"</f>
        <v>3.62 %</v>
      </c>
      <c r="O1186" s="0" t="s">
        <v>4586</v>
      </c>
    </row>
    <row r="1187" customFormat="false" ht="13.8" hidden="false" customHeight="false" outlineLevel="0" collapsed="false">
      <c r="A1187" s="0" t="s">
        <v>4585</v>
      </c>
      <c r="B1187" s="0" t="n">
        <v>1</v>
      </c>
      <c r="D1187" s="0" t="s">
        <v>85</v>
      </c>
      <c r="E1187" s="0" t="s">
        <v>86</v>
      </c>
      <c r="F1187" s="0" t="s">
        <v>87</v>
      </c>
      <c r="G1187" s="0" t="n">
        <v>1</v>
      </c>
      <c r="H1187" s="0" t="s">
        <v>76</v>
      </c>
      <c r="J1187" s="0" t="s">
        <v>77</v>
      </c>
      <c r="K1187" s="0" t="str">
        <f aca="false">"7.95 %"</f>
        <v>7.95 %</v>
      </c>
      <c r="O1187" s="0" t="s">
        <v>4587</v>
      </c>
    </row>
    <row r="1188" customFormat="false" ht="13.8" hidden="false" customHeight="false" outlineLevel="0" collapsed="false">
      <c r="A1188" s="0" t="s">
        <v>4588</v>
      </c>
      <c r="B1188" s="0" t="n">
        <v>1</v>
      </c>
      <c r="D1188" s="4" t="s">
        <v>4589</v>
      </c>
      <c r="E1188" s="0" t="s">
        <v>4590</v>
      </c>
      <c r="F1188" s="4" t="s">
        <v>4591</v>
      </c>
      <c r="G1188" s="0" t="n">
        <v>1</v>
      </c>
      <c r="H1188" s="0" t="s">
        <v>76</v>
      </c>
      <c r="J1188" s="0" t="s">
        <v>77</v>
      </c>
      <c r="K1188" s="0" t="str">
        <f aca="false">"0.77 %"</f>
        <v>0.77 %</v>
      </c>
      <c r="O1188" s="0" t="s">
        <v>4592</v>
      </c>
    </row>
    <row r="1189" customFormat="false" ht="13.8" hidden="false" customHeight="false" outlineLevel="0" collapsed="false">
      <c r="A1189" s="0" t="s">
        <v>4593</v>
      </c>
      <c r="B1189" s="0" t="n">
        <v>1</v>
      </c>
      <c r="D1189" s="0" t="s">
        <v>208</v>
      </c>
      <c r="E1189" s="0" t="s">
        <v>17</v>
      </c>
      <c r="F1189" s="0" t="s">
        <v>209</v>
      </c>
      <c r="G1189" s="0" t="n">
        <v>1</v>
      </c>
      <c r="H1189" s="0" t="s">
        <v>33</v>
      </c>
      <c r="J1189" s="0" t="s">
        <v>34</v>
      </c>
      <c r="K1189" s="0" t="str">
        <f aca="false">"3.30 %"</f>
        <v>3.30 %</v>
      </c>
      <c r="L1189" s="15" t="s">
        <v>4227</v>
      </c>
      <c r="M1189" s="15" t="s">
        <v>4594</v>
      </c>
      <c r="O1189" s="0" t="s">
        <v>4595</v>
      </c>
    </row>
    <row r="1190" customFormat="false" ht="13.8" hidden="false" customHeight="false" outlineLevel="0" collapsed="false">
      <c r="A1190" s="0" t="s">
        <v>4596</v>
      </c>
      <c r="B1190" s="0" t="n">
        <v>1</v>
      </c>
      <c r="D1190" s="0" t="s">
        <v>16</v>
      </c>
      <c r="E1190" s="0" t="s">
        <v>17</v>
      </c>
      <c r="F1190" s="0" t="s">
        <v>18</v>
      </c>
      <c r="G1190" s="0" t="n">
        <v>1</v>
      </c>
      <c r="H1190" s="0" t="s">
        <v>33</v>
      </c>
      <c r="J1190" s="0" t="s">
        <v>60</v>
      </c>
      <c r="K1190" s="0" t="str">
        <f aca="false">"4.00 %"</f>
        <v>4.00 %</v>
      </c>
      <c r="L1190" s="0" t="str">
        <f aca="false">"0.59 V"</f>
        <v>0.59 V</v>
      </c>
      <c r="M1190" s="0" t="str">
        <f aca="false">"10.8 mA cm^{-2}"</f>
        <v>10.8 mA cm^{-2}</v>
      </c>
      <c r="N1190" s="0" t="str">
        <f aca="false">"0.632"</f>
        <v>0.632</v>
      </c>
      <c r="O1190" s="0" t="s">
        <v>4597</v>
      </c>
    </row>
    <row r="1191" customFormat="false" ht="13.8" hidden="false" customHeight="false" outlineLevel="0" collapsed="false">
      <c r="A1191" s="0" t="s">
        <v>4598</v>
      </c>
      <c r="B1191" s="0" t="n">
        <v>1</v>
      </c>
      <c r="D1191" s="4" t="s">
        <v>4599</v>
      </c>
      <c r="E1191" s="0" t="s">
        <v>4600</v>
      </c>
      <c r="F1191" s="4" t="s">
        <v>4601</v>
      </c>
      <c r="G1191" s="0" t="n">
        <v>1</v>
      </c>
      <c r="H1191" s="0" t="s">
        <v>33</v>
      </c>
      <c r="J1191" s="0" t="s">
        <v>40</v>
      </c>
      <c r="K1191" s="0" t="str">
        <f aca="false">"2.40 %"</f>
        <v>2.40 %</v>
      </c>
      <c r="L1191" s="0" t="str">
        <f aca="false">"0.44 V"</f>
        <v>0.44 V</v>
      </c>
      <c r="M1191" s="0" t="str">
        <f aca="false">"10.67 mA/cm^{2}"</f>
        <v>10.67 mA/cm^{2}</v>
      </c>
      <c r="N1191" s="0" t="str">
        <f aca="false">"0.51"</f>
        <v>0.51</v>
      </c>
      <c r="O1191" s="0" t="s">
        <v>4602</v>
      </c>
    </row>
    <row r="1192" customFormat="false" ht="13.8" hidden="false" customHeight="false" outlineLevel="0" collapsed="false">
      <c r="A1192" s="0" t="s">
        <v>4603</v>
      </c>
      <c r="B1192" s="0" t="n">
        <v>1</v>
      </c>
      <c r="D1192" s="0" t="s">
        <v>208</v>
      </c>
      <c r="E1192" s="0" t="s">
        <v>17</v>
      </c>
      <c r="F1192" s="0" t="s">
        <v>209</v>
      </c>
      <c r="G1192" s="0" t="n">
        <v>0</v>
      </c>
      <c r="H1192" s="4" t="s">
        <v>4604</v>
      </c>
      <c r="I1192" s="0" t="s">
        <v>4605</v>
      </c>
      <c r="J1192" s="4" t="s">
        <v>4606</v>
      </c>
      <c r="K1192" s="0" t="str">
        <f aca="false">"2.36 %"</f>
        <v>2.36 %</v>
      </c>
      <c r="O1192" s="0" t="s">
        <v>4607</v>
      </c>
    </row>
    <row r="1193" customFormat="false" ht="15" hidden="false" customHeight="false" outlineLevel="0" collapsed="false">
      <c r="A1193" s="0" t="s">
        <v>4603</v>
      </c>
      <c r="B1193" s="0" t="n">
        <v>1</v>
      </c>
      <c r="D1193" s="0" t="s">
        <v>208</v>
      </c>
      <c r="E1193" s="0" t="s">
        <v>17</v>
      </c>
      <c r="F1193" s="0" t="s">
        <v>209</v>
      </c>
      <c r="G1193" s="0" t="n">
        <v>0</v>
      </c>
      <c r="H1193" s="0" t="s">
        <v>4608</v>
      </c>
      <c r="I1193" s="16" t="s">
        <v>4609</v>
      </c>
      <c r="J1193" s="0" t="s">
        <v>4610</v>
      </c>
      <c r="K1193" s="9" t="n">
        <v>0.0028</v>
      </c>
    </row>
    <row r="1194" customFormat="false" ht="15" hidden="false" customHeight="false" outlineLevel="0" collapsed="false">
      <c r="A1194" s="0" t="s">
        <v>4611</v>
      </c>
      <c r="B1194" s="0" t="n">
        <v>1</v>
      </c>
      <c r="D1194" s="0" t="s">
        <v>201</v>
      </c>
      <c r="E1194" s="0" t="s">
        <v>202</v>
      </c>
      <c r="F1194" s="0" t="s">
        <v>422</v>
      </c>
      <c r="G1194" s="0" t="n">
        <v>0</v>
      </c>
      <c r="H1194" s="0" t="s">
        <v>4612</v>
      </c>
      <c r="I1194" s="6" t="s">
        <v>4613</v>
      </c>
      <c r="J1194" s="0" t="s">
        <v>4614</v>
      </c>
      <c r="K1194" s="0" t="str">
        <f aca="false">"10.10 %"</f>
        <v>10.10 %</v>
      </c>
      <c r="L1194" s="15" t="s">
        <v>4615</v>
      </c>
      <c r="M1194" s="0" t="str">
        <f aca="false">"21.28 mA cm^{-2}"</f>
        <v>21.28 mA cm^{-2}</v>
      </c>
      <c r="N1194" s="0" t="str">
        <f aca="false">"65 %"</f>
        <v>65 %</v>
      </c>
      <c r="O1194" s="0" t="s">
        <v>4616</v>
      </c>
    </row>
    <row r="1195" customFormat="false" ht="13.8" hidden="false" customHeight="false" outlineLevel="0" collapsed="false">
      <c r="A1195" s="0" t="s">
        <v>4617</v>
      </c>
      <c r="B1195" s="0" t="n">
        <v>1</v>
      </c>
      <c r="D1195" s="4" t="s">
        <v>16</v>
      </c>
      <c r="E1195" s="0" t="s">
        <v>17</v>
      </c>
      <c r="F1195" s="4" t="s">
        <v>1323</v>
      </c>
      <c r="G1195" s="0" t="n">
        <v>1</v>
      </c>
      <c r="H1195" s="0" t="s">
        <v>76</v>
      </c>
      <c r="J1195" s="0" t="s">
        <v>77</v>
      </c>
      <c r="K1195" s="0" t="str">
        <f aca="false">"3.77 %"</f>
        <v>3.77 %</v>
      </c>
      <c r="L1195" s="0" t="str">
        <f aca="false">"0.627 V"</f>
        <v>0.627 V</v>
      </c>
      <c r="M1195" s="0" t="str">
        <f aca="false">"10.34 mA/cm^{2}"</f>
        <v>10.34 mA/cm^{2}</v>
      </c>
      <c r="N1195" s="0" t="str">
        <f aca="false">"58.61 %"</f>
        <v>58.61 %</v>
      </c>
      <c r="O1195" s="0" t="s">
        <v>4618</v>
      </c>
    </row>
    <row r="1196" customFormat="false" ht="13.8" hidden="false" customHeight="false" outlineLevel="0" collapsed="false">
      <c r="A1196" s="0" t="s">
        <v>4619</v>
      </c>
      <c r="B1196" s="0" t="n">
        <v>1</v>
      </c>
      <c r="D1196" s="0" t="s">
        <v>16</v>
      </c>
      <c r="E1196" s="0" t="s">
        <v>17</v>
      </c>
      <c r="F1196" s="0" t="s">
        <v>116</v>
      </c>
      <c r="G1196" s="0" t="n">
        <v>1</v>
      </c>
      <c r="H1196" s="0" t="s">
        <v>117</v>
      </c>
      <c r="J1196" s="0" t="s">
        <v>118</v>
      </c>
      <c r="K1196" s="0" t="str">
        <f aca="false">"3.84 %"</f>
        <v>3.84 %</v>
      </c>
      <c r="O1196" s="0" t="s">
        <v>4620</v>
      </c>
    </row>
    <row r="1197" customFormat="false" ht="13.8" hidden="false" customHeight="false" outlineLevel="0" collapsed="false">
      <c r="A1197" s="0" t="s">
        <v>4621</v>
      </c>
      <c r="B1197" s="0" t="n">
        <v>1</v>
      </c>
      <c r="D1197" s="0" t="s">
        <v>4622</v>
      </c>
      <c r="E1197" s="0" t="s">
        <v>4623</v>
      </c>
      <c r="F1197" s="0" t="s">
        <v>4624</v>
      </c>
      <c r="G1197" s="0" t="n">
        <v>1</v>
      </c>
      <c r="H1197" s="0" t="s">
        <v>76</v>
      </c>
      <c r="J1197" s="0" t="s">
        <v>77</v>
      </c>
      <c r="K1197" s="0" t="str">
        <f aca="false">"2.31 %"</f>
        <v>2.31 %</v>
      </c>
      <c r="L1197" s="15" t="str">
        <f aca="false">"0.82 V"</f>
        <v>0.82 V</v>
      </c>
      <c r="M1197" s="0" t="str">
        <f aca="false">"6.43 mA/cm^{2}"</f>
        <v>6.43 mA/cm^{2}</v>
      </c>
      <c r="N1197" s="15" t="str">
        <f aca="false">"44 %"</f>
        <v>44 %</v>
      </c>
      <c r="O1197" s="0" t="s">
        <v>4625</v>
      </c>
    </row>
    <row r="1198" customFormat="false" ht="13.8" hidden="false" customHeight="false" outlineLevel="0" collapsed="false">
      <c r="A1198" s="0" t="s">
        <v>4626</v>
      </c>
      <c r="B1198" s="0" t="n">
        <v>1</v>
      </c>
      <c r="D1198" s="4" t="s">
        <v>4627</v>
      </c>
      <c r="E1198" s="0" t="s">
        <v>244</v>
      </c>
      <c r="F1198" s="4" t="s">
        <v>4628</v>
      </c>
      <c r="G1198" s="0" t="n">
        <v>1</v>
      </c>
      <c r="H1198" s="0" t="s">
        <v>4629</v>
      </c>
      <c r="J1198" s="0" t="s">
        <v>40</v>
      </c>
      <c r="K1198" s="0" t="str">
        <f aca="false">"6.7 %"</f>
        <v>6.7 %</v>
      </c>
      <c r="O1198" s="0" t="s">
        <v>4630</v>
      </c>
    </row>
    <row r="1199" customFormat="false" ht="13.8" hidden="false" customHeight="false" outlineLevel="0" collapsed="false">
      <c r="A1199" s="0" t="s">
        <v>4626</v>
      </c>
      <c r="B1199" s="0" t="n">
        <v>1</v>
      </c>
      <c r="D1199" s="0" t="s">
        <v>208</v>
      </c>
      <c r="E1199" s="0" t="s">
        <v>17</v>
      </c>
      <c r="F1199" s="0" t="s">
        <v>209</v>
      </c>
      <c r="G1199" s="0" t="n">
        <v>1</v>
      </c>
      <c r="H1199" s="0" t="s">
        <v>543</v>
      </c>
      <c r="J1199" s="0" t="s">
        <v>40</v>
      </c>
      <c r="K1199" s="9" t="n">
        <v>0.0429</v>
      </c>
    </row>
    <row r="1200" customFormat="false" ht="13.8" hidden="false" customHeight="false" outlineLevel="0" collapsed="false">
      <c r="A1200" s="0" t="s">
        <v>4631</v>
      </c>
      <c r="B1200" s="0" t="n">
        <v>1</v>
      </c>
      <c r="D1200" s="0" t="s">
        <v>16</v>
      </c>
      <c r="E1200" s="0" t="s">
        <v>17</v>
      </c>
      <c r="F1200" s="0" t="s">
        <v>116</v>
      </c>
      <c r="G1200" s="0" t="n">
        <v>1</v>
      </c>
      <c r="H1200" s="0" t="s">
        <v>33</v>
      </c>
      <c r="J1200" s="0" t="s">
        <v>4632</v>
      </c>
      <c r="K1200" s="0" t="str">
        <f aca="false">"5 %"</f>
        <v>5 %</v>
      </c>
      <c r="O1200" s="0" t="s">
        <v>4633</v>
      </c>
    </row>
    <row r="1201" customFormat="false" ht="13.8" hidden="false" customHeight="false" outlineLevel="0" collapsed="false">
      <c r="A1201" s="0" t="s">
        <v>4634</v>
      </c>
      <c r="B1201" s="0" t="n">
        <v>1</v>
      </c>
      <c r="D1201" s="0" t="s">
        <v>4635</v>
      </c>
      <c r="E1201" s="0" t="s">
        <v>4636</v>
      </c>
      <c r="F1201" s="0" t="s">
        <v>4637</v>
      </c>
      <c r="G1201" s="0" t="n">
        <v>1</v>
      </c>
      <c r="H1201" s="0" t="s">
        <v>76</v>
      </c>
      <c r="J1201" s="0" t="s">
        <v>77</v>
      </c>
      <c r="K1201" s="3" t="n">
        <v>0.025</v>
      </c>
      <c r="O1201" s="0" t="s">
        <v>4638</v>
      </c>
    </row>
    <row r="1202" customFormat="false" ht="13.8" hidden="false" customHeight="false" outlineLevel="0" collapsed="false">
      <c r="A1202" s="0" t="s">
        <v>4639</v>
      </c>
      <c r="B1202" s="0" t="n">
        <v>1</v>
      </c>
      <c r="D1202" s="0" t="s">
        <v>201</v>
      </c>
      <c r="E1202" s="0" t="s">
        <v>202</v>
      </c>
      <c r="F1202" s="0" t="s">
        <v>422</v>
      </c>
      <c r="G1202" s="0" t="n">
        <v>0</v>
      </c>
      <c r="H1202" s="4" t="s">
        <v>4640</v>
      </c>
      <c r="I1202" s="0" t="s">
        <v>4641</v>
      </c>
      <c r="J1202" s="4" t="s">
        <v>4642</v>
      </c>
      <c r="K1202" s="0" t="str">
        <f aca="false">"4.51 %"</f>
        <v>4.51 %</v>
      </c>
      <c r="L1202" s="4" t="s">
        <v>358</v>
      </c>
      <c r="M1202" s="4" t="s">
        <v>4643</v>
      </c>
      <c r="N1202" s="0" t="str">
        <f aca="false">"0.59"</f>
        <v>0.59</v>
      </c>
      <c r="O1202" s="0" t="s">
        <v>4644</v>
      </c>
    </row>
    <row r="1203" customFormat="false" ht="13.8" hidden="false" customHeight="false" outlineLevel="0" collapsed="false">
      <c r="A1203" s="0" t="s">
        <v>4639</v>
      </c>
      <c r="B1203" s="0" t="n">
        <v>1</v>
      </c>
      <c r="D1203" s="0" t="s">
        <v>201</v>
      </c>
      <c r="E1203" s="0" t="s">
        <v>202</v>
      </c>
      <c r="F1203" s="0" t="s">
        <v>422</v>
      </c>
      <c r="G1203" s="0" t="n">
        <v>0</v>
      </c>
      <c r="H1203" s="4" t="s">
        <v>4645</v>
      </c>
      <c r="I1203" s="0" t="s">
        <v>4646</v>
      </c>
      <c r="J1203" s="4" t="s">
        <v>4647</v>
      </c>
      <c r="K1203" s="0" t="str">
        <f aca="false">"2.66 %"</f>
        <v>2.66 %</v>
      </c>
      <c r="L1203" s="15" t="s">
        <v>4648</v>
      </c>
      <c r="M1203" s="15" t="s">
        <v>4649</v>
      </c>
      <c r="N1203" s="0" t="str">
        <f aca="false">"0.55"</f>
        <v>0.55</v>
      </c>
      <c r="O1203" s="0" t="s">
        <v>4650</v>
      </c>
    </row>
    <row r="1204" customFormat="false" ht="13.8" hidden="false" customHeight="false" outlineLevel="0" collapsed="false">
      <c r="A1204" s="0" t="s">
        <v>4651</v>
      </c>
      <c r="C1204" s="0" t="n">
        <v>1</v>
      </c>
      <c r="D1204" s="0" t="s">
        <v>16</v>
      </c>
      <c r="E1204" s="0" t="s">
        <v>17</v>
      </c>
      <c r="F1204" s="0" t="s">
        <v>116</v>
      </c>
      <c r="G1204" s="0" t="n">
        <v>1</v>
      </c>
      <c r="H1204" s="0" t="s">
        <v>33</v>
      </c>
      <c r="J1204" s="0" t="s">
        <v>34</v>
      </c>
      <c r="K1204" s="0" t="str">
        <f aca="false">"2.93 %"</f>
        <v>2.93 %</v>
      </c>
      <c r="O1204" s="0" t="s">
        <v>4652</v>
      </c>
    </row>
    <row r="1205" customFormat="false" ht="13.8" hidden="false" customHeight="false" outlineLevel="0" collapsed="false">
      <c r="A1205" s="0" t="s">
        <v>4653</v>
      </c>
      <c r="B1205" s="0" t="n">
        <v>1</v>
      </c>
      <c r="D1205" s="0" t="s">
        <v>16</v>
      </c>
      <c r="E1205" s="0" t="s">
        <v>17</v>
      </c>
      <c r="F1205" s="0" t="s">
        <v>4435</v>
      </c>
      <c r="G1205" s="0" t="n">
        <v>1</v>
      </c>
      <c r="H1205" s="0" t="s">
        <v>27</v>
      </c>
      <c r="J1205" s="0" t="s">
        <v>4482</v>
      </c>
      <c r="K1205" s="0" t="str">
        <f aca="false">"2.15 %"</f>
        <v>2.15 %</v>
      </c>
      <c r="L1205" s="0" t="str">
        <f aca="false">"0.560 V"</f>
        <v>0.560 V</v>
      </c>
      <c r="M1205" s="0" t="str">
        <f aca="false">"7.20 mA cm^{-2}"</f>
        <v>7.20 mA cm^{-2}</v>
      </c>
      <c r="N1205" s="0" t="str">
        <f aca="false">"0.53"</f>
        <v>0.53</v>
      </c>
      <c r="O1205" s="0" t="s">
        <v>4654</v>
      </c>
    </row>
    <row r="1206" customFormat="false" ht="13.8" hidden="false" customHeight="false" outlineLevel="0" collapsed="false">
      <c r="A1206" s="0" t="s">
        <v>4655</v>
      </c>
      <c r="B1206" s="0" t="n">
        <v>1</v>
      </c>
      <c r="D1206" s="0" t="s">
        <v>4656</v>
      </c>
      <c r="E1206" s="0" t="s">
        <v>4657</v>
      </c>
      <c r="F1206" s="0" t="s">
        <v>4658</v>
      </c>
      <c r="G1206" s="0" t="n">
        <v>1</v>
      </c>
      <c r="H1206" s="0" t="s">
        <v>27</v>
      </c>
      <c r="J1206" s="4" t="s">
        <v>4659</v>
      </c>
      <c r="K1206" s="0" t="str">
        <f aca="false">"6.60 %"</f>
        <v>6.60 %</v>
      </c>
      <c r="O1206" s="0" t="s">
        <v>4660</v>
      </c>
    </row>
    <row r="1207" customFormat="false" ht="13.8" hidden="false" customHeight="false" outlineLevel="0" collapsed="false">
      <c r="A1207" s="0" t="s">
        <v>4661</v>
      </c>
      <c r="B1207" s="0" t="n">
        <v>1</v>
      </c>
      <c r="D1207" s="0" t="s">
        <v>58</v>
      </c>
      <c r="E1207" s="0" t="s">
        <v>17</v>
      </c>
      <c r="F1207" s="4" t="s">
        <v>4272</v>
      </c>
      <c r="G1207" s="0" t="n">
        <v>1</v>
      </c>
      <c r="H1207" s="0" t="s">
        <v>33</v>
      </c>
      <c r="J1207" s="4" t="s">
        <v>1265</v>
      </c>
      <c r="K1207" s="0" t="str">
        <f aca="false">"2.58 %"</f>
        <v>2.58 %</v>
      </c>
      <c r="O1207" s="0" t="s">
        <v>4662</v>
      </c>
    </row>
    <row r="1208" customFormat="false" ht="13.8" hidden="false" customHeight="false" outlineLevel="0" collapsed="false">
      <c r="A1208" s="0" t="s">
        <v>4663</v>
      </c>
      <c r="B1208" s="0" t="n">
        <v>1</v>
      </c>
      <c r="D1208" s="4" t="s">
        <v>4664</v>
      </c>
      <c r="E1208" s="4" t="s">
        <v>4665</v>
      </c>
      <c r="F1208" s="4" t="s">
        <v>4666</v>
      </c>
      <c r="G1208" s="0" t="n">
        <v>0</v>
      </c>
      <c r="H1208" s="4" t="s">
        <v>4667</v>
      </c>
      <c r="I1208" s="4" t="s">
        <v>1544</v>
      </c>
      <c r="J1208" s="4" t="s">
        <v>4668</v>
      </c>
      <c r="K1208" s="0" t="str">
        <f aca="false">"7 %"</f>
        <v>7 %</v>
      </c>
      <c r="O1208" s="0" t="s">
        <v>4669</v>
      </c>
    </row>
    <row r="1209" customFormat="false" ht="13.8" hidden="false" customHeight="false" outlineLevel="0" collapsed="false">
      <c r="A1209" s="0" t="s">
        <v>4670</v>
      </c>
      <c r="B1209" s="0" t="n">
        <v>1</v>
      </c>
      <c r="D1209" s="0" t="s">
        <v>16</v>
      </c>
      <c r="E1209" s="0" t="s">
        <v>17</v>
      </c>
      <c r="F1209" s="0" t="s">
        <v>116</v>
      </c>
      <c r="G1209" s="0" t="n">
        <v>1</v>
      </c>
      <c r="H1209" s="0" t="s">
        <v>33</v>
      </c>
      <c r="J1209" s="0" t="s">
        <v>34</v>
      </c>
      <c r="K1209" s="0" t="str">
        <f aca="false">"4.07 %"</f>
        <v>4.07 %</v>
      </c>
      <c r="O1209" s="0" t="s">
        <v>4671</v>
      </c>
    </row>
    <row r="1210" customFormat="false" ht="13.8" hidden="false" customHeight="false" outlineLevel="0" collapsed="false">
      <c r="A1210" s="0" t="s">
        <v>4672</v>
      </c>
      <c r="B1210" s="0" t="n">
        <v>1</v>
      </c>
      <c r="D1210" s="4" t="s">
        <v>624</v>
      </c>
      <c r="E1210" s="4" t="s">
        <v>3199</v>
      </c>
      <c r="F1210" s="4" t="s">
        <v>625</v>
      </c>
      <c r="G1210" s="0" t="n">
        <v>1</v>
      </c>
      <c r="H1210" s="0" t="s">
        <v>33</v>
      </c>
      <c r="J1210" s="0" t="s">
        <v>34</v>
      </c>
      <c r="K1210" s="0" t="str">
        <f aca="false">"7.45 %"</f>
        <v>7.45 %</v>
      </c>
      <c r="O1210" s="0" t="s">
        <v>4673</v>
      </c>
    </row>
    <row r="1211" customFormat="false" ht="13.8" hidden="false" customHeight="false" outlineLevel="0" collapsed="false">
      <c r="A1211" s="0" t="s">
        <v>4672</v>
      </c>
      <c r="B1211" s="0" t="n">
        <v>1</v>
      </c>
      <c r="D1211" s="0" t="s">
        <v>16</v>
      </c>
      <c r="E1211" s="0" t="s">
        <v>17</v>
      </c>
      <c r="F1211" s="27" t="s">
        <v>116</v>
      </c>
      <c r="G1211" s="0" t="n">
        <v>1</v>
      </c>
      <c r="H1211" s="0" t="s">
        <v>33</v>
      </c>
      <c r="J1211" s="0" t="s">
        <v>34</v>
      </c>
      <c r="K1211" s="9" t="n">
        <v>0.0419</v>
      </c>
    </row>
    <row r="1212" customFormat="false" ht="13.8" hidden="false" customHeight="false" outlineLevel="0" collapsed="false">
      <c r="A1212" s="0" t="s">
        <v>4672</v>
      </c>
      <c r="B1212" s="0" t="n">
        <v>1</v>
      </c>
      <c r="D1212" s="4" t="s">
        <v>16</v>
      </c>
      <c r="E1212" s="0" t="s">
        <v>17</v>
      </c>
      <c r="F1212" s="27" t="s">
        <v>116</v>
      </c>
      <c r="G1212" s="0" t="n">
        <v>1</v>
      </c>
      <c r="H1212" s="0" t="s">
        <v>117</v>
      </c>
      <c r="J1212" s="0" t="s">
        <v>118</v>
      </c>
      <c r="K1212" s="9" t="n">
        <v>0.0707</v>
      </c>
    </row>
    <row r="1213" customFormat="false" ht="13.8" hidden="false" customHeight="false" outlineLevel="0" collapsed="false">
      <c r="A1213" s="0" t="s">
        <v>4674</v>
      </c>
      <c r="B1213" s="0" t="n">
        <v>1</v>
      </c>
      <c r="D1213" s="4" t="s">
        <v>85</v>
      </c>
      <c r="E1213" s="4" t="s">
        <v>86</v>
      </c>
      <c r="F1213" s="4" t="s">
        <v>87</v>
      </c>
      <c r="G1213" s="0" t="n">
        <v>1</v>
      </c>
      <c r="H1213" s="0" t="s">
        <v>27</v>
      </c>
      <c r="J1213" s="0" t="s">
        <v>28</v>
      </c>
      <c r="K1213" s="0" t="str">
        <f aca="false">"8.0 %"</f>
        <v>8.0 %</v>
      </c>
      <c r="O1213" s="0" t="s">
        <v>4675</v>
      </c>
    </row>
    <row r="1214" customFormat="false" ht="13.8" hidden="false" customHeight="false" outlineLevel="0" collapsed="false">
      <c r="A1214" s="0" t="s">
        <v>4674</v>
      </c>
      <c r="B1214" s="0" t="n">
        <v>1</v>
      </c>
      <c r="D1214" s="27" t="s">
        <v>16</v>
      </c>
      <c r="E1214" s="0" t="s">
        <v>17</v>
      </c>
      <c r="F1214" s="27" t="s">
        <v>116</v>
      </c>
      <c r="G1214" s="0" t="n">
        <v>1</v>
      </c>
      <c r="H1214" s="0" t="s">
        <v>27</v>
      </c>
      <c r="J1214" s="0" t="s">
        <v>28</v>
      </c>
      <c r="K1214" s="9" t="n">
        <v>0.046</v>
      </c>
    </row>
    <row r="1215" customFormat="false" ht="13.8" hidden="false" customHeight="false" outlineLevel="0" collapsed="false">
      <c r="A1215" s="0" t="s">
        <v>4674</v>
      </c>
      <c r="B1215" s="0" t="n">
        <v>1</v>
      </c>
      <c r="D1215" s="27" t="s">
        <v>109</v>
      </c>
      <c r="E1215" s="27" t="s">
        <v>4676</v>
      </c>
      <c r="F1215" s="27" t="s">
        <v>111</v>
      </c>
      <c r="G1215" s="0" t="n">
        <v>1</v>
      </c>
      <c r="H1215" s="0" t="s">
        <v>27</v>
      </c>
      <c r="J1215" s="0" t="s">
        <v>28</v>
      </c>
      <c r="K1215" s="9" t="n">
        <v>0.069</v>
      </c>
    </row>
    <row r="1216" customFormat="false" ht="13.8" hidden="false" customHeight="false" outlineLevel="0" collapsed="false">
      <c r="A1216" s="0" t="s">
        <v>4677</v>
      </c>
      <c r="B1216" s="0" t="n">
        <v>1</v>
      </c>
      <c r="D1216" s="0" t="s">
        <v>599</v>
      </c>
      <c r="E1216" s="0" t="s">
        <v>600</v>
      </c>
      <c r="F1216" s="0" t="s">
        <v>601</v>
      </c>
      <c r="G1216" s="0" t="n">
        <v>0</v>
      </c>
      <c r="H1216" s="4" t="s">
        <v>163</v>
      </c>
      <c r="I1216" s="0" t="s">
        <v>164</v>
      </c>
      <c r="J1216" s="4" t="s">
        <v>165</v>
      </c>
      <c r="K1216" s="0" t="str">
        <f aca="false">"10 %"</f>
        <v>10 %</v>
      </c>
      <c r="O1216" s="0" t="s">
        <v>4678</v>
      </c>
    </row>
    <row r="1217" customFormat="false" ht="13.8" hidden="false" customHeight="false" outlineLevel="0" collapsed="false">
      <c r="A1217" s="0" t="s">
        <v>4679</v>
      </c>
      <c r="B1217" s="0" t="n">
        <v>1</v>
      </c>
      <c r="D1217" s="0" t="s">
        <v>4680</v>
      </c>
      <c r="E1217" s="0" t="s">
        <v>4681</v>
      </c>
      <c r="F1217" s="0" t="s">
        <v>4682</v>
      </c>
      <c r="G1217" s="0" t="n">
        <v>0</v>
      </c>
      <c r="H1217" s="0" t="s">
        <v>1712</v>
      </c>
      <c r="I1217" s="0" t="s">
        <v>1713</v>
      </c>
      <c r="J1217" s="0" t="s">
        <v>1714</v>
      </c>
      <c r="K1217" s="0" t="str">
        <f aca="false">"10.60 %"</f>
        <v>10.60 %</v>
      </c>
      <c r="O1217" s="0" t="s">
        <v>4683</v>
      </c>
    </row>
    <row r="1218" customFormat="false" ht="13.8" hidden="false" customHeight="false" outlineLevel="0" collapsed="false">
      <c r="A1218" s="0" t="s">
        <v>4679</v>
      </c>
      <c r="B1218" s="0" t="n">
        <v>1</v>
      </c>
      <c r="D1218" s="0" t="s">
        <v>4684</v>
      </c>
      <c r="E1218" s="0" t="s">
        <v>4685</v>
      </c>
      <c r="F1218" s="0" t="s">
        <v>4686</v>
      </c>
      <c r="G1218" s="0" t="n">
        <v>0</v>
      </c>
      <c r="H1218" s="0" t="s">
        <v>1712</v>
      </c>
      <c r="I1218" s="0" t="s">
        <v>1713</v>
      </c>
      <c r="J1218" s="0" t="s">
        <v>1714</v>
      </c>
      <c r="K1218" s="9" t="n">
        <v>0.0981</v>
      </c>
      <c r="M1218" s="0" t="str">
        <f aca="false">"14.06 mA cm^{-2}"</f>
        <v>14.06 mA cm^{-2}</v>
      </c>
    </row>
    <row r="1219" customFormat="false" ht="18" hidden="false" customHeight="false" outlineLevel="0" collapsed="false">
      <c r="A1219" s="0" t="s">
        <v>4687</v>
      </c>
      <c r="B1219" s="0" t="n">
        <v>1</v>
      </c>
      <c r="D1219" s="4" t="s">
        <v>16</v>
      </c>
      <c r="E1219" s="0" t="s">
        <v>17</v>
      </c>
      <c r="F1219" s="4" t="s">
        <v>116</v>
      </c>
      <c r="G1219" s="0" t="n">
        <v>1</v>
      </c>
      <c r="H1219" s="4" t="s">
        <v>4688</v>
      </c>
      <c r="I1219" s="6" t="s">
        <v>4689</v>
      </c>
      <c r="J1219" s="4" t="s">
        <v>4690</v>
      </c>
      <c r="K1219" s="0" t="str">
        <f aca="false">"3.35 %"</f>
        <v>3.35 %</v>
      </c>
      <c r="O1219" s="0" t="s">
        <v>4691</v>
      </c>
    </row>
    <row r="1220" customFormat="false" ht="14.25" hidden="false" customHeight="false" outlineLevel="0" collapsed="false">
      <c r="A1220" s="0" t="s">
        <v>4687</v>
      </c>
      <c r="B1220" s="0" t="n">
        <v>1</v>
      </c>
      <c r="D1220" s="27" t="s">
        <v>16</v>
      </c>
      <c r="E1220" s="0" t="s">
        <v>17</v>
      </c>
      <c r="F1220" s="27" t="s">
        <v>116</v>
      </c>
      <c r="G1220" s="0" t="n">
        <v>1</v>
      </c>
      <c r="H1220" s="0" t="s">
        <v>4692</v>
      </c>
      <c r="I1220" s="0" t="s">
        <v>4693</v>
      </c>
      <c r="J1220" s="0" t="s">
        <v>4694</v>
      </c>
      <c r="K1220" s="0" t="str">
        <f aca="false">"3.63 %"</f>
        <v>3.63 %</v>
      </c>
    </row>
    <row r="1221" customFormat="false" ht="18" hidden="false" customHeight="false" outlineLevel="0" collapsed="false">
      <c r="A1221" s="0" t="s">
        <v>4687</v>
      </c>
      <c r="B1221" s="0" t="n">
        <v>1</v>
      </c>
      <c r="D1221" s="0" t="s">
        <v>243</v>
      </c>
      <c r="E1221" s="27" t="s">
        <v>244</v>
      </c>
      <c r="F1221" s="0" t="s">
        <v>245</v>
      </c>
      <c r="G1221" s="0" t="n">
        <v>1</v>
      </c>
      <c r="H1221" s="0" t="s">
        <v>4688</v>
      </c>
      <c r="I1221" s="6" t="s">
        <v>4689</v>
      </c>
      <c r="J1221" s="0" t="s">
        <v>4690</v>
      </c>
      <c r="K1221" s="9" t="str">
        <f aca="false">"5.07 %"</f>
        <v>5.07 %</v>
      </c>
    </row>
    <row r="1222" customFormat="false" ht="13.8" hidden="false" customHeight="false" outlineLevel="0" collapsed="false">
      <c r="A1222" s="0" t="s">
        <v>4687</v>
      </c>
      <c r="B1222" s="0" t="n">
        <v>1</v>
      </c>
      <c r="D1222" s="0" t="s">
        <v>243</v>
      </c>
      <c r="E1222" s="27" t="s">
        <v>244</v>
      </c>
      <c r="F1222" s="0" t="s">
        <v>245</v>
      </c>
      <c r="G1222" s="0" t="n">
        <v>1</v>
      </c>
      <c r="H1222" s="0" t="s">
        <v>4692</v>
      </c>
      <c r="I1222" s="0" t="s">
        <v>4693</v>
      </c>
      <c r="J1222" s="0" t="s">
        <v>4694</v>
      </c>
      <c r="K1222" s="9" t="str">
        <f aca="false">"3.00 %"</f>
        <v>3.00 %</v>
      </c>
    </row>
    <row r="1223" customFormat="false" ht="13.8" hidden="false" customHeight="false" outlineLevel="0" collapsed="false">
      <c r="A1223" s="0" t="s">
        <v>4695</v>
      </c>
      <c r="B1223" s="0" t="n">
        <v>1</v>
      </c>
      <c r="D1223" s="0" t="s">
        <v>599</v>
      </c>
      <c r="E1223" s="0" t="s">
        <v>600</v>
      </c>
      <c r="F1223" s="0" t="s">
        <v>601</v>
      </c>
      <c r="G1223" s="0" t="n">
        <v>0</v>
      </c>
      <c r="H1223" s="0" t="s">
        <v>4696</v>
      </c>
      <c r="I1223" s="0" t="s">
        <v>4697</v>
      </c>
      <c r="J1223" s="0" t="s">
        <v>4698</v>
      </c>
      <c r="K1223" s="0" t="str">
        <f aca="false">"8.40 %"</f>
        <v>8.40 %</v>
      </c>
      <c r="L1223" s="15" t="str">
        <f aca="false">"0.95 V"</f>
        <v>0.95 V</v>
      </c>
      <c r="M1223" s="15" t="str">
        <f aca="false">"14.43 mA cm^{-2}"</f>
        <v>14.43 mA cm^{-2}</v>
      </c>
      <c r="O1223" s="0" t="s">
        <v>4699</v>
      </c>
    </row>
    <row r="1224" customFormat="false" ht="13.8" hidden="false" customHeight="false" outlineLevel="0" collapsed="false">
      <c r="A1224" s="0" t="s">
        <v>4700</v>
      </c>
      <c r="B1224" s="0" t="n">
        <v>1</v>
      </c>
      <c r="D1224" s="4" t="s">
        <v>253</v>
      </c>
      <c r="E1224" s="0" t="s">
        <v>4701</v>
      </c>
      <c r="F1224" s="4" t="s">
        <v>258</v>
      </c>
      <c r="G1224" s="0" t="n">
        <v>1</v>
      </c>
      <c r="H1224" s="0" t="s">
        <v>27</v>
      </c>
      <c r="J1224" s="0" t="s">
        <v>28</v>
      </c>
      <c r="K1224" s="0" t="str">
        <f aca="false">"8.30 %"</f>
        <v>8.30 %</v>
      </c>
      <c r="O1224" s="0" t="s">
        <v>4702</v>
      </c>
    </row>
    <row r="1225" customFormat="false" ht="13.8" hidden="false" customHeight="false" outlineLevel="0" collapsed="false">
      <c r="A1225" s="0" t="s">
        <v>4703</v>
      </c>
      <c r="B1225" s="0" t="n">
        <v>1</v>
      </c>
      <c r="D1225" s="0" t="s">
        <v>4704</v>
      </c>
      <c r="E1225" s="0" t="s">
        <v>4705</v>
      </c>
      <c r="F1225" s="0" t="s">
        <v>4706</v>
      </c>
      <c r="G1225" s="0" t="n">
        <v>1</v>
      </c>
      <c r="H1225" s="4" t="s">
        <v>66</v>
      </c>
      <c r="J1225" s="4" t="s">
        <v>67</v>
      </c>
      <c r="K1225" s="0" t="str">
        <f aca="false">"5.48 %"</f>
        <v>5.48 %</v>
      </c>
      <c r="L1225" s="0" t="str">
        <f aca="false">"0.90 V"</f>
        <v>0.90 V</v>
      </c>
      <c r="M1225" s="0" t="str">
        <f aca="false">"7.73 mA cm^{-2}"</f>
        <v>7.73 mA cm^{-2}</v>
      </c>
      <c r="N1225" s="0" t="str">
        <f aca="false">"67 %"</f>
        <v>67 %</v>
      </c>
      <c r="O1225" s="0" t="s">
        <v>4707</v>
      </c>
    </row>
    <row r="1226" customFormat="false" ht="13.8" hidden="false" customHeight="false" outlineLevel="0" collapsed="false">
      <c r="A1226" s="0" t="s">
        <v>4708</v>
      </c>
      <c r="B1226" s="0" t="n">
        <v>1</v>
      </c>
      <c r="D1226" s="0" t="s">
        <v>4709</v>
      </c>
      <c r="E1226" s="0" t="s">
        <v>4710</v>
      </c>
      <c r="F1226" s="0" t="s">
        <v>4711</v>
      </c>
      <c r="G1226" s="0" t="n">
        <v>0</v>
      </c>
      <c r="H1226" s="4" t="s">
        <v>1400</v>
      </c>
      <c r="I1226" s="0" t="s">
        <v>164</v>
      </c>
      <c r="J1226" s="4" t="s">
        <v>1402</v>
      </c>
      <c r="K1226" s="0" t="str">
        <f aca="false">"9.84 %"</f>
        <v>9.84 %</v>
      </c>
      <c r="L1226" s="0" t="str">
        <f aca="false">"0.85 V"</f>
        <v>0.85 V</v>
      </c>
      <c r="M1226" s="0" t="str">
        <f aca="false">"16.63 mA cm^{-2}"</f>
        <v>16.63 mA cm^{-2}</v>
      </c>
      <c r="N1226" s="15" t="str">
        <f aca="false">"70 %"</f>
        <v>70 %</v>
      </c>
      <c r="O1226" s="0" t="s">
        <v>4712</v>
      </c>
    </row>
    <row r="1227" customFormat="false" ht="13.8" hidden="false" customHeight="false" outlineLevel="0" collapsed="false">
      <c r="A1227" s="0" t="s">
        <v>4708</v>
      </c>
      <c r="B1227" s="0" t="n">
        <v>1</v>
      </c>
      <c r="D1227" s="4" t="s">
        <v>4713</v>
      </c>
      <c r="E1227" s="0" t="s">
        <v>4714</v>
      </c>
      <c r="F1227" s="4" t="s">
        <v>4715</v>
      </c>
      <c r="G1227" s="0" t="n">
        <v>0</v>
      </c>
      <c r="H1227" s="4" t="s">
        <v>1400</v>
      </c>
      <c r="I1227" s="0" t="s">
        <v>164</v>
      </c>
      <c r="J1227" s="4" t="s">
        <v>1402</v>
      </c>
      <c r="K1227" s="0" t="str">
        <f aca="false">"10.28 %"</f>
        <v>10.28 %</v>
      </c>
      <c r="L1227" s="15" t="s">
        <v>1383</v>
      </c>
      <c r="M1227" s="0" t="str">
        <f aca="false">"16.57 mA cm^{-2}"</f>
        <v>16.57 mA cm^{-2}</v>
      </c>
      <c r="N1227" s="33" t="n">
        <v>0.66</v>
      </c>
      <c r="O1227" s="0" t="s">
        <v>4716</v>
      </c>
    </row>
    <row r="1228" customFormat="false" ht="13.8" hidden="false" customHeight="false" outlineLevel="0" collapsed="false">
      <c r="A1228" s="0" t="s">
        <v>4708</v>
      </c>
      <c r="B1228" s="0" t="n">
        <v>1</v>
      </c>
      <c r="D1228" s="27" t="s">
        <v>4713</v>
      </c>
      <c r="E1228" s="0" t="s">
        <v>4714</v>
      </c>
      <c r="F1228" s="27" t="s">
        <v>4715</v>
      </c>
      <c r="G1228" s="0" t="n">
        <v>0</v>
      </c>
      <c r="H1228" s="27" t="s">
        <v>163</v>
      </c>
      <c r="I1228" s="0" t="s">
        <v>164</v>
      </c>
      <c r="J1228" s="27" t="s">
        <v>165</v>
      </c>
      <c r="K1228" s="9" t="n">
        <v>0.0946</v>
      </c>
      <c r="L1228" s="27" t="s">
        <v>1383</v>
      </c>
      <c r="M1228" s="27" t="s">
        <v>4717</v>
      </c>
      <c r="N1228" s="39" t="n">
        <v>0.67</v>
      </c>
    </row>
    <row r="1229" customFormat="false" ht="13.8" hidden="false" customHeight="false" outlineLevel="0" collapsed="false">
      <c r="A1229" s="0" t="s">
        <v>4718</v>
      </c>
      <c r="B1229" s="0" t="n">
        <v>1</v>
      </c>
      <c r="D1229" s="0" t="s">
        <v>16</v>
      </c>
      <c r="E1229" s="0" t="s">
        <v>17</v>
      </c>
      <c r="F1229" s="4" t="s">
        <v>18</v>
      </c>
      <c r="G1229" s="0" t="n">
        <v>1</v>
      </c>
      <c r="H1229" s="0" t="s">
        <v>33</v>
      </c>
      <c r="J1229" s="4" t="s">
        <v>1572</v>
      </c>
      <c r="K1229" s="0" t="str">
        <f aca="false">"4.32 %"</f>
        <v>4.32 %</v>
      </c>
      <c r="O1229" s="0" t="s">
        <v>4719</v>
      </c>
    </row>
    <row r="1230" customFormat="false" ht="13.8" hidden="false" customHeight="false" outlineLevel="0" collapsed="false">
      <c r="A1230" s="0" t="s">
        <v>4720</v>
      </c>
      <c r="B1230" s="0" t="n">
        <v>1</v>
      </c>
      <c r="D1230" s="0" t="s">
        <v>16</v>
      </c>
      <c r="E1230" s="0" t="s">
        <v>17</v>
      </c>
      <c r="F1230" s="4" t="s">
        <v>1323</v>
      </c>
      <c r="G1230" s="0" t="n">
        <v>1</v>
      </c>
      <c r="H1230" s="0" t="s">
        <v>33</v>
      </c>
      <c r="J1230" s="4" t="s">
        <v>4721</v>
      </c>
      <c r="K1230" s="0" t="str">
        <f aca="false">"3.1 %"</f>
        <v>3.1 %</v>
      </c>
      <c r="O1230" s="0" t="s">
        <v>4722</v>
      </c>
    </row>
    <row r="1231" customFormat="false" ht="13.8" hidden="false" customHeight="false" outlineLevel="0" collapsed="false">
      <c r="A1231" s="0" t="s">
        <v>4723</v>
      </c>
      <c r="C1231" s="0" t="n">
        <v>1</v>
      </c>
      <c r="D1231" s="0" t="s">
        <v>16</v>
      </c>
      <c r="E1231" s="0" t="s">
        <v>17</v>
      </c>
      <c r="F1231" s="0" t="s">
        <v>18</v>
      </c>
      <c r="G1231" s="0" t="n">
        <v>1</v>
      </c>
      <c r="H1231" s="0" t="s">
        <v>117</v>
      </c>
      <c r="J1231" s="0" t="s">
        <v>118</v>
      </c>
      <c r="K1231" s="0" t="str">
        <f aca="false">"3.79 %"</f>
        <v>3.79 %</v>
      </c>
      <c r="O1231" s="0" t="s">
        <v>4724</v>
      </c>
    </row>
    <row r="1232" customFormat="false" ht="13.8" hidden="false" customHeight="false" outlineLevel="0" collapsed="false">
      <c r="A1232" s="0" t="s">
        <v>4725</v>
      </c>
      <c r="C1232" s="0" t="n">
        <v>1</v>
      </c>
      <c r="D1232" s="0" t="s">
        <v>201</v>
      </c>
      <c r="E1232" s="0" t="s">
        <v>202</v>
      </c>
      <c r="F1232" s="0" t="s">
        <v>422</v>
      </c>
      <c r="G1232" s="0" t="n">
        <v>1</v>
      </c>
      <c r="H1232" s="0" t="s">
        <v>27</v>
      </c>
      <c r="J1232" s="0" t="s">
        <v>28</v>
      </c>
      <c r="K1232" s="0" t="str">
        <f aca="false">"7.33 %"</f>
        <v>7.33 %</v>
      </c>
      <c r="O1232" s="0" t="s">
        <v>4726</v>
      </c>
    </row>
    <row r="1233" customFormat="false" ht="13.8" hidden="false" customHeight="false" outlineLevel="0" collapsed="false">
      <c r="A1233" s="0" t="s">
        <v>4727</v>
      </c>
      <c r="B1233" s="0" t="n">
        <v>1</v>
      </c>
      <c r="D1233" s="4" t="s">
        <v>4728</v>
      </c>
      <c r="E1233" s="0" t="s">
        <v>4729</v>
      </c>
      <c r="F1233" s="4" t="s">
        <v>4730</v>
      </c>
      <c r="G1233" s="0" t="n">
        <v>1</v>
      </c>
      <c r="H1233" s="0" t="s">
        <v>27</v>
      </c>
      <c r="J1233" s="0" t="s">
        <v>28</v>
      </c>
      <c r="K1233" s="15" t="str">
        <f aca="false">"7.18 %"</f>
        <v>7.18 %</v>
      </c>
      <c r="M1233" s="0" t="str">
        <f aca="false">"11.44 mA cm^{-2}"</f>
        <v>11.44 mA cm^{-2}</v>
      </c>
      <c r="O1233" s="0" t="s">
        <v>4731</v>
      </c>
    </row>
    <row r="1234" customFormat="false" ht="13.8" hidden="false" customHeight="false" outlineLevel="0" collapsed="false">
      <c r="A1234" s="0" t="s">
        <v>4732</v>
      </c>
      <c r="B1234" s="0" t="n">
        <v>1</v>
      </c>
      <c r="D1234" s="4" t="s">
        <v>4035</v>
      </c>
      <c r="E1234" s="0" t="s">
        <v>4733</v>
      </c>
      <c r="F1234" s="0" t="s">
        <v>40</v>
      </c>
      <c r="G1234" s="4" t="n">
        <v>1</v>
      </c>
      <c r="H1234" s="4" t="s">
        <v>195</v>
      </c>
      <c r="J1234" s="0" t="s">
        <v>40</v>
      </c>
      <c r="K1234" s="0" t="str">
        <f aca="false">"5.7 %"</f>
        <v>5.7 %</v>
      </c>
      <c r="M1234" s="15" t="s">
        <v>4734</v>
      </c>
      <c r="O1234" s="0" t="s">
        <v>4735</v>
      </c>
    </row>
    <row r="1235" customFormat="false" ht="13.8" hidden="false" customHeight="false" outlineLevel="0" collapsed="false">
      <c r="A1235" s="0" t="s">
        <v>4732</v>
      </c>
      <c r="B1235" s="0" t="n">
        <v>1</v>
      </c>
      <c r="D1235" s="4" t="s">
        <v>4035</v>
      </c>
      <c r="E1235" s="0" t="s">
        <v>4733</v>
      </c>
      <c r="F1235" s="0" t="s">
        <v>40</v>
      </c>
      <c r="G1235" s="0" t="n">
        <v>0</v>
      </c>
      <c r="H1235" s="4" t="s">
        <v>4736</v>
      </c>
      <c r="I1235" s="0" t="s">
        <v>4737</v>
      </c>
      <c r="J1235" s="0" t="s">
        <v>40</v>
      </c>
      <c r="K1235" s="31" t="n">
        <v>0.063</v>
      </c>
      <c r="M1235" s="0" t="str">
        <f aca="false">"17.5 mA cm^{-2}"</f>
        <v>17.5 mA cm^{-2}</v>
      </c>
      <c r="O1235" s="0" t="s">
        <v>4738</v>
      </c>
    </row>
    <row r="1236" customFormat="false" ht="13.8" hidden="false" customHeight="false" outlineLevel="0" collapsed="false">
      <c r="A1236" s="0" t="s">
        <v>4739</v>
      </c>
      <c r="B1236" s="0" t="n">
        <v>1</v>
      </c>
      <c r="D1236" s="4" t="s">
        <v>201</v>
      </c>
      <c r="E1236" s="0" t="s">
        <v>202</v>
      </c>
      <c r="F1236" s="4" t="s">
        <v>422</v>
      </c>
      <c r="G1236" s="0" t="n">
        <v>1</v>
      </c>
      <c r="H1236" s="0" t="s">
        <v>27</v>
      </c>
      <c r="J1236" s="0" t="s">
        <v>28</v>
      </c>
      <c r="K1236" s="0" t="str">
        <f aca="false">"8.3 %"</f>
        <v>8.3 %</v>
      </c>
      <c r="L1236" s="0" t="str">
        <f aca="false">"0.78 V"</f>
        <v>0.78 V</v>
      </c>
      <c r="O1236" s="0" t="s">
        <v>4740</v>
      </c>
    </row>
    <row r="1237" customFormat="false" ht="13.8" hidden="false" customHeight="false" outlineLevel="0" collapsed="false">
      <c r="A1237" s="0" t="s">
        <v>4739</v>
      </c>
      <c r="B1237" s="0" t="n">
        <v>1</v>
      </c>
      <c r="D1237" s="27" t="s">
        <v>4741</v>
      </c>
      <c r="E1237" s="27" t="s">
        <v>4742</v>
      </c>
      <c r="F1237" s="27" t="s">
        <v>4743</v>
      </c>
      <c r="G1237" s="0" t="n">
        <v>1</v>
      </c>
      <c r="H1237" s="0" t="s">
        <v>27</v>
      </c>
      <c r="J1237" s="0" t="s">
        <v>28</v>
      </c>
      <c r="K1237" s="29" t="str">
        <f aca="false">"9.0 %"</f>
        <v>9.0 %</v>
      </c>
      <c r="L1237" s="0" t="s">
        <v>1530</v>
      </c>
    </row>
    <row r="1238" customFormat="false" ht="13.8" hidden="false" customHeight="false" outlineLevel="0" collapsed="false">
      <c r="A1238" s="0" t="s">
        <v>4744</v>
      </c>
      <c r="B1238" s="0" t="n">
        <v>1</v>
      </c>
      <c r="D1238" s="4" t="s">
        <v>253</v>
      </c>
      <c r="E1238" s="0" t="s">
        <v>4745</v>
      </c>
      <c r="F1238" s="0" t="s">
        <v>40</v>
      </c>
      <c r="G1238" s="0" t="n">
        <v>1</v>
      </c>
      <c r="H1238" s="0" t="s">
        <v>76</v>
      </c>
      <c r="J1238" s="0" t="s">
        <v>77</v>
      </c>
      <c r="K1238" s="0" t="str">
        <f aca="false">"5.29 %"</f>
        <v>5.29 %</v>
      </c>
      <c r="O1238" s="0" t="s">
        <v>4746</v>
      </c>
    </row>
    <row r="1239" customFormat="false" ht="13.8" hidden="false" customHeight="false" outlineLevel="0" collapsed="false">
      <c r="A1239" s="0" t="s">
        <v>4747</v>
      </c>
      <c r="B1239" s="0" t="n">
        <v>1</v>
      </c>
      <c r="D1239" s="0" t="s">
        <v>4748</v>
      </c>
      <c r="E1239" s="0" t="s">
        <v>86</v>
      </c>
      <c r="F1239" s="4" t="s">
        <v>4749</v>
      </c>
      <c r="G1239" s="0" t="n">
        <v>1</v>
      </c>
      <c r="H1239" s="0" t="s">
        <v>27</v>
      </c>
      <c r="J1239" s="0" t="s">
        <v>28</v>
      </c>
      <c r="K1239" s="0" t="str">
        <f aca="false">"7.3 %"</f>
        <v>7.3 %</v>
      </c>
      <c r="O1239" s="0" t="s">
        <v>4750</v>
      </c>
    </row>
    <row r="1240" customFormat="false" ht="13.8" hidden="false" customHeight="false" outlineLevel="0" collapsed="false">
      <c r="A1240" s="0" t="s">
        <v>4751</v>
      </c>
      <c r="B1240" s="0" t="n">
        <v>1</v>
      </c>
      <c r="D1240" s="4" t="s">
        <v>16</v>
      </c>
      <c r="E1240" s="4" t="s">
        <v>17</v>
      </c>
      <c r="F1240" s="4" t="s">
        <v>1323</v>
      </c>
      <c r="G1240" s="0" t="n">
        <v>1</v>
      </c>
      <c r="H1240" s="0" t="s">
        <v>33</v>
      </c>
      <c r="J1240" s="4" t="s">
        <v>4752</v>
      </c>
      <c r="K1240" s="0" t="str">
        <f aca="false">"1.3 %"</f>
        <v>1.3 %</v>
      </c>
      <c r="O1240" s="0" t="s">
        <v>4753</v>
      </c>
    </row>
    <row r="1241" customFormat="false" ht="13.8" hidden="false" customHeight="false" outlineLevel="0" collapsed="false">
      <c r="A1241" s="0" t="s">
        <v>4754</v>
      </c>
      <c r="B1241" s="0" t="n">
        <v>1</v>
      </c>
      <c r="D1241" s="0" t="s">
        <v>4755</v>
      </c>
      <c r="E1241" s="4" t="s">
        <v>4756</v>
      </c>
      <c r="F1241" s="4" t="s">
        <v>4757</v>
      </c>
      <c r="G1241" s="0" t="n">
        <v>1</v>
      </c>
      <c r="H1241" s="0" t="s">
        <v>27</v>
      </c>
      <c r="J1241" s="0" t="s">
        <v>28</v>
      </c>
      <c r="K1241" s="35" t="n">
        <v>0.102</v>
      </c>
      <c r="M1241" s="0" t="str">
        <f aca="false">"17.99 mA cm^{-2}"</f>
        <v>17.99 mA cm^{-2}</v>
      </c>
      <c r="O1241" s="0" t="s">
        <v>4758</v>
      </c>
    </row>
    <row r="1242" customFormat="false" ht="13.8" hidden="false" customHeight="false" outlineLevel="0" collapsed="false">
      <c r="A1242" s="0" t="s">
        <v>4754</v>
      </c>
      <c r="B1242" s="0" t="n">
        <v>1</v>
      </c>
      <c r="D1242" s="0" t="s">
        <v>3787</v>
      </c>
      <c r="E1242" s="0" t="s">
        <v>3788</v>
      </c>
      <c r="F1242" s="0" t="s">
        <v>3789</v>
      </c>
      <c r="G1242" s="0" t="n">
        <v>1</v>
      </c>
      <c r="H1242" s="0" t="s">
        <v>27</v>
      </c>
      <c r="J1242" s="0" t="s">
        <v>28</v>
      </c>
      <c r="K1242" s="9" t="n">
        <v>0.0974</v>
      </c>
    </row>
    <row r="1243" customFormat="false" ht="13.8" hidden="false" customHeight="false" outlineLevel="0" collapsed="false">
      <c r="A1243" s="0" t="s">
        <v>4759</v>
      </c>
      <c r="B1243" s="0" t="n">
        <v>1</v>
      </c>
      <c r="D1243" s="0" t="s">
        <v>201</v>
      </c>
      <c r="E1243" s="0" t="s">
        <v>202</v>
      </c>
      <c r="F1243" s="0" t="s">
        <v>422</v>
      </c>
      <c r="G1243" s="0" t="n">
        <v>0</v>
      </c>
      <c r="H1243" s="4" t="s">
        <v>4760</v>
      </c>
      <c r="I1243" s="0" t="s">
        <v>4761</v>
      </c>
      <c r="J1243" s="4" t="s">
        <v>4762</v>
      </c>
      <c r="K1243" s="0" t="str">
        <f aca="false">"6.23 %"</f>
        <v>6.23 %</v>
      </c>
      <c r="O1243" s="0" t="s">
        <v>4763</v>
      </c>
    </row>
    <row r="1244" customFormat="false" ht="13.8" hidden="false" customHeight="false" outlineLevel="0" collapsed="false">
      <c r="A1244" s="0" t="s">
        <v>4759</v>
      </c>
      <c r="B1244" s="0" t="n">
        <v>1</v>
      </c>
      <c r="D1244" s="0" t="s">
        <v>201</v>
      </c>
      <c r="E1244" s="0" t="s">
        <v>202</v>
      </c>
      <c r="F1244" s="0" t="s">
        <v>422</v>
      </c>
      <c r="G1244" s="0" t="n">
        <v>0</v>
      </c>
      <c r="H1244" s="0" t="s">
        <v>4764</v>
      </c>
      <c r="I1244" s="0" t="s">
        <v>4765</v>
      </c>
      <c r="J1244" s="0" t="s">
        <v>4766</v>
      </c>
      <c r="K1244" s="9" t="n">
        <v>0.0407</v>
      </c>
    </row>
    <row r="1245" customFormat="false" ht="13.8" hidden="false" customHeight="false" outlineLevel="0" collapsed="false">
      <c r="A1245" s="0" t="s">
        <v>4767</v>
      </c>
      <c r="B1245" s="0" t="n">
        <v>1</v>
      </c>
      <c r="D1245" s="0" t="s">
        <v>243</v>
      </c>
      <c r="E1245" s="0" t="s">
        <v>244</v>
      </c>
      <c r="F1245" s="0" t="s">
        <v>245</v>
      </c>
      <c r="G1245" s="0" t="n">
        <v>1</v>
      </c>
      <c r="H1245" s="0" t="s">
        <v>27</v>
      </c>
      <c r="J1245" s="0" t="s">
        <v>28</v>
      </c>
      <c r="K1245" s="0" t="str">
        <f aca="false">"7.46 %"</f>
        <v>7.46 %</v>
      </c>
      <c r="O1245" s="0" t="s">
        <v>4768</v>
      </c>
    </row>
    <row r="1246" customFormat="false" ht="13.8" hidden="false" customHeight="false" outlineLevel="0" collapsed="false">
      <c r="A1246" s="0" t="s">
        <v>4767</v>
      </c>
      <c r="B1246" s="0" t="n">
        <v>1</v>
      </c>
      <c r="D1246" s="0" t="s">
        <v>201</v>
      </c>
      <c r="E1246" s="0" t="s">
        <v>202</v>
      </c>
      <c r="F1246" s="0" t="s">
        <v>422</v>
      </c>
      <c r="G1246" s="0" t="n">
        <v>1</v>
      </c>
      <c r="H1246" s="0" t="s">
        <v>27</v>
      </c>
      <c r="J1246" s="0" t="s">
        <v>28</v>
      </c>
      <c r="K1246" s="9" t="n">
        <v>0.0882</v>
      </c>
    </row>
    <row r="1247" customFormat="false" ht="13.8" hidden="false" customHeight="false" outlineLevel="0" collapsed="false">
      <c r="A1247" s="0" t="s">
        <v>4769</v>
      </c>
      <c r="B1247" s="0" t="n">
        <v>1</v>
      </c>
      <c r="D1247" s="4" t="s">
        <v>599</v>
      </c>
      <c r="E1247" s="0" t="s">
        <v>3199</v>
      </c>
      <c r="F1247" s="4" t="s">
        <v>601</v>
      </c>
      <c r="G1247" s="0" t="n">
        <v>0</v>
      </c>
      <c r="H1247" s="4" t="s">
        <v>4770</v>
      </c>
      <c r="I1247" s="0" t="s">
        <v>4771</v>
      </c>
      <c r="J1247" s="4" t="s">
        <v>4772</v>
      </c>
      <c r="K1247" s="0" t="str">
        <f aca="false">"11.29 %"</f>
        <v>11.29 %</v>
      </c>
      <c r="L1247" s="0" t="str">
        <f aca="false">"0.92 V"</f>
        <v>0.92 V</v>
      </c>
      <c r="M1247" s="0" t="str">
        <f aca="false">"19.79 mA cm^{-2}"</f>
        <v>19.79 mA cm^{-2}</v>
      </c>
      <c r="N1247" s="0" t="str">
        <f aca="false">"61.85 %"</f>
        <v>61.85 %</v>
      </c>
      <c r="O1247" s="0" t="s">
        <v>4773</v>
      </c>
    </row>
    <row r="1248" customFormat="false" ht="13.8" hidden="false" customHeight="false" outlineLevel="0" collapsed="false">
      <c r="A1248" s="0" t="s">
        <v>4774</v>
      </c>
      <c r="B1248" s="0" t="n">
        <v>1</v>
      </c>
      <c r="D1248" s="0" t="s">
        <v>16</v>
      </c>
      <c r="E1248" s="0" t="s">
        <v>17</v>
      </c>
      <c r="F1248" s="0" t="s">
        <v>18</v>
      </c>
      <c r="G1248" s="0" t="n">
        <v>1</v>
      </c>
      <c r="H1248" s="0" t="s">
        <v>76</v>
      </c>
      <c r="J1248" s="0" t="s">
        <v>77</v>
      </c>
      <c r="K1248" s="0" t="str">
        <f aca="false">"3.5 %"</f>
        <v>3.5 %</v>
      </c>
      <c r="O1248" s="0" t="s">
        <v>4775</v>
      </c>
    </row>
    <row r="1249" customFormat="false" ht="13.8" hidden="false" customHeight="false" outlineLevel="0" collapsed="false">
      <c r="A1249" s="0" t="s">
        <v>4776</v>
      </c>
      <c r="B1249" s="0" t="n">
        <v>1</v>
      </c>
      <c r="D1249" s="4" t="s">
        <v>599</v>
      </c>
      <c r="E1249" s="0" t="s">
        <v>600</v>
      </c>
      <c r="F1249" s="4" t="s">
        <v>601</v>
      </c>
      <c r="G1249" s="0" t="n">
        <v>0</v>
      </c>
      <c r="H1249" s="0" t="s">
        <v>4777</v>
      </c>
      <c r="I1249" s="0" t="s">
        <v>4778</v>
      </c>
      <c r="J1249" s="0" t="s">
        <v>4779</v>
      </c>
      <c r="K1249" s="3" t="n">
        <v>0.1022</v>
      </c>
      <c r="O1249" s="0" t="s">
        <v>4780</v>
      </c>
    </row>
    <row r="1250" customFormat="false" ht="13.8" hidden="false" customHeight="false" outlineLevel="0" collapsed="false">
      <c r="A1250" s="0" t="s">
        <v>4781</v>
      </c>
      <c r="C1250" s="0" t="n">
        <v>1</v>
      </c>
      <c r="D1250" s="0" t="s">
        <v>1712</v>
      </c>
      <c r="E1250" s="0" t="s">
        <v>1713</v>
      </c>
      <c r="F1250" s="0" t="s">
        <v>1714</v>
      </c>
      <c r="G1250" s="0" t="n">
        <v>0</v>
      </c>
      <c r="H1250" s="0" t="s">
        <v>4782</v>
      </c>
      <c r="J1250" s="0" t="s">
        <v>4783</v>
      </c>
      <c r="K1250" s="0" t="str">
        <f aca="false">"10.80 %"</f>
        <v>10.80 %</v>
      </c>
      <c r="O1250" s="0" t="s">
        <v>4784</v>
      </c>
    </row>
    <row r="1251" customFormat="false" ht="13.8" hidden="false" customHeight="false" outlineLevel="0" collapsed="false">
      <c r="A1251" s="0" t="s">
        <v>4785</v>
      </c>
      <c r="B1251" s="0" t="n">
        <v>1</v>
      </c>
      <c r="D1251" s="0" t="s">
        <v>16</v>
      </c>
      <c r="E1251" s="0" t="s">
        <v>17</v>
      </c>
      <c r="F1251" s="0" t="s">
        <v>116</v>
      </c>
      <c r="G1251" s="0" t="n">
        <v>1</v>
      </c>
      <c r="H1251" s="0" t="s">
        <v>76</v>
      </c>
      <c r="J1251" s="0" t="s">
        <v>77</v>
      </c>
      <c r="K1251" s="3" t="n">
        <v>0.0385</v>
      </c>
      <c r="O1251" s="0" t="s">
        <v>4786</v>
      </c>
    </row>
    <row r="1252" customFormat="false" ht="13.8" hidden="false" customHeight="false" outlineLevel="0" collapsed="false">
      <c r="A1252" s="0" t="s">
        <v>4785</v>
      </c>
      <c r="B1252" s="0" t="n">
        <v>1</v>
      </c>
      <c r="D1252" s="0" t="s">
        <v>243</v>
      </c>
      <c r="E1252" s="0" t="s">
        <v>244</v>
      </c>
      <c r="F1252" s="0" t="s">
        <v>245</v>
      </c>
      <c r="G1252" s="0" t="n">
        <v>1</v>
      </c>
      <c r="H1252" s="0" t="s">
        <v>27</v>
      </c>
      <c r="J1252" s="0" t="s">
        <v>28</v>
      </c>
      <c r="K1252" s="3" t="n">
        <v>0.0659</v>
      </c>
      <c r="O1252" s="0" t="s">
        <v>4787</v>
      </c>
    </row>
    <row r="1253" customFormat="false" ht="13.8" hidden="false" customHeight="false" outlineLevel="0" collapsed="false">
      <c r="A1253" s="0" t="s">
        <v>4785</v>
      </c>
      <c r="B1253" s="0" t="n">
        <v>1</v>
      </c>
      <c r="D1253" s="0" t="s">
        <v>85</v>
      </c>
      <c r="E1253" s="0" t="s">
        <v>86</v>
      </c>
      <c r="F1253" s="0" t="s">
        <v>87</v>
      </c>
      <c r="G1253" s="0" t="n">
        <v>1</v>
      </c>
      <c r="H1253" s="0" t="s">
        <v>27</v>
      </c>
      <c r="J1253" s="0" t="s">
        <v>28</v>
      </c>
      <c r="K1253" s="3" t="str">
        <f aca="false">"7.90 %"</f>
        <v>7.90 %</v>
      </c>
      <c r="O1253" s="0" t="s">
        <v>4788</v>
      </c>
    </row>
    <row r="1254" customFormat="false" ht="13.8" hidden="false" customHeight="false" outlineLevel="0" collapsed="false">
      <c r="A1254" s="0" t="s">
        <v>4789</v>
      </c>
      <c r="B1254" s="0" t="n">
        <v>1</v>
      </c>
      <c r="D1254" s="4" t="s">
        <v>4790</v>
      </c>
      <c r="E1254" s="0" t="s">
        <v>4791</v>
      </c>
      <c r="F1254" s="4" t="s">
        <v>4792</v>
      </c>
      <c r="G1254" s="4" t="n">
        <v>0</v>
      </c>
      <c r="H1254" s="4" t="s">
        <v>163</v>
      </c>
      <c r="I1254" s="0" t="s">
        <v>164</v>
      </c>
      <c r="J1254" s="4" t="s">
        <v>165</v>
      </c>
      <c r="K1254" s="0" t="str">
        <f aca="false">"7.83 %"</f>
        <v>7.83 %</v>
      </c>
      <c r="L1254" s="0" t="str">
        <f aca="false">"0.91 V"</f>
        <v>0.91 V</v>
      </c>
      <c r="M1254" s="0" t="str">
        <f aca="false">"13.62 mA cm^{-2}"</f>
        <v>13.62 mA cm^{-2}</v>
      </c>
      <c r="N1254" s="0" t="str">
        <f aca="false">"63.2 %"</f>
        <v>63.2 %</v>
      </c>
      <c r="O1254" s="0" t="s">
        <v>4793</v>
      </c>
    </row>
    <row r="1255" customFormat="false" ht="13.8" hidden="false" customHeight="false" outlineLevel="0" collapsed="false">
      <c r="A1255" s="0" t="s">
        <v>4789</v>
      </c>
      <c r="B1255" s="0" t="n">
        <v>1</v>
      </c>
      <c r="D1255" s="0" t="s">
        <v>4790</v>
      </c>
      <c r="E1255" s="0" t="s">
        <v>4791</v>
      </c>
      <c r="F1255" s="0" t="s">
        <v>4792</v>
      </c>
      <c r="G1255" s="0" t="n">
        <v>1</v>
      </c>
      <c r="H1255" s="0" t="s">
        <v>27</v>
      </c>
      <c r="J1255" s="0" t="s">
        <v>28</v>
      </c>
    </row>
    <row r="1256" customFormat="false" ht="13.8" hidden="false" customHeight="false" outlineLevel="0" collapsed="false">
      <c r="A1256" s="0" t="s">
        <v>4794</v>
      </c>
      <c r="B1256" s="0" t="n">
        <v>1</v>
      </c>
      <c r="D1256" s="0" t="s">
        <v>4795</v>
      </c>
      <c r="E1256" s="0" t="s">
        <v>4796</v>
      </c>
      <c r="F1256" s="0" t="s">
        <v>4797</v>
      </c>
      <c r="G1256" s="0" t="n">
        <v>0</v>
      </c>
      <c r="H1256" s="0" t="s">
        <v>1712</v>
      </c>
      <c r="I1256" s="0" t="s">
        <v>1713</v>
      </c>
      <c r="J1256" s="0" t="s">
        <v>40</v>
      </c>
      <c r="K1256" s="0" t="str">
        <f aca="false">"10 %"</f>
        <v>10 %</v>
      </c>
      <c r="L1256" s="15" t="s">
        <v>1516</v>
      </c>
      <c r="M1256" s="15" t="s">
        <v>4798</v>
      </c>
      <c r="N1256" s="31" t="n">
        <v>0.733</v>
      </c>
      <c r="O1256" s="0" t="s">
        <v>4799</v>
      </c>
    </row>
    <row r="1257" customFormat="false" ht="13.8" hidden="false" customHeight="false" outlineLevel="0" collapsed="false">
      <c r="A1257" s="0" t="s">
        <v>4800</v>
      </c>
      <c r="B1257" s="0" t="n">
        <v>1</v>
      </c>
      <c r="D1257" s="4" t="s">
        <v>4801</v>
      </c>
      <c r="E1257" s="0" t="s">
        <v>4802</v>
      </c>
      <c r="F1257" s="27" t="s">
        <v>40</v>
      </c>
      <c r="G1257" s="0" t="n">
        <v>1</v>
      </c>
      <c r="H1257" s="0" t="s">
        <v>27</v>
      </c>
      <c r="J1257" s="0" t="s">
        <v>28</v>
      </c>
      <c r="K1257" s="0" t="str">
        <f aca="false">"5.52 %"</f>
        <v>5.52 %</v>
      </c>
      <c r="L1257" s="0" t="str">
        <f aca="false">"0.96 V"</f>
        <v>0.96 V</v>
      </c>
      <c r="O1257" s="0" t="s">
        <v>4803</v>
      </c>
    </row>
    <row r="1258" customFormat="false" ht="13.8" hidden="false" customHeight="false" outlineLevel="0" collapsed="false">
      <c r="A1258" s="0" t="s">
        <v>4804</v>
      </c>
      <c r="B1258" s="0" t="n">
        <v>1</v>
      </c>
      <c r="D1258" s="0" t="s">
        <v>16</v>
      </c>
      <c r="E1258" s="0" t="s">
        <v>17</v>
      </c>
      <c r="F1258" s="0" t="s">
        <v>18</v>
      </c>
      <c r="G1258" s="0" t="n">
        <v>1</v>
      </c>
      <c r="H1258" s="0" t="s">
        <v>33</v>
      </c>
      <c r="J1258" s="0" t="s">
        <v>4805</v>
      </c>
      <c r="K1258" s="0" t="str">
        <f aca="false">"3.9 %"</f>
        <v>3.9 %</v>
      </c>
      <c r="O1258" s="0" t="s">
        <v>4806</v>
      </c>
    </row>
    <row r="1259" customFormat="false" ht="13.8" hidden="false" customHeight="false" outlineLevel="0" collapsed="false">
      <c r="A1259" s="0" t="s">
        <v>4807</v>
      </c>
      <c r="B1259" s="0" t="n">
        <v>1</v>
      </c>
      <c r="D1259" s="4" t="s">
        <v>124</v>
      </c>
      <c r="E1259" s="0" t="s">
        <v>4808</v>
      </c>
      <c r="F1259" s="4" t="s">
        <v>427</v>
      </c>
      <c r="G1259" s="0" t="n">
        <v>1</v>
      </c>
      <c r="H1259" s="0" t="s">
        <v>27</v>
      </c>
      <c r="J1259" s="4" t="s">
        <v>28</v>
      </c>
      <c r="K1259" s="0" t="str">
        <f aca="false">"5.28 %"</f>
        <v>5.28 %</v>
      </c>
      <c r="O1259" s="0" t="s">
        <v>4809</v>
      </c>
    </row>
    <row r="1260" customFormat="false" ht="13.8" hidden="false" customHeight="false" outlineLevel="0" collapsed="false">
      <c r="A1260" s="0" t="s">
        <v>4807</v>
      </c>
      <c r="B1260" s="0" t="n">
        <v>1</v>
      </c>
      <c r="D1260" s="4" t="s">
        <v>128</v>
      </c>
      <c r="E1260" s="0" t="s">
        <v>4810</v>
      </c>
      <c r="F1260" s="4" t="s">
        <v>130</v>
      </c>
      <c r="G1260" s="0" t="n">
        <v>1</v>
      </c>
      <c r="H1260" s="0" t="s">
        <v>27</v>
      </c>
      <c r="J1260" s="4" t="s">
        <v>28</v>
      </c>
      <c r="K1260" s="0" t="str">
        <f aca="false">"2.6 %"</f>
        <v>2.6 %</v>
      </c>
      <c r="O1260" s="0" t="s">
        <v>4811</v>
      </c>
    </row>
    <row r="1261" customFormat="false" ht="13.8" hidden="false" customHeight="false" outlineLevel="0" collapsed="false">
      <c r="A1261" s="0" t="s">
        <v>4807</v>
      </c>
      <c r="B1261" s="0" t="n">
        <v>1</v>
      </c>
      <c r="D1261" s="27" t="s">
        <v>128</v>
      </c>
      <c r="E1261" s="0" t="s">
        <v>4810</v>
      </c>
      <c r="F1261" s="0" t="s">
        <v>130</v>
      </c>
      <c r="G1261" s="0" t="n">
        <v>1</v>
      </c>
      <c r="H1261" s="0" t="s">
        <v>76</v>
      </c>
      <c r="J1261" s="0" t="s">
        <v>77</v>
      </c>
      <c r="K1261" s="9" t="n">
        <v>0.0144</v>
      </c>
    </row>
    <row r="1262" customFormat="false" ht="13.8" hidden="false" customHeight="false" outlineLevel="0" collapsed="false">
      <c r="A1262" s="0" t="s">
        <v>4812</v>
      </c>
      <c r="B1262" s="0" t="n">
        <v>1</v>
      </c>
      <c r="D1262" s="0" t="s">
        <v>16</v>
      </c>
      <c r="E1262" s="0" t="s">
        <v>17</v>
      </c>
      <c r="F1262" s="0" t="s">
        <v>116</v>
      </c>
      <c r="G1262" s="0" t="n">
        <v>0</v>
      </c>
      <c r="H1262" s="0" t="s">
        <v>4813</v>
      </c>
      <c r="I1262" s="0" t="s">
        <v>4814</v>
      </c>
      <c r="J1262" s="0" t="s">
        <v>40</v>
      </c>
      <c r="K1262" s="0" t="str">
        <f aca="false">"4.16 %"</f>
        <v>4.16 %</v>
      </c>
      <c r="L1262" s="15" t="s">
        <v>4815</v>
      </c>
      <c r="O1262" s="0" t="s">
        <v>4816</v>
      </c>
    </row>
    <row r="1263" customFormat="false" ht="13.8" hidden="false" customHeight="false" outlineLevel="0" collapsed="false">
      <c r="A1263" s="0" t="s">
        <v>4817</v>
      </c>
      <c r="B1263" s="0" t="n">
        <v>1</v>
      </c>
      <c r="D1263" s="0" t="s">
        <v>85</v>
      </c>
      <c r="E1263" s="0" t="s">
        <v>86</v>
      </c>
      <c r="F1263" s="0" t="s">
        <v>87</v>
      </c>
      <c r="G1263" s="0" t="n">
        <v>1</v>
      </c>
      <c r="H1263" s="0" t="s">
        <v>27</v>
      </c>
      <c r="J1263" s="0" t="s">
        <v>28</v>
      </c>
      <c r="K1263" s="0" t="str">
        <f aca="false">"8.04 %"</f>
        <v>8.04 %</v>
      </c>
      <c r="O1263" s="0" t="s">
        <v>4818</v>
      </c>
    </row>
    <row r="1264" customFormat="false" ht="13.8" hidden="false" customHeight="false" outlineLevel="0" collapsed="false">
      <c r="A1264" s="0" t="s">
        <v>4819</v>
      </c>
      <c r="B1264" s="0" t="n">
        <v>1</v>
      </c>
      <c r="D1264" s="4" t="s">
        <v>4820</v>
      </c>
      <c r="E1264" s="4" t="s">
        <v>17</v>
      </c>
      <c r="F1264" s="4" t="s">
        <v>1323</v>
      </c>
      <c r="G1264" s="4" t="n">
        <v>1</v>
      </c>
      <c r="H1264" s="4" t="s">
        <v>3185</v>
      </c>
      <c r="J1264" s="4" t="s">
        <v>4821</v>
      </c>
      <c r="K1264" s="0" t="str">
        <f aca="false">"3.86 %"</f>
        <v>3.86 %</v>
      </c>
      <c r="O1264" s="0" t="s">
        <v>4822</v>
      </c>
    </row>
    <row r="1265" customFormat="false" ht="13.8" hidden="false" customHeight="false" outlineLevel="0" collapsed="false">
      <c r="A1265" s="0" t="s">
        <v>4823</v>
      </c>
      <c r="B1265" s="0" t="n">
        <v>1</v>
      </c>
      <c r="D1265" s="4" t="s">
        <v>4824</v>
      </c>
      <c r="E1265" s="4" t="s">
        <v>4825</v>
      </c>
      <c r="F1265" s="4" t="s">
        <v>4826</v>
      </c>
      <c r="G1265" s="0" t="n">
        <v>0</v>
      </c>
      <c r="H1265" s="4" t="s">
        <v>4827</v>
      </c>
      <c r="I1265" s="0" t="s">
        <v>4828</v>
      </c>
      <c r="J1265" s="4" t="s">
        <v>40</v>
      </c>
      <c r="K1265" s="0" t="str">
        <f aca="false">"8.34 %"</f>
        <v>8.34 %</v>
      </c>
      <c r="O1265" s="0" t="s">
        <v>4829</v>
      </c>
    </row>
    <row r="1266" customFormat="false" ht="13.8" hidden="false" customHeight="false" outlineLevel="0" collapsed="false">
      <c r="A1266" s="0" t="s">
        <v>4823</v>
      </c>
      <c r="B1266" s="0" t="n">
        <v>1</v>
      </c>
      <c r="D1266" s="0" t="s">
        <v>599</v>
      </c>
      <c r="E1266" s="27" t="s">
        <v>600</v>
      </c>
      <c r="F1266" s="0" t="s">
        <v>601</v>
      </c>
      <c r="G1266" s="0" t="n">
        <v>0</v>
      </c>
      <c r="H1266" s="4" t="s">
        <v>4827</v>
      </c>
      <c r="I1266" s="0" t="s">
        <v>4828</v>
      </c>
      <c r="J1266" s="4" t="s">
        <v>40</v>
      </c>
      <c r="K1266" s="9" t="n">
        <v>0.1093</v>
      </c>
    </row>
    <row r="1267" customFormat="false" ht="13.8" hidden="false" customHeight="false" outlineLevel="0" collapsed="false">
      <c r="A1267" s="0" t="s">
        <v>4823</v>
      </c>
      <c r="B1267" s="0" t="n">
        <v>1</v>
      </c>
      <c r="D1267" s="0" t="s">
        <v>2493</v>
      </c>
      <c r="E1267" s="0" t="s">
        <v>2494</v>
      </c>
      <c r="F1267" s="0" t="s">
        <v>2780</v>
      </c>
      <c r="G1267" s="0" t="n">
        <v>0</v>
      </c>
      <c r="H1267" s="4" t="s">
        <v>4827</v>
      </c>
      <c r="I1267" s="0" t="s">
        <v>4828</v>
      </c>
      <c r="J1267" s="4" t="s">
        <v>40</v>
      </c>
      <c r="K1267" s="9" t="n">
        <v>0.1208</v>
      </c>
    </row>
    <row r="1268" customFormat="false" ht="13.8" hidden="false" customHeight="false" outlineLevel="0" collapsed="false">
      <c r="A1268" s="0" t="s">
        <v>4830</v>
      </c>
      <c r="B1268" s="0" t="n">
        <v>1</v>
      </c>
      <c r="D1268" s="0" t="s">
        <v>16</v>
      </c>
      <c r="E1268" s="0" t="s">
        <v>17</v>
      </c>
      <c r="F1268" s="0" t="s">
        <v>4831</v>
      </c>
      <c r="G1268" s="0" t="n">
        <v>1</v>
      </c>
      <c r="H1268" s="0" t="s">
        <v>76</v>
      </c>
      <c r="J1268" s="0" t="s">
        <v>77</v>
      </c>
      <c r="K1268" s="0" t="str">
        <f aca="false">"3.18 %"</f>
        <v>3.18 %</v>
      </c>
      <c r="L1268" s="0" t="str">
        <f aca="false">"0.62 V"</f>
        <v>0.62 V</v>
      </c>
      <c r="O1268" s="0" t="s">
        <v>4832</v>
      </c>
    </row>
    <row r="1269" customFormat="false" ht="13.8" hidden="false" customHeight="false" outlineLevel="0" collapsed="false">
      <c r="A1269" s="0" t="s">
        <v>4830</v>
      </c>
      <c r="B1269" s="0" t="n">
        <v>1</v>
      </c>
      <c r="D1269" s="0" t="s">
        <v>16</v>
      </c>
      <c r="E1269" s="0" t="s">
        <v>17</v>
      </c>
      <c r="F1269" s="0" t="s">
        <v>4831</v>
      </c>
      <c r="G1269" s="0" t="n">
        <v>0</v>
      </c>
      <c r="H1269" s="0" t="s">
        <v>4833</v>
      </c>
      <c r="I1269" s="0" t="s">
        <v>4834</v>
      </c>
      <c r="J1269" s="0" t="s">
        <v>4835</v>
      </c>
      <c r="K1269" s="9" t="n">
        <v>0.0516</v>
      </c>
      <c r="L1269" s="0" t="s">
        <v>4836</v>
      </c>
    </row>
    <row r="1270" customFormat="false" ht="13.8" hidden="false" customHeight="false" outlineLevel="0" collapsed="false">
      <c r="A1270" s="0" t="s">
        <v>4837</v>
      </c>
      <c r="B1270" s="0" t="n">
        <v>1</v>
      </c>
      <c r="D1270" s="4" t="s">
        <v>63</v>
      </c>
      <c r="E1270" s="0" t="s">
        <v>4838</v>
      </c>
      <c r="F1270" s="4" t="s">
        <v>65</v>
      </c>
      <c r="G1270" s="0" t="n">
        <v>1</v>
      </c>
      <c r="H1270" s="4" t="s">
        <v>117</v>
      </c>
      <c r="J1270" s="4" t="s">
        <v>118</v>
      </c>
      <c r="K1270" s="0" t="str">
        <f aca="false">"3.5 %"</f>
        <v>3.5 %</v>
      </c>
      <c r="O1270" s="0" t="s">
        <v>4839</v>
      </c>
    </row>
    <row r="1271" customFormat="false" ht="13.8" hidden="false" customHeight="false" outlineLevel="0" collapsed="false">
      <c r="A1271" s="0" t="s">
        <v>4837</v>
      </c>
      <c r="B1271" s="0" t="n">
        <v>1</v>
      </c>
      <c r="D1271" s="27" t="s">
        <v>63</v>
      </c>
      <c r="E1271" s="0" t="s">
        <v>4838</v>
      </c>
      <c r="F1271" s="27" t="s">
        <v>65</v>
      </c>
      <c r="G1271" s="0" t="n">
        <v>1</v>
      </c>
      <c r="H1271" s="0" t="s">
        <v>33</v>
      </c>
      <c r="J1271" s="0" t="s">
        <v>34</v>
      </c>
      <c r="K1271" s="29" t="n">
        <v>0.062</v>
      </c>
    </row>
    <row r="1272" customFormat="false" ht="13.8" hidden="false" customHeight="false" outlineLevel="0" collapsed="false">
      <c r="A1272" s="0" t="s">
        <v>4840</v>
      </c>
      <c r="B1272" s="0" t="n">
        <v>1</v>
      </c>
      <c r="D1272" s="0" t="s">
        <v>201</v>
      </c>
      <c r="E1272" s="0" t="s">
        <v>202</v>
      </c>
      <c r="F1272" s="0" t="s">
        <v>422</v>
      </c>
      <c r="G1272" s="0" t="n">
        <v>1</v>
      </c>
      <c r="H1272" s="0" t="s">
        <v>27</v>
      </c>
      <c r="J1272" s="0" t="s">
        <v>28</v>
      </c>
      <c r="K1272" s="0" t="str">
        <f aca="false">"9.49 %"</f>
        <v>9.49 %</v>
      </c>
      <c r="O1272" s="0" t="s">
        <v>4841</v>
      </c>
    </row>
    <row r="1273" customFormat="false" ht="13.8" hidden="false" customHeight="false" outlineLevel="0" collapsed="false">
      <c r="A1273" s="0" t="s">
        <v>4842</v>
      </c>
      <c r="B1273" s="0" t="n">
        <v>1</v>
      </c>
      <c r="D1273" s="15" t="s">
        <v>4843</v>
      </c>
      <c r="E1273" s="0" t="s">
        <v>4844</v>
      </c>
      <c r="F1273" s="15" t="s">
        <v>4845</v>
      </c>
      <c r="G1273" s="0" t="n">
        <v>1</v>
      </c>
      <c r="H1273" s="0" t="s">
        <v>76</v>
      </c>
      <c r="J1273" s="0" t="s">
        <v>77</v>
      </c>
      <c r="K1273" s="0" t="str">
        <f aca="false">"0.93 %"</f>
        <v>0.93 %</v>
      </c>
      <c r="L1273" s="0" t="str">
        <f aca="false">"0.96 V"</f>
        <v>0.96 V</v>
      </c>
      <c r="M1273" s="0" t="str">
        <f aca="false">"1.9 mA cm^{-2}"</f>
        <v>1.9 mA cm^{-2}</v>
      </c>
      <c r="N1273" s="0" t="str">
        <f aca="false">"51 %"</f>
        <v>51 %</v>
      </c>
      <c r="O1273" s="0" t="s">
        <v>4846</v>
      </c>
    </row>
    <row r="1274" customFormat="false" ht="13.8" hidden="false" customHeight="false" outlineLevel="0" collapsed="false">
      <c r="A1274" s="0" t="s">
        <v>4847</v>
      </c>
      <c r="B1274" s="0" t="n">
        <v>1</v>
      </c>
      <c r="D1274" s="0" t="s">
        <v>208</v>
      </c>
      <c r="E1274" s="0" t="s">
        <v>17</v>
      </c>
      <c r="F1274" s="0" t="s">
        <v>4848</v>
      </c>
      <c r="G1274" s="0" t="n">
        <v>0</v>
      </c>
      <c r="H1274" s="4" t="s">
        <v>4849</v>
      </c>
      <c r="I1274" s="0" t="s">
        <v>4850</v>
      </c>
      <c r="J1274" s="4" t="s">
        <v>4851</v>
      </c>
      <c r="K1274" s="0" t="str">
        <f aca="false">"1.09 %"</f>
        <v>1.09 %</v>
      </c>
      <c r="L1274" s="0" t="str">
        <f aca="false">"0.84 V"</f>
        <v>0.84 V</v>
      </c>
      <c r="O1274" s="0" t="s">
        <v>4852</v>
      </c>
    </row>
    <row r="1275" customFormat="false" ht="13.8" hidden="false" customHeight="false" outlineLevel="0" collapsed="false">
      <c r="A1275" s="0" t="s">
        <v>4853</v>
      </c>
      <c r="B1275" s="0" t="n">
        <v>1</v>
      </c>
      <c r="D1275" s="0" t="s">
        <v>4854</v>
      </c>
      <c r="E1275" s="0" t="s">
        <v>4855</v>
      </c>
      <c r="F1275" s="0" t="s">
        <v>4856</v>
      </c>
      <c r="G1275" s="0" t="n">
        <v>1</v>
      </c>
      <c r="H1275" s="0" t="s">
        <v>27</v>
      </c>
      <c r="J1275" s="0" t="s">
        <v>28</v>
      </c>
      <c r="K1275" s="0" t="str">
        <f aca="false">"8.18 %"</f>
        <v>8.18 %</v>
      </c>
      <c r="O1275" s="0" t="s">
        <v>4857</v>
      </c>
    </row>
    <row r="1276" customFormat="false" ht="13.8" hidden="false" customHeight="false" outlineLevel="0" collapsed="false">
      <c r="A1276" s="0" t="s">
        <v>4858</v>
      </c>
      <c r="B1276" s="0" t="n">
        <v>1</v>
      </c>
      <c r="D1276" s="0" t="s">
        <v>3703</v>
      </c>
      <c r="E1276" s="0" t="s">
        <v>1689</v>
      </c>
      <c r="F1276" s="0" t="s">
        <v>4859</v>
      </c>
      <c r="G1276" s="0" t="n">
        <v>1</v>
      </c>
      <c r="H1276" s="0" t="s">
        <v>27</v>
      </c>
      <c r="J1276" s="0" t="s">
        <v>40</v>
      </c>
      <c r="K1276" s="0" t="str">
        <f aca="false">"5.83 %"</f>
        <v>5.83 %</v>
      </c>
      <c r="O1276" s="0" t="s">
        <v>4860</v>
      </c>
    </row>
    <row r="1277" customFormat="false" ht="13.8" hidden="false" customHeight="false" outlineLevel="0" collapsed="false">
      <c r="A1277" s="0" t="s">
        <v>4861</v>
      </c>
      <c r="B1277" s="0" t="n">
        <v>1</v>
      </c>
      <c r="D1277" s="0" t="s">
        <v>16</v>
      </c>
      <c r="E1277" s="0" t="s">
        <v>17</v>
      </c>
      <c r="F1277" s="0" t="s">
        <v>116</v>
      </c>
      <c r="G1277" s="0" t="n">
        <v>0</v>
      </c>
      <c r="H1277" s="0" t="s">
        <v>4862</v>
      </c>
      <c r="I1277" s="0" t="s">
        <v>4863</v>
      </c>
      <c r="J1277" s="0" t="s">
        <v>4864</v>
      </c>
      <c r="K1277" s="9" t="n">
        <v>0.0512</v>
      </c>
    </row>
    <row r="1278" customFormat="false" ht="13.8" hidden="false" customHeight="false" outlineLevel="0" collapsed="false">
      <c r="A1278" s="0" t="s">
        <v>4861</v>
      </c>
      <c r="B1278" s="0" t="n">
        <v>1</v>
      </c>
      <c r="D1278" s="0" t="s">
        <v>16</v>
      </c>
      <c r="E1278" s="0" t="s">
        <v>17</v>
      </c>
      <c r="F1278" s="0" t="s">
        <v>116</v>
      </c>
      <c r="G1278" s="0" t="n">
        <v>1</v>
      </c>
      <c r="H1278" s="0" t="s">
        <v>76</v>
      </c>
      <c r="J1278" s="0" t="s">
        <v>77</v>
      </c>
      <c r="K1278" s="0" t="str">
        <f aca="false">"3.71 %"</f>
        <v>3.71 %</v>
      </c>
      <c r="O1278" s="0" t="s">
        <v>4865</v>
      </c>
    </row>
    <row r="1279" customFormat="false" ht="13.8" hidden="false" customHeight="false" outlineLevel="0" collapsed="false">
      <c r="A1279" s="0" t="s">
        <v>4866</v>
      </c>
      <c r="C1279" s="0" t="n">
        <v>1</v>
      </c>
      <c r="D1279" s="0" t="s">
        <v>4867</v>
      </c>
      <c r="F1279" s="0" t="s">
        <v>4867</v>
      </c>
      <c r="G1279" s="0" t="n">
        <v>0</v>
      </c>
      <c r="H1279" s="0" t="s">
        <v>4868</v>
      </c>
      <c r="I1279" s="0" t="s">
        <v>4869</v>
      </c>
      <c r="J1279" s="0" t="s">
        <v>4870</v>
      </c>
      <c r="K1279" s="9" t="n">
        <v>0.0154</v>
      </c>
      <c r="L1279" s="0" t="str">
        <f aca="false">"0.79 V"</f>
        <v>0.79 V</v>
      </c>
    </row>
    <row r="1280" customFormat="false" ht="13.8" hidden="false" customHeight="false" outlineLevel="0" collapsed="false">
      <c r="A1280" s="0" t="s">
        <v>4866</v>
      </c>
      <c r="C1280" s="0" t="n">
        <v>1</v>
      </c>
      <c r="D1280" s="4" t="s">
        <v>4867</v>
      </c>
      <c r="F1280" s="4" t="s">
        <v>4871</v>
      </c>
      <c r="G1280" s="0" t="n">
        <v>0</v>
      </c>
      <c r="H1280" s="4" t="s">
        <v>4872</v>
      </c>
      <c r="I1280" s="0" t="s">
        <v>4869</v>
      </c>
      <c r="J1280" s="4" t="s">
        <v>4873</v>
      </c>
      <c r="K1280" s="0" t="str">
        <f aca="false">"0.36 %"</f>
        <v>0.36 %</v>
      </c>
      <c r="O1280" s="0" t="s">
        <v>4874</v>
      </c>
    </row>
    <row r="1281" customFormat="false" ht="13.8" hidden="false" customHeight="false" outlineLevel="0" collapsed="false">
      <c r="A1281" s="0" t="s">
        <v>4875</v>
      </c>
      <c r="B1281" s="0" t="n">
        <v>1</v>
      </c>
      <c r="D1281" s="4" t="s">
        <v>243</v>
      </c>
      <c r="E1281" s="27" t="s">
        <v>244</v>
      </c>
      <c r="F1281" s="4" t="s">
        <v>245</v>
      </c>
      <c r="G1281" s="0" t="n">
        <v>1</v>
      </c>
      <c r="H1281" s="0" t="s">
        <v>27</v>
      </c>
      <c r="J1281" s="4" t="s">
        <v>28</v>
      </c>
      <c r="K1281" s="0" t="str">
        <f aca="false">"7.57 %"</f>
        <v>7.57 %</v>
      </c>
      <c r="O1281" s="0" t="s">
        <v>4876</v>
      </c>
    </row>
    <row r="1282" customFormat="false" ht="13.8" hidden="false" customHeight="false" outlineLevel="0" collapsed="false">
      <c r="A1282" s="0" t="s">
        <v>4875</v>
      </c>
      <c r="B1282" s="0" t="n">
        <v>1</v>
      </c>
      <c r="D1282" s="0" t="s">
        <v>16</v>
      </c>
      <c r="E1282" s="0" t="s">
        <v>17</v>
      </c>
      <c r="F1282" s="0" t="s">
        <v>116</v>
      </c>
      <c r="G1282" s="0" t="n">
        <v>1</v>
      </c>
      <c r="H1282" s="0" t="s">
        <v>76</v>
      </c>
      <c r="J1282" s="0" t="s">
        <v>77</v>
      </c>
      <c r="K1282" s="9" t="str">
        <f aca="false">"4.10 %"</f>
        <v>4.10 %</v>
      </c>
    </row>
    <row r="1283" customFormat="false" ht="13.8" hidden="false" customHeight="false" outlineLevel="0" collapsed="false">
      <c r="A1283" s="0" t="s">
        <v>4877</v>
      </c>
      <c r="B1283" s="0" t="n">
        <v>1</v>
      </c>
      <c r="D1283" s="0" t="s">
        <v>63</v>
      </c>
      <c r="E1283" s="4" t="s">
        <v>4838</v>
      </c>
      <c r="F1283" s="0" t="s">
        <v>65</v>
      </c>
      <c r="G1283" s="0" t="n">
        <v>0</v>
      </c>
      <c r="H1283" s="4" t="s">
        <v>124</v>
      </c>
      <c r="I1283" s="27" t="s">
        <v>4878</v>
      </c>
      <c r="J1283" s="4" t="s">
        <v>427</v>
      </c>
      <c r="K1283" s="0" t="str">
        <f aca="false">"2.01 %"</f>
        <v>2.01 %</v>
      </c>
      <c r="L1283" s="0" t="str">
        <f aca="false">"0.68 V"</f>
        <v>0.68 V</v>
      </c>
      <c r="M1283" s="0" t="str">
        <f aca="false">"7.06 mA cm^{-2}"</f>
        <v>7.06 mA cm^{-2}</v>
      </c>
      <c r="N1283" s="0" t="str">
        <f aca="false">"41.78 %"</f>
        <v>41.78 %</v>
      </c>
      <c r="O1283" s="0" t="s">
        <v>4879</v>
      </c>
    </row>
    <row r="1284" customFormat="false" ht="13.8" hidden="false" customHeight="false" outlineLevel="0" collapsed="false">
      <c r="A1284" s="0" t="s">
        <v>4877</v>
      </c>
      <c r="B1284" s="0" t="n">
        <v>1</v>
      </c>
      <c r="D1284" s="4" t="s">
        <v>63</v>
      </c>
      <c r="E1284" s="4" t="s">
        <v>4838</v>
      </c>
      <c r="F1284" s="4" t="s">
        <v>65</v>
      </c>
      <c r="G1284" s="0" t="n">
        <v>0</v>
      </c>
      <c r="H1284" s="15" t="s">
        <v>128</v>
      </c>
      <c r="I1284" s="27" t="s">
        <v>4880</v>
      </c>
      <c r="J1284" s="15" t="s">
        <v>130</v>
      </c>
      <c r="K1284" s="0" t="str">
        <f aca="false">"0.30 %"</f>
        <v>0.30 %</v>
      </c>
      <c r="O1284" s="0" t="s">
        <v>4881</v>
      </c>
    </row>
    <row r="1285" customFormat="false" ht="13.8" hidden="false" customHeight="false" outlineLevel="0" collapsed="false">
      <c r="A1285" s="0" t="s">
        <v>4882</v>
      </c>
      <c r="B1285" s="0" t="n">
        <v>1</v>
      </c>
      <c r="D1285" s="4" t="s">
        <v>16</v>
      </c>
      <c r="E1285" s="0" t="s">
        <v>17</v>
      </c>
      <c r="F1285" s="4" t="s">
        <v>116</v>
      </c>
      <c r="G1285" s="0" t="n">
        <v>1</v>
      </c>
      <c r="H1285" s="0" t="s">
        <v>33</v>
      </c>
      <c r="J1285" s="0" t="s">
        <v>40</v>
      </c>
      <c r="K1285" s="0" t="str">
        <f aca="false">"2.3 %"</f>
        <v>2.3 %</v>
      </c>
      <c r="O1285" s="0" t="s">
        <v>4883</v>
      </c>
    </row>
    <row r="1286" customFormat="false" ht="13.8" hidden="false" customHeight="false" outlineLevel="0" collapsed="false">
      <c r="A1286" s="0" t="s">
        <v>4884</v>
      </c>
      <c r="B1286" s="0" t="n">
        <v>1</v>
      </c>
      <c r="D1286" s="4" t="s">
        <v>4885</v>
      </c>
      <c r="E1286" s="0" t="s">
        <v>2842</v>
      </c>
      <c r="F1286" s="4" t="s">
        <v>4886</v>
      </c>
      <c r="G1286" s="0" t="n">
        <v>1</v>
      </c>
      <c r="H1286" s="4" t="s">
        <v>195</v>
      </c>
      <c r="J1286" s="4" t="s">
        <v>28</v>
      </c>
      <c r="K1286" s="0" t="str">
        <f aca="false">"6.64 %"</f>
        <v>6.64 %</v>
      </c>
      <c r="O1286" s="0" t="s">
        <v>4887</v>
      </c>
    </row>
    <row r="1287" customFormat="false" ht="13.8" hidden="false" customHeight="false" outlineLevel="0" collapsed="false">
      <c r="A1287" s="0" t="s">
        <v>4884</v>
      </c>
      <c r="B1287" s="0" t="n">
        <v>1</v>
      </c>
      <c r="D1287" s="27" t="s">
        <v>4888</v>
      </c>
      <c r="E1287" s="0" t="s">
        <v>4889</v>
      </c>
      <c r="F1287" s="27" t="s">
        <v>4890</v>
      </c>
      <c r="G1287" s="0" t="n">
        <v>1</v>
      </c>
      <c r="H1287" s="0" t="s">
        <v>195</v>
      </c>
      <c r="J1287" s="0" t="s">
        <v>28</v>
      </c>
      <c r="K1287" s="29" t="n">
        <v>0.053</v>
      </c>
    </row>
    <row r="1288" customFormat="false" ht="13.8" hidden="false" customHeight="false" outlineLevel="0" collapsed="false">
      <c r="A1288" s="0" t="s">
        <v>4891</v>
      </c>
      <c r="B1288" s="0" t="n">
        <v>1</v>
      </c>
      <c r="D1288" s="0" t="s">
        <v>3787</v>
      </c>
      <c r="E1288" s="0" t="s">
        <v>3788</v>
      </c>
      <c r="F1288" s="0" t="s">
        <v>3789</v>
      </c>
      <c r="G1288" s="0" t="n">
        <v>1</v>
      </c>
      <c r="H1288" s="0" t="s">
        <v>27</v>
      </c>
      <c r="J1288" s="0" t="s">
        <v>28</v>
      </c>
      <c r="K1288" s="0" t="str">
        <f aca="false">"9.47 %"</f>
        <v>9.47 %</v>
      </c>
      <c r="O1288" s="0" t="s">
        <v>4892</v>
      </c>
    </row>
    <row r="1289" customFormat="false" ht="13.8" hidden="false" customHeight="false" outlineLevel="0" collapsed="false">
      <c r="A1289" s="0" t="s">
        <v>4893</v>
      </c>
      <c r="B1289" s="0" t="n">
        <v>1</v>
      </c>
      <c r="D1289" s="4" t="s">
        <v>659</v>
      </c>
      <c r="E1289" s="0" t="s">
        <v>202</v>
      </c>
      <c r="F1289" s="4" t="s">
        <v>422</v>
      </c>
      <c r="G1289" s="0" t="n">
        <v>0</v>
      </c>
      <c r="H1289" s="4" t="s">
        <v>4894</v>
      </c>
      <c r="I1289" s="0" t="s">
        <v>4895</v>
      </c>
      <c r="J1289" s="4" t="s">
        <v>4896</v>
      </c>
      <c r="K1289" s="0" t="str">
        <f aca="false">"2.15 %"</f>
        <v>2.15 %</v>
      </c>
      <c r="O1289" s="0" t="s">
        <v>4897</v>
      </c>
    </row>
    <row r="1290" customFormat="false" ht="13.8" hidden="false" customHeight="false" outlineLevel="0" collapsed="false">
      <c r="A1290" s="0" t="s">
        <v>4898</v>
      </c>
      <c r="B1290" s="0" t="n">
        <v>1</v>
      </c>
      <c r="D1290" s="4" t="s">
        <v>124</v>
      </c>
      <c r="E1290" s="0" t="s">
        <v>4899</v>
      </c>
      <c r="F1290" s="4" t="s">
        <v>427</v>
      </c>
      <c r="G1290" s="0" t="n">
        <v>1</v>
      </c>
      <c r="H1290" s="0" t="s">
        <v>27</v>
      </c>
      <c r="J1290" s="0" t="s">
        <v>28</v>
      </c>
      <c r="K1290" s="0" t="str">
        <f aca="false">"7.27 %"</f>
        <v>7.27 %</v>
      </c>
      <c r="O1290" s="0" t="s">
        <v>4900</v>
      </c>
    </row>
    <row r="1291" customFormat="false" ht="13.8" hidden="false" customHeight="false" outlineLevel="0" collapsed="false">
      <c r="A1291" s="0" t="s">
        <v>4898</v>
      </c>
      <c r="B1291" s="0" t="n">
        <v>1</v>
      </c>
      <c r="D1291" s="4" t="s">
        <v>128</v>
      </c>
      <c r="E1291" s="0" t="s">
        <v>4901</v>
      </c>
      <c r="F1291" s="4" t="s">
        <v>130</v>
      </c>
      <c r="G1291" s="0" t="n">
        <v>1</v>
      </c>
      <c r="H1291" s="0" t="s">
        <v>27</v>
      </c>
      <c r="J1291" s="0" t="s">
        <v>28</v>
      </c>
      <c r="K1291" s="0" t="str">
        <f aca="false">"6.68 %"</f>
        <v>6.68 %</v>
      </c>
      <c r="O1291" s="0" t="s">
        <v>4902</v>
      </c>
    </row>
    <row r="1292" customFormat="false" ht="13.8" hidden="false" customHeight="false" outlineLevel="0" collapsed="false">
      <c r="A1292" s="0" t="s">
        <v>4903</v>
      </c>
      <c r="B1292" s="0" t="n">
        <v>1</v>
      </c>
      <c r="D1292" s="4" t="s">
        <v>2148</v>
      </c>
      <c r="E1292" s="4" t="s">
        <v>4904</v>
      </c>
      <c r="F1292" s="4" t="s">
        <v>4905</v>
      </c>
      <c r="G1292" s="0" t="n">
        <v>1</v>
      </c>
      <c r="H1292" s="4" t="s">
        <v>27</v>
      </c>
      <c r="J1292" s="4" t="s">
        <v>28</v>
      </c>
      <c r="K1292" s="28" t="n">
        <v>0.0539</v>
      </c>
      <c r="O1292" s="0" t="s">
        <v>4906</v>
      </c>
    </row>
    <row r="1293" customFormat="false" ht="13.8" hidden="false" customHeight="false" outlineLevel="0" collapsed="false">
      <c r="A1293" s="0" t="s">
        <v>4903</v>
      </c>
      <c r="B1293" s="0" t="n">
        <v>1</v>
      </c>
      <c r="D1293" s="4" t="s">
        <v>4907</v>
      </c>
      <c r="E1293" s="0" t="s">
        <v>4908</v>
      </c>
      <c r="F1293" s="4" t="s">
        <v>4909</v>
      </c>
      <c r="G1293" s="0" t="n">
        <v>1</v>
      </c>
      <c r="H1293" s="4" t="s">
        <v>27</v>
      </c>
      <c r="J1293" s="4" t="s">
        <v>28</v>
      </c>
      <c r="K1293" s="0" t="str">
        <f aca="false">"4.20 %"</f>
        <v>4.20 %</v>
      </c>
      <c r="O1293" s="0" t="s">
        <v>4910</v>
      </c>
    </row>
    <row r="1294" customFormat="false" ht="13.8" hidden="false" customHeight="false" outlineLevel="0" collapsed="false">
      <c r="A1294" s="0" t="s">
        <v>4903</v>
      </c>
      <c r="B1294" s="0" t="n">
        <v>1</v>
      </c>
      <c r="D1294" s="27" t="s">
        <v>2148</v>
      </c>
      <c r="E1294" s="27" t="s">
        <v>4904</v>
      </c>
      <c r="F1294" s="27" t="s">
        <v>4905</v>
      </c>
      <c r="G1294" s="0" t="n">
        <v>1</v>
      </c>
      <c r="H1294" s="0" t="s">
        <v>76</v>
      </c>
      <c r="J1294" s="0" t="s">
        <v>77</v>
      </c>
      <c r="K1294" s="9" t="n">
        <v>0.0219</v>
      </c>
    </row>
    <row r="1295" customFormat="false" ht="13.8" hidden="false" customHeight="false" outlineLevel="0" collapsed="false">
      <c r="A1295" s="0" t="s">
        <v>4903</v>
      </c>
      <c r="B1295" s="0" t="n">
        <v>1</v>
      </c>
      <c r="D1295" s="27" t="s">
        <v>4907</v>
      </c>
      <c r="E1295" s="0" t="s">
        <v>4908</v>
      </c>
      <c r="F1295" s="27" t="s">
        <v>4909</v>
      </c>
      <c r="G1295" s="0" t="n">
        <v>1</v>
      </c>
      <c r="H1295" s="0" t="s">
        <v>76</v>
      </c>
      <c r="J1295" s="0" t="s">
        <v>77</v>
      </c>
      <c r="K1295" s="9" t="n">
        <v>0.0202</v>
      </c>
    </row>
    <row r="1296" customFormat="false" ht="13.8" hidden="false" customHeight="false" outlineLevel="0" collapsed="false">
      <c r="A1296" s="0" t="s">
        <v>4911</v>
      </c>
      <c r="B1296" s="0" t="n">
        <v>1</v>
      </c>
      <c r="D1296" s="0" t="s">
        <v>16</v>
      </c>
      <c r="E1296" s="0" t="s">
        <v>17</v>
      </c>
      <c r="F1296" s="0" t="s">
        <v>116</v>
      </c>
      <c r="G1296" s="0" t="n">
        <v>1</v>
      </c>
      <c r="H1296" s="0" t="s">
        <v>76</v>
      </c>
      <c r="J1296" s="0" t="s">
        <v>77</v>
      </c>
      <c r="K1296" s="0" t="str">
        <f aca="false">"4.18 %"</f>
        <v>4.18 %</v>
      </c>
      <c r="O1296" s="0" t="s">
        <v>4912</v>
      </c>
    </row>
    <row r="1297" customFormat="false" ht="13.8" hidden="false" customHeight="false" outlineLevel="0" collapsed="false">
      <c r="A1297" s="0" t="s">
        <v>4913</v>
      </c>
      <c r="B1297" s="0" t="n">
        <v>1</v>
      </c>
      <c r="D1297" s="4" t="s">
        <v>4914</v>
      </c>
      <c r="E1297" s="4" t="s">
        <v>4915</v>
      </c>
      <c r="F1297" s="4" t="s">
        <v>4916</v>
      </c>
      <c r="G1297" s="0" t="n">
        <v>1</v>
      </c>
      <c r="H1297" s="0" t="s">
        <v>66</v>
      </c>
      <c r="J1297" s="0" t="s">
        <v>40</v>
      </c>
      <c r="K1297" s="0" t="str">
        <f aca="false">"1.07 %"</f>
        <v>1.07 %</v>
      </c>
      <c r="O1297" s="0" t="s">
        <v>4917</v>
      </c>
    </row>
    <row r="1298" customFormat="false" ht="13.8" hidden="false" customHeight="false" outlineLevel="0" collapsed="false">
      <c r="A1298" s="0" t="s">
        <v>4918</v>
      </c>
      <c r="B1298" s="0" t="n">
        <v>1</v>
      </c>
      <c r="D1298" s="4" t="s">
        <v>4919</v>
      </c>
      <c r="E1298" s="0" t="s">
        <v>4920</v>
      </c>
      <c r="F1298" s="4" t="s">
        <v>4921</v>
      </c>
      <c r="G1298" s="0" t="n">
        <v>0</v>
      </c>
      <c r="H1298" s="0" t="s">
        <v>1121</v>
      </c>
      <c r="I1298" s="0" t="s">
        <v>225</v>
      </c>
      <c r="J1298" s="0" t="s">
        <v>1122</v>
      </c>
      <c r="K1298" s="0" t="str">
        <f aca="false">"0.45-1.7 %"</f>
        <v>0.45-1.7 %</v>
      </c>
      <c r="O1298" s="0" t="s">
        <v>4922</v>
      </c>
    </row>
    <row r="1299" customFormat="false" ht="13.8" hidden="false" customHeight="false" outlineLevel="0" collapsed="false">
      <c r="A1299" s="0" t="s">
        <v>4923</v>
      </c>
      <c r="B1299" s="0" t="n">
        <v>1</v>
      </c>
      <c r="D1299" s="0" t="s">
        <v>4924</v>
      </c>
      <c r="E1299" s="0" t="s">
        <v>4925</v>
      </c>
      <c r="F1299" s="0" t="s">
        <v>4926</v>
      </c>
      <c r="G1299" s="0" t="n">
        <v>0</v>
      </c>
      <c r="H1299" s="4" t="s">
        <v>4927</v>
      </c>
      <c r="I1299" s="0" t="s">
        <v>4928</v>
      </c>
      <c r="J1299" s="4" t="s">
        <v>4929</v>
      </c>
      <c r="K1299" s="0" t="str">
        <f aca="false">"7.0 %"</f>
        <v>7.0 %</v>
      </c>
      <c r="L1299" s="0" t="str">
        <f aca="false">"1.04 V"</f>
        <v>1.04 V</v>
      </c>
      <c r="O1299" s="0" t="s">
        <v>4930</v>
      </c>
    </row>
    <row r="1300" customFormat="false" ht="13.8" hidden="false" customHeight="false" outlineLevel="0" collapsed="false">
      <c r="A1300" s="0" t="s">
        <v>4931</v>
      </c>
      <c r="B1300" s="0" t="n">
        <v>1</v>
      </c>
      <c r="D1300" s="4" t="s">
        <v>63</v>
      </c>
      <c r="E1300" s="0" t="s">
        <v>4838</v>
      </c>
      <c r="F1300" s="4" t="s">
        <v>65</v>
      </c>
      <c r="G1300" s="0" t="n">
        <v>0</v>
      </c>
      <c r="H1300" s="4" t="s">
        <v>4932</v>
      </c>
      <c r="I1300" s="0" t="s">
        <v>4933</v>
      </c>
      <c r="J1300" s="4" t="s">
        <v>4934</v>
      </c>
      <c r="K1300" s="0" t="str">
        <f aca="false">"4.81 %"</f>
        <v>4.81 %</v>
      </c>
      <c r="O1300" s="0" t="s">
        <v>4935</v>
      </c>
    </row>
    <row r="1301" customFormat="false" ht="13.8" hidden="false" customHeight="false" outlineLevel="0" collapsed="false">
      <c r="A1301" s="0" t="s">
        <v>4931</v>
      </c>
      <c r="B1301" s="0" t="n">
        <v>1</v>
      </c>
      <c r="D1301" s="0" t="s">
        <v>63</v>
      </c>
      <c r="E1301" s="0" t="s">
        <v>4838</v>
      </c>
      <c r="F1301" s="0" t="s">
        <v>65</v>
      </c>
      <c r="G1301" s="0" t="n">
        <v>0</v>
      </c>
      <c r="H1301" s="0" t="s">
        <v>4936</v>
      </c>
      <c r="I1301" s="0" t="s">
        <v>4937</v>
      </c>
      <c r="J1301" s="0" t="s">
        <v>4938</v>
      </c>
      <c r="K1301" s="9" t="n">
        <v>0.0426</v>
      </c>
    </row>
    <row r="1302" customFormat="false" ht="13.8" hidden="false" customHeight="false" outlineLevel="0" collapsed="false">
      <c r="A1302" s="0" t="s">
        <v>4939</v>
      </c>
      <c r="B1302" s="0" t="n">
        <v>1</v>
      </c>
      <c r="D1302" s="0" t="s">
        <v>4940</v>
      </c>
      <c r="E1302" s="0" t="s">
        <v>4941</v>
      </c>
      <c r="F1302" s="0" t="s">
        <v>4942</v>
      </c>
      <c r="G1302" s="0" t="n">
        <v>1</v>
      </c>
      <c r="H1302" s="0" t="s">
        <v>27</v>
      </c>
      <c r="J1302" s="0" t="s">
        <v>28</v>
      </c>
      <c r="K1302" s="0" t="str">
        <f aca="false">"4.71 %"</f>
        <v>4.71 %</v>
      </c>
      <c r="O1302" s="0" t="s">
        <v>4943</v>
      </c>
    </row>
    <row r="1303" customFormat="false" ht="13.8" hidden="false" customHeight="false" outlineLevel="0" collapsed="false">
      <c r="A1303" s="0" t="s">
        <v>4944</v>
      </c>
      <c r="B1303" s="0" t="n">
        <v>1</v>
      </c>
      <c r="D1303" s="0" t="s">
        <v>208</v>
      </c>
      <c r="E1303" s="0" t="s">
        <v>17</v>
      </c>
      <c r="F1303" s="4" t="s">
        <v>1323</v>
      </c>
      <c r="G1303" s="0" t="n">
        <v>1</v>
      </c>
      <c r="H1303" s="0" t="s">
        <v>33</v>
      </c>
      <c r="J1303" s="0" t="s">
        <v>34</v>
      </c>
      <c r="K1303" s="0" t="str">
        <f aca="false">"2.4 %"</f>
        <v>2.4 %</v>
      </c>
      <c r="L1303" s="0" t="str">
        <f aca="false">"0.49 V"</f>
        <v>0.49 V</v>
      </c>
      <c r="M1303" s="0" t="str">
        <f aca="false">"8.1 mA cm^{-2}"</f>
        <v>8.1 mA cm^{-2}</v>
      </c>
      <c r="N1303" s="0" t="str">
        <f aca="false">"61 %"</f>
        <v>61 %</v>
      </c>
      <c r="O1303" s="0" t="s">
        <v>4945</v>
      </c>
    </row>
    <row r="1304" customFormat="false" ht="13.8" hidden="false" customHeight="false" outlineLevel="0" collapsed="false">
      <c r="A1304" s="0" t="s">
        <v>4946</v>
      </c>
      <c r="B1304" s="0" t="n">
        <v>1</v>
      </c>
      <c r="D1304" s="4" t="s">
        <v>4947</v>
      </c>
      <c r="E1304" s="0" t="s">
        <v>4948</v>
      </c>
      <c r="F1304" s="4" t="s">
        <v>4949</v>
      </c>
      <c r="G1304" s="0" t="n">
        <v>1</v>
      </c>
      <c r="H1304" s="0" t="s">
        <v>76</v>
      </c>
      <c r="J1304" s="0" t="s">
        <v>77</v>
      </c>
      <c r="K1304" s="0" t="str">
        <f aca="false">"7.5 %"</f>
        <v>7.5 %</v>
      </c>
      <c r="O1304" s="0" t="s">
        <v>4950</v>
      </c>
    </row>
    <row r="1305" customFormat="false" ht="13.8" hidden="false" customHeight="false" outlineLevel="0" collapsed="false">
      <c r="A1305" s="0" t="s">
        <v>4951</v>
      </c>
      <c r="B1305" s="0" t="n">
        <v>1</v>
      </c>
      <c r="D1305" s="4" t="s">
        <v>3502</v>
      </c>
      <c r="E1305" s="0" t="s">
        <v>3503</v>
      </c>
      <c r="F1305" s="4" t="s">
        <v>3504</v>
      </c>
      <c r="G1305" s="0" t="n">
        <v>0</v>
      </c>
      <c r="H1305" s="4" t="s">
        <v>4952</v>
      </c>
      <c r="I1305" s="0" t="s">
        <v>4953</v>
      </c>
      <c r="J1305" s="4" t="s">
        <v>4954</v>
      </c>
      <c r="K1305" s="3" t="n">
        <v>0.0927</v>
      </c>
      <c r="L1305" s="4"/>
      <c r="M1305" s="4" t="s">
        <v>4955</v>
      </c>
      <c r="O1305" s="0" t="s">
        <v>4956</v>
      </c>
    </row>
    <row r="1306" customFormat="false" ht="13.8" hidden="false" customHeight="false" outlineLevel="0" collapsed="false">
      <c r="A1306" s="0" t="s">
        <v>4957</v>
      </c>
      <c r="C1306" s="0" t="n">
        <v>1</v>
      </c>
      <c r="D1306" s="4" t="s">
        <v>4958</v>
      </c>
      <c r="E1306" s="0" t="s">
        <v>4959</v>
      </c>
      <c r="F1306" s="4" t="s">
        <v>87</v>
      </c>
      <c r="G1306" s="4" t="n">
        <v>1</v>
      </c>
      <c r="H1306" s="4" t="s">
        <v>195</v>
      </c>
      <c r="I1306" s="4"/>
      <c r="J1306" s="4" t="s">
        <v>28</v>
      </c>
      <c r="K1306" s="0" t="str">
        <f aca="false">"7.23 %"</f>
        <v>7.23 %</v>
      </c>
      <c r="O1306" s="0" t="s">
        <v>4960</v>
      </c>
    </row>
    <row r="1307" customFormat="false" ht="13.8" hidden="false" customHeight="false" outlineLevel="0" collapsed="false">
      <c r="A1307" s="0" t="s">
        <v>4961</v>
      </c>
      <c r="B1307" s="0" t="n">
        <v>1</v>
      </c>
      <c r="D1307" s="0" t="s">
        <v>4962</v>
      </c>
      <c r="E1307" s="0" t="s">
        <v>1365</v>
      </c>
      <c r="F1307" s="0" t="s">
        <v>4963</v>
      </c>
      <c r="G1307" s="0" t="n">
        <v>1</v>
      </c>
      <c r="H1307" s="0" t="s">
        <v>27</v>
      </c>
      <c r="J1307" s="0" t="s">
        <v>28</v>
      </c>
      <c r="K1307" s="3" t="n">
        <v>0.0407</v>
      </c>
      <c r="O1307" s="0" t="s">
        <v>4964</v>
      </c>
    </row>
    <row r="1308" customFormat="false" ht="13.8" hidden="false" customHeight="false" outlineLevel="0" collapsed="false">
      <c r="A1308" s="0" t="s">
        <v>4961</v>
      </c>
      <c r="B1308" s="0" t="n">
        <v>1</v>
      </c>
      <c r="D1308" s="0" t="s">
        <v>4962</v>
      </c>
      <c r="E1308" s="0" t="s">
        <v>1365</v>
      </c>
      <c r="F1308" s="0" t="s">
        <v>4963</v>
      </c>
      <c r="G1308" s="0" t="n">
        <v>0</v>
      </c>
      <c r="H1308" s="0" t="s">
        <v>4965</v>
      </c>
      <c r="I1308" s="0" t="s">
        <v>4966</v>
      </c>
      <c r="J1308" s="0" t="s">
        <v>4967</v>
      </c>
      <c r="K1308" s="9" t="n">
        <v>0.0405</v>
      </c>
      <c r="L1308" s="0" t="str">
        <f aca="false">"1.08 V"</f>
        <v>1.08 V</v>
      </c>
    </row>
    <row r="1309" customFormat="false" ht="13.8" hidden="false" customHeight="false" outlineLevel="0" collapsed="false">
      <c r="A1309" s="0" t="s">
        <v>4968</v>
      </c>
      <c r="B1309" s="0" t="n">
        <v>1</v>
      </c>
      <c r="D1309" s="0" t="s">
        <v>253</v>
      </c>
      <c r="E1309" s="0" t="s">
        <v>4969</v>
      </c>
      <c r="F1309" s="0" t="s">
        <v>258</v>
      </c>
      <c r="G1309" s="0" t="n">
        <v>0</v>
      </c>
      <c r="H1309" s="4" t="s">
        <v>1525</v>
      </c>
      <c r="I1309" s="0" t="s">
        <v>164</v>
      </c>
      <c r="J1309" s="0" t="s">
        <v>165</v>
      </c>
      <c r="K1309" s="0" t="str">
        <f aca="false">"10.26 %"</f>
        <v>10.26 %</v>
      </c>
      <c r="L1309" s="0" t="str">
        <f aca="false">"0.94 V"</f>
        <v>0.94 V</v>
      </c>
      <c r="M1309" s="0" t="str">
        <f aca="false">"17.18 mA cm^{-2}"</f>
        <v>17.18 mA cm^{-2}</v>
      </c>
      <c r="O1309" s="0" t="s">
        <v>4970</v>
      </c>
    </row>
    <row r="1310" customFormat="false" ht="13.8" hidden="false" customHeight="false" outlineLevel="0" collapsed="false">
      <c r="A1310" s="0" t="s">
        <v>4971</v>
      </c>
      <c r="C1310" s="0" t="n">
        <v>1</v>
      </c>
      <c r="D1310" s="0" t="s">
        <v>4972</v>
      </c>
      <c r="F1310" s="0" t="s">
        <v>4973</v>
      </c>
      <c r="G1310" s="0" t="n">
        <v>0</v>
      </c>
      <c r="H1310" s="0" t="s">
        <v>4974</v>
      </c>
      <c r="J1310" s="0" t="s">
        <v>4975</v>
      </c>
      <c r="K1310" s="0" t="str">
        <f aca="false">"8.0 %"</f>
        <v>8.0 %</v>
      </c>
      <c r="O1310" s="0" t="s">
        <v>4976</v>
      </c>
    </row>
    <row r="1311" customFormat="false" ht="13.8" hidden="false" customHeight="false" outlineLevel="0" collapsed="false">
      <c r="A1311" s="0" t="s">
        <v>4977</v>
      </c>
      <c r="C1311" s="0" t="n">
        <v>1</v>
      </c>
      <c r="D1311" s="0" t="s">
        <v>201</v>
      </c>
      <c r="E1311" s="0" t="s">
        <v>202</v>
      </c>
      <c r="F1311" s="0" t="s">
        <v>422</v>
      </c>
      <c r="G1311" s="0" t="n">
        <v>1</v>
      </c>
      <c r="H1311" s="0" t="s">
        <v>27</v>
      </c>
      <c r="J1311" s="0" t="s">
        <v>28</v>
      </c>
      <c r="K1311" s="0" t="str">
        <f aca="false">"9.67 %"</f>
        <v>9.67 %</v>
      </c>
      <c r="M1311" s="0" t="str">
        <f aca="false">"22.07 to 24.37 mA cm^{-2}"</f>
        <v>22.07 to 24.37 mA cm^{-2}</v>
      </c>
      <c r="N1311" s="0" t="str">
        <f aca="false">"69.30 %"</f>
        <v>69.30 %</v>
      </c>
      <c r="O1311" s="0" t="s">
        <v>4978</v>
      </c>
    </row>
    <row r="1312" customFormat="false" ht="18" hidden="false" customHeight="false" outlineLevel="0" collapsed="false">
      <c r="A1312" s="0" t="s">
        <v>4979</v>
      </c>
      <c r="B1312" s="0" t="n">
        <v>1</v>
      </c>
      <c r="D1312" s="0" t="s">
        <v>128</v>
      </c>
      <c r="E1312" s="6" t="s">
        <v>4980</v>
      </c>
      <c r="F1312" s="0" t="s">
        <v>130</v>
      </c>
      <c r="G1312" s="0" t="n">
        <v>1</v>
      </c>
      <c r="H1312" s="0" t="s">
        <v>27</v>
      </c>
      <c r="J1312" s="0" t="s">
        <v>40</v>
      </c>
      <c r="K1312" s="0" t="str">
        <f aca="false">"1.47 %"</f>
        <v>1.47 %</v>
      </c>
      <c r="O1312" s="0" t="s">
        <v>4981</v>
      </c>
    </row>
    <row r="1313" customFormat="false" ht="13.8" hidden="false" customHeight="false" outlineLevel="0" collapsed="false">
      <c r="A1313" s="0" t="s">
        <v>4982</v>
      </c>
      <c r="B1313" s="0" t="n">
        <v>1</v>
      </c>
      <c r="D1313" s="0" t="s">
        <v>208</v>
      </c>
      <c r="E1313" s="0" t="s">
        <v>17</v>
      </c>
      <c r="F1313" s="0" t="s">
        <v>18</v>
      </c>
      <c r="G1313" s="0" t="n">
        <v>1</v>
      </c>
      <c r="H1313" s="0" t="s">
        <v>76</v>
      </c>
      <c r="J1313" s="0" t="s">
        <v>77</v>
      </c>
      <c r="K1313" s="3" t="n">
        <v>0.0311</v>
      </c>
      <c r="O1313" s="0" t="s">
        <v>4983</v>
      </c>
    </row>
    <row r="1314" customFormat="false" ht="13.8" hidden="false" customHeight="false" outlineLevel="0" collapsed="false">
      <c r="A1314" s="0" t="s">
        <v>4984</v>
      </c>
      <c r="B1314" s="0" t="n">
        <v>1</v>
      </c>
      <c r="D1314" s="0" t="s">
        <v>85</v>
      </c>
      <c r="E1314" s="0" t="s">
        <v>86</v>
      </c>
      <c r="F1314" s="0" t="s">
        <v>87</v>
      </c>
      <c r="G1314" s="0" t="n">
        <v>1</v>
      </c>
      <c r="H1314" s="0" t="s">
        <v>27</v>
      </c>
      <c r="J1314" s="0" t="s">
        <v>28</v>
      </c>
      <c r="K1314" s="0" t="str">
        <f aca="false">"9.30 %"</f>
        <v>9.30 %</v>
      </c>
      <c r="O1314" s="0" t="s">
        <v>4985</v>
      </c>
    </row>
    <row r="1315" customFormat="false" ht="13.8" hidden="false" customHeight="false" outlineLevel="0" collapsed="false">
      <c r="A1315" s="0" t="s">
        <v>4986</v>
      </c>
      <c r="B1315" s="0" t="n">
        <v>1</v>
      </c>
      <c r="D1315" s="0" t="s">
        <v>1116</v>
      </c>
      <c r="E1315" s="0" t="s">
        <v>1117</v>
      </c>
      <c r="F1315" s="0" t="s">
        <v>1118</v>
      </c>
      <c r="G1315" s="0" t="n">
        <v>0</v>
      </c>
      <c r="H1315" s="0" t="s">
        <v>4987</v>
      </c>
      <c r="I1315" s="0" t="s">
        <v>4988</v>
      </c>
      <c r="J1315" s="0" t="s">
        <v>4989</v>
      </c>
      <c r="K1315" s="3" t="n">
        <v>0.112</v>
      </c>
      <c r="L1315" s="0" t="str">
        <f aca="false">"0.96 V"</f>
        <v>0.96 V</v>
      </c>
      <c r="M1315" s="0" t="str">
        <f aca="false">"17.1 mA cm^{-2}"</f>
        <v>17.1 mA cm^{-2}</v>
      </c>
      <c r="N1315" s="0" t="str">
        <f aca="false">"68.2 %"</f>
        <v>68.2 %</v>
      </c>
      <c r="O1315" s="0" t="s">
        <v>4990</v>
      </c>
    </row>
    <row r="1316" customFormat="false" ht="13.8" hidden="false" customHeight="false" outlineLevel="0" collapsed="false">
      <c r="A1316" s="0" t="s">
        <v>4991</v>
      </c>
      <c r="B1316" s="0" t="n">
        <v>1</v>
      </c>
      <c r="D1316" s="0" t="s">
        <v>16</v>
      </c>
      <c r="E1316" s="0" t="s">
        <v>17</v>
      </c>
      <c r="F1316" s="0" t="s">
        <v>116</v>
      </c>
      <c r="G1316" s="0" t="n">
        <v>1</v>
      </c>
      <c r="H1316" s="0" t="s">
        <v>27</v>
      </c>
      <c r="J1316" s="0" t="s">
        <v>28</v>
      </c>
      <c r="K1316" s="3" t="n">
        <v>0.0339</v>
      </c>
      <c r="O1316" s="0" t="s">
        <v>4992</v>
      </c>
    </row>
    <row r="1317" customFormat="false" ht="13.8" hidden="false" customHeight="false" outlineLevel="0" collapsed="false">
      <c r="A1317" s="0" t="s">
        <v>4993</v>
      </c>
      <c r="B1317" s="0" t="n">
        <v>1</v>
      </c>
      <c r="D1317" s="0" t="s">
        <v>4994</v>
      </c>
      <c r="E1317" s="0" t="s">
        <v>4995</v>
      </c>
      <c r="F1317" s="0" t="s">
        <v>40</v>
      </c>
      <c r="G1317" s="0" t="n">
        <v>1</v>
      </c>
      <c r="H1317" s="0" t="s">
        <v>27</v>
      </c>
      <c r="J1317" s="0" t="s">
        <v>28</v>
      </c>
      <c r="K1317" s="0" t="str">
        <f aca="false">"2.49 %"</f>
        <v>2.49 %</v>
      </c>
      <c r="O1317" s="0" t="s">
        <v>4996</v>
      </c>
    </row>
    <row r="1318" customFormat="false" ht="13.8" hidden="false" customHeight="false" outlineLevel="0" collapsed="false">
      <c r="A1318" s="0" t="s">
        <v>4997</v>
      </c>
      <c r="B1318" s="0" t="n">
        <v>1</v>
      </c>
      <c r="D1318" s="0" t="s">
        <v>16</v>
      </c>
      <c r="E1318" s="0" t="s">
        <v>17</v>
      </c>
      <c r="F1318" s="0" t="s">
        <v>18</v>
      </c>
      <c r="G1318" s="0" t="n">
        <v>0</v>
      </c>
      <c r="H1318" s="0" t="s">
        <v>19</v>
      </c>
      <c r="I1318" s="0" t="s">
        <v>20</v>
      </c>
      <c r="J1318" s="0" t="s">
        <v>21</v>
      </c>
      <c r="K1318" s="0" t="str">
        <f aca="false">"1.41 %"</f>
        <v>1.41 %</v>
      </c>
      <c r="O1318" s="0" t="s">
        <v>4998</v>
      </c>
    </row>
    <row r="1319" customFormat="false" ht="18" hidden="false" customHeight="false" outlineLevel="0" collapsed="false">
      <c r="A1319" s="0" t="s">
        <v>4999</v>
      </c>
      <c r="B1319" s="0" t="n">
        <v>1</v>
      </c>
      <c r="D1319" s="0" t="s">
        <v>5000</v>
      </c>
      <c r="E1319" s="6" t="s">
        <v>1812</v>
      </c>
      <c r="F1319" s="0" t="s">
        <v>40</v>
      </c>
      <c r="G1319" s="0" t="n">
        <v>1</v>
      </c>
      <c r="H1319" s="0" t="s">
        <v>526</v>
      </c>
      <c r="J1319" s="0" t="s">
        <v>3518</v>
      </c>
      <c r="K1319" s="0" t="str">
        <f aca="false">"1.50 %"</f>
        <v>1.50 %</v>
      </c>
      <c r="O1319" s="0" t="s">
        <v>5001</v>
      </c>
    </row>
    <row r="1320" customFormat="false" ht="14.25" hidden="false" customHeight="false" outlineLevel="0" collapsed="false">
      <c r="A1320" s="0" t="s">
        <v>5002</v>
      </c>
      <c r="B1320" s="0" t="n">
        <v>1</v>
      </c>
      <c r="D1320" s="0" t="s">
        <v>214</v>
      </c>
      <c r="E1320" s="0" t="s">
        <v>64</v>
      </c>
      <c r="F1320" s="0" t="s">
        <v>215</v>
      </c>
      <c r="G1320" s="0" t="n">
        <v>0</v>
      </c>
      <c r="H1320" s="0" t="s">
        <v>224</v>
      </c>
      <c r="I1320" s="0" t="s">
        <v>225</v>
      </c>
      <c r="J1320" s="0" t="s">
        <v>1698</v>
      </c>
      <c r="K1320" s="0" t="str">
        <f aca="false">"4.39 %"</f>
        <v>4.39 %</v>
      </c>
      <c r="O1320" s="0" t="s">
        <v>5003</v>
      </c>
    </row>
    <row r="1321" customFormat="false" ht="18" hidden="false" customHeight="false" outlineLevel="0" collapsed="false">
      <c r="A1321" s="0" t="s">
        <v>5004</v>
      </c>
      <c r="B1321" s="0" t="n">
        <v>1</v>
      </c>
      <c r="D1321" s="0" t="s">
        <v>2806</v>
      </c>
      <c r="E1321" s="6" t="s">
        <v>2807</v>
      </c>
      <c r="F1321" s="0" t="s">
        <v>5005</v>
      </c>
      <c r="G1321" s="0" t="n">
        <v>0</v>
      </c>
      <c r="H1321" s="0" t="s">
        <v>1121</v>
      </c>
      <c r="I1321" s="0" t="s">
        <v>225</v>
      </c>
      <c r="J1321" s="0" t="s">
        <v>1122</v>
      </c>
      <c r="K1321" s="0" t="str">
        <f aca="false">"8.00 %"</f>
        <v>8.00 %</v>
      </c>
      <c r="O1321" s="0" t="s">
        <v>5006</v>
      </c>
    </row>
    <row r="1322" customFormat="false" ht="13.8" hidden="false" customHeight="false" outlineLevel="0" collapsed="false">
      <c r="A1322" s="0" t="s">
        <v>5007</v>
      </c>
      <c r="B1322" s="0" t="n">
        <v>1</v>
      </c>
      <c r="D1322" s="0" t="s">
        <v>4493</v>
      </c>
      <c r="E1322" s="0" t="s">
        <v>17</v>
      </c>
      <c r="F1322" s="0" t="s">
        <v>4494</v>
      </c>
      <c r="G1322" s="0" t="n">
        <v>1</v>
      </c>
      <c r="H1322" s="0" t="s">
        <v>33</v>
      </c>
      <c r="J1322" s="0" t="s">
        <v>34</v>
      </c>
      <c r="K1322" s="0" t="str">
        <f aca="false">"4.86 %"</f>
        <v>4.86 %</v>
      </c>
      <c r="M1322" s="0" t="str">
        <f aca="false">"15.60 mA/cm^{2}"</f>
        <v>15.60 mA/cm^{2}</v>
      </c>
      <c r="O1322" s="0" t="s">
        <v>5008</v>
      </c>
    </row>
    <row r="1323" customFormat="false" ht="13.8" hidden="false" customHeight="false" outlineLevel="0" collapsed="false">
      <c r="A1323" s="0" t="s">
        <v>5009</v>
      </c>
      <c r="B1323" s="0" t="n">
        <v>1</v>
      </c>
      <c r="D1323" s="0" t="s">
        <v>109</v>
      </c>
      <c r="E1323" s="0" t="s">
        <v>110</v>
      </c>
      <c r="F1323" s="0" t="s">
        <v>111</v>
      </c>
      <c r="G1323" s="0" t="n">
        <v>1</v>
      </c>
      <c r="H1323" s="0" t="s">
        <v>33</v>
      </c>
      <c r="J1323" s="0" t="s">
        <v>34</v>
      </c>
      <c r="K1323" s="0" t="str">
        <f aca="false">"5 %"</f>
        <v>5 %</v>
      </c>
      <c r="O1323" s="0" t="s">
        <v>5010</v>
      </c>
    </row>
    <row r="1324" customFormat="false" ht="13.8" hidden="false" customHeight="false" outlineLevel="0" collapsed="false">
      <c r="A1324" s="0" t="s">
        <v>5011</v>
      </c>
      <c r="D1324" s="0" t="s">
        <v>109</v>
      </c>
      <c r="E1324" s="0" t="s">
        <v>110</v>
      </c>
      <c r="F1324" s="0" t="s">
        <v>5012</v>
      </c>
      <c r="G1324" s="0" t="n">
        <v>1</v>
      </c>
      <c r="H1324" s="0" t="s">
        <v>27</v>
      </c>
      <c r="J1324" s="0" t="s">
        <v>5013</v>
      </c>
      <c r="K1324" s="0" t="str">
        <f aca="false">"6.86 %"</f>
        <v>6.86 %</v>
      </c>
      <c r="O1324" s="0" t="s">
        <v>5014</v>
      </c>
    </row>
    <row r="1325" customFormat="false" ht="13.8" hidden="false" customHeight="false" outlineLevel="0" collapsed="false">
      <c r="A1325" s="0" t="s">
        <v>5015</v>
      </c>
      <c r="B1325" s="0" t="n">
        <v>1</v>
      </c>
      <c r="D1325" s="0" t="s">
        <v>16</v>
      </c>
      <c r="E1325" s="0" t="s">
        <v>17</v>
      </c>
      <c r="F1325" s="0" t="s">
        <v>116</v>
      </c>
      <c r="G1325" s="0" t="n">
        <v>1</v>
      </c>
      <c r="H1325" s="0" t="s">
        <v>76</v>
      </c>
      <c r="J1325" s="0" t="s">
        <v>77</v>
      </c>
      <c r="K1325" s="0" t="str">
        <f aca="false">"4.17 %"</f>
        <v>4.17 %</v>
      </c>
      <c r="O1325" s="0" t="s">
        <v>5016</v>
      </c>
    </row>
    <row r="1326" customFormat="false" ht="13.8" hidden="false" customHeight="false" outlineLevel="0" collapsed="false">
      <c r="A1326" s="0" t="s">
        <v>5017</v>
      </c>
      <c r="B1326" s="0" t="n">
        <v>1</v>
      </c>
      <c r="D1326" s="0" t="s">
        <v>665</v>
      </c>
      <c r="E1326" s="0" t="s">
        <v>666</v>
      </c>
      <c r="F1326" s="0" t="s">
        <v>667</v>
      </c>
      <c r="G1326" s="0" t="n">
        <v>1</v>
      </c>
      <c r="H1326" s="0" t="s">
        <v>33</v>
      </c>
      <c r="J1326" s="0" t="s">
        <v>40</v>
      </c>
      <c r="K1326" s="0" t="str">
        <f aca="false">"6.64 %"</f>
        <v>6.64 %</v>
      </c>
      <c r="O1326" s="0" t="s">
        <v>5018</v>
      </c>
    </row>
    <row r="1327" customFormat="false" ht="13.8" hidden="false" customHeight="false" outlineLevel="0" collapsed="false">
      <c r="A1327" s="0" t="s">
        <v>5019</v>
      </c>
      <c r="B1327" s="0" t="n">
        <v>1</v>
      </c>
      <c r="D1327" s="0" t="s">
        <v>5020</v>
      </c>
      <c r="E1327" s="0" t="s">
        <v>5021</v>
      </c>
      <c r="F1327" s="0" t="s">
        <v>40</v>
      </c>
      <c r="G1327" s="0" t="n">
        <v>1</v>
      </c>
      <c r="H1327" s="0" t="s">
        <v>5022</v>
      </c>
      <c r="J1327" s="0" t="s">
        <v>40</v>
      </c>
      <c r="K1327" s="0" t="str">
        <f aca="false">"3.52 %"</f>
        <v>3.52 %</v>
      </c>
      <c r="L1327" s="5" t="s">
        <v>5023</v>
      </c>
      <c r="O1327" s="0" t="s">
        <v>5024</v>
      </c>
    </row>
    <row r="1328" customFormat="false" ht="13.8" hidden="false" customHeight="false" outlineLevel="0" collapsed="false">
      <c r="A1328" s="0" t="s">
        <v>5025</v>
      </c>
      <c r="B1328" s="0" t="n">
        <v>1</v>
      </c>
      <c r="D1328" s="0" t="s">
        <v>5026</v>
      </c>
      <c r="E1328" s="0" t="s">
        <v>5027</v>
      </c>
      <c r="F1328" s="0" t="s">
        <v>5028</v>
      </c>
      <c r="G1328" s="0" t="n">
        <v>1</v>
      </c>
      <c r="H1328" s="0" t="s">
        <v>27</v>
      </c>
      <c r="J1328" s="0" t="s">
        <v>40</v>
      </c>
      <c r="K1328" s="0" t="str">
        <f aca="false">"3.6 %"</f>
        <v>3.6 %</v>
      </c>
      <c r="O1328" s="0" t="s">
        <v>5029</v>
      </c>
    </row>
    <row r="1329" customFormat="false" ht="13.8" hidden="false" customHeight="false" outlineLevel="0" collapsed="false">
      <c r="A1329" s="0" t="s">
        <v>5030</v>
      </c>
      <c r="B1329" s="0" t="n">
        <v>1</v>
      </c>
      <c r="D1329" s="0" t="s">
        <v>109</v>
      </c>
      <c r="E1329" s="0" t="s">
        <v>110</v>
      </c>
      <c r="F1329" s="0" t="s">
        <v>5031</v>
      </c>
      <c r="G1329" s="0" t="n">
        <v>1</v>
      </c>
      <c r="H1329" s="0" t="s">
        <v>27</v>
      </c>
      <c r="J1329" s="0" t="s">
        <v>28</v>
      </c>
      <c r="K1329" s="0" t="str">
        <f aca="false">"~2.25 %"</f>
        <v>~2.25 %</v>
      </c>
      <c r="O1329" s="0" t="s">
        <v>5032</v>
      </c>
    </row>
    <row r="1330" customFormat="false" ht="13.8" hidden="false" customHeight="false" outlineLevel="0" collapsed="false">
      <c r="A1330" s="0" t="s">
        <v>5033</v>
      </c>
      <c r="B1330" s="0" t="n">
        <v>1</v>
      </c>
      <c r="D1330" s="0" t="s">
        <v>5034</v>
      </c>
      <c r="E1330" s="0" t="s">
        <v>5035</v>
      </c>
      <c r="F1330" s="0" t="s">
        <v>5036</v>
      </c>
      <c r="G1330" s="0" t="n">
        <v>1</v>
      </c>
      <c r="H1330" s="0" t="s">
        <v>27</v>
      </c>
      <c r="J1330" s="0" t="s">
        <v>28</v>
      </c>
      <c r="K1330" s="0" t="str">
        <f aca="false">"7 %"</f>
        <v>7 %</v>
      </c>
      <c r="L1330" s="0" t="str">
        <f aca="false">"0.75 V"</f>
        <v>0.75 V</v>
      </c>
      <c r="M1330" s="0" t="str">
        <f aca="false">"14.64 mA cm^{-2}"</f>
        <v>14.64 mA cm^{-2}</v>
      </c>
      <c r="N1330" s="0" t="str">
        <f aca="false">"0.64"</f>
        <v>0.64</v>
      </c>
      <c r="O1330" s="0" t="s">
        <v>5037</v>
      </c>
    </row>
    <row r="1331" customFormat="false" ht="13.8" hidden="false" customHeight="false" outlineLevel="0" collapsed="false">
      <c r="A1331" s="0" t="s">
        <v>5038</v>
      </c>
      <c r="B1331" s="0" t="n">
        <v>1</v>
      </c>
      <c r="D1331" s="0" t="s">
        <v>124</v>
      </c>
      <c r="E1331" s="0" t="s">
        <v>5039</v>
      </c>
      <c r="F1331" s="0" t="s">
        <v>427</v>
      </c>
      <c r="G1331" s="0" t="n">
        <v>0</v>
      </c>
      <c r="H1331" s="17" t="s">
        <v>5040</v>
      </c>
      <c r="I1331" s="0" t="s">
        <v>5041</v>
      </c>
      <c r="J1331" s="0" t="s">
        <v>5042</v>
      </c>
      <c r="K1331" s="0" t="str">
        <f aca="false">"11.64 %"</f>
        <v>11.64 %</v>
      </c>
      <c r="L1331" s="0" t="str">
        <f aca="false">"0.87 V"</f>
        <v>0.87 V</v>
      </c>
      <c r="M1331" s="0" t="str">
        <f aca="false">"22.97 mA/cm^{2}"</f>
        <v>22.97 mA/cm^{2}</v>
      </c>
      <c r="N1331" s="0" t="str">
        <f aca="false">"58 %"</f>
        <v>58 %</v>
      </c>
      <c r="O1331" s="0" t="s">
        <v>5043</v>
      </c>
    </row>
    <row r="1332" customFormat="false" ht="13.8" hidden="false" customHeight="false" outlineLevel="0" collapsed="false">
      <c r="A1332" s="0" t="s">
        <v>5038</v>
      </c>
      <c r="B1332" s="0" t="n">
        <v>1</v>
      </c>
      <c r="D1332" s="0" t="s">
        <v>124</v>
      </c>
      <c r="E1332" s="0" t="s">
        <v>5039</v>
      </c>
      <c r="G1332" s="0" t="n">
        <v>0</v>
      </c>
      <c r="H1332" s="5" t="s">
        <v>681</v>
      </c>
      <c r="I1332" s="0" t="s">
        <v>682</v>
      </c>
      <c r="J1332" s="0" t="s">
        <v>5044</v>
      </c>
      <c r="K1332" s="9" t="n">
        <v>0.0659</v>
      </c>
      <c r="L1332" s="0" t="s">
        <v>5045</v>
      </c>
      <c r="M1332" s="0" t="s">
        <v>5046</v>
      </c>
      <c r="N1332" s="14" t="n">
        <v>0.7</v>
      </c>
    </row>
    <row r="1333" customFormat="false" ht="13.8" hidden="false" customHeight="false" outlineLevel="0" collapsed="false">
      <c r="A1333" s="0" t="s">
        <v>5047</v>
      </c>
      <c r="B1333" s="0" t="n">
        <v>1</v>
      </c>
      <c r="D1333" s="0" t="s">
        <v>5048</v>
      </c>
      <c r="E1333" s="0" t="s">
        <v>5049</v>
      </c>
      <c r="F1333" s="0" t="s">
        <v>5050</v>
      </c>
      <c r="G1333" s="0" t="n">
        <v>0</v>
      </c>
      <c r="H1333" s="27" t="s">
        <v>163</v>
      </c>
      <c r="I1333" s="27" t="s">
        <v>164</v>
      </c>
      <c r="J1333" s="27" t="s">
        <v>165</v>
      </c>
      <c r="K1333" s="9" t="n">
        <v>0.0603</v>
      </c>
      <c r="N1333" s="14"/>
    </row>
    <row r="1334" customFormat="false" ht="13.8" hidden="false" customHeight="false" outlineLevel="0" collapsed="false">
      <c r="A1334" s="0" t="s">
        <v>5047</v>
      </c>
      <c r="B1334" s="0" t="n">
        <v>1</v>
      </c>
      <c r="D1334" s="4" t="s">
        <v>5048</v>
      </c>
      <c r="E1334" s="4" t="s">
        <v>5049</v>
      </c>
      <c r="F1334" s="4" t="s">
        <v>5050</v>
      </c>
      <c r="G1334" s="0" t="n">
        <v>1</v>
      </c>
      <c r="H1334" s="0" t="s">
        <v>27</v>
      </c>
      <c r="J1334" s="0" t="s">
        <v>28</v>
      </c>
      <c r="K1334" s="3" t="str">
        <f aca="false">"6.20 %"</f>
        <v>6.20 %</v>
      </c>
      <c r="O1334" s="0" t="s">
        <v>5051</v>
      </c>
    </row>
    <row r="1335" customFormat="false" ht="15" hidden="false" customHeight="false" outlineLevel="0" collapsed="false">
      <c r="A1335" s="0" t="s">
        <v>5052</v>
      </c>
      <c r="B1335" s="0" t="n">
        <v>1</v>
      </c>
      <c r="D1335" s="0" t="s">
        <v>5053</v>
      </c>
      <c r="E1335" s="6" t="s">
        <v>5054</v>
      </c>
      <c r="F1335" s="0" t="s">
        <v>5055</v>
      </c>
      <c r="G1335" s="0" t="n">
        <v>1</v>
      </c>
      <c r="H1335" s="0" t="s">
        <v>76</v>
      </c>
      <c r="J1335" s="0" t="s">
        <v>77</v>
      </c>
      <c r="K1335" s="0" t="str">
        <f aca="false">"0.95 %"</f>
        <v>0.95 %</v>
      </c>
      <c r="O1335" s="0" t="s">
        <v>5056</v>
      </c>
    </row>
    <row r="1336" customFormat="false" ht="15" hidden="false" customHeight="false" outlineLevel="0" collapsed="false">
      <c r="A1336" s="0" t="s">
        <v>5052</v>
      </c>
      <c r="B1336" s="0" t="n">
        <v>1</v>
      </c>
      <c r="D1336" s="0" t="s">
        <v>5057</v>
      </c>
      <c r="E1336" s="6" t="s">
        <v>5058</v>
      </c>
      <c r="F1336" s="0" t="s">
        <v>5059</v>
      </c>
      <c r="G1336" s="0" t="n">
        <v>1</v>
      </c>
      <c r="H1336" s="0" t="s">
        <v>76</v>
      </c>
      <c r="J1336" s="0" t="s">
        <v>77</v>
      </c>
      <c r="K1336" s="0" t="str">
        <f aca="false">"6.89 %"</f>
        <v>6.89 %</v>
      </c>
      <c r="O1336" s="0" t="s">
        <v>5060</v>
      </c>
    </row>
    <row r="1337" customFormat="false" ht="18.75" hidden="false" customHeight="false" outlineLevel="0" collapsed="false">
      <c r="A1337" s="0" t="s">
        <v>5052</v>
      </c>
      <c r="B1337" s="0" t="n">
        <v>1</v>
      </c>
      <c r="D1337" s="1" t="s">
        <v>5061</v>
      </c>
      <c r="E1337" s="6" t="s">
        <v>5062</v>
      </c>
      <c r="F1337" s="0" t="s">
        <v>5063</v>
      </c>
      <c r="G1337" s="0" t="n">
        <v>1</v>
      </c>
      <c r="H1337" s="0" t="s">
        <v>76</v>
      </c>
      <c r="J1337" s="0" t="s">
        <v>77</v>
      </c>
    </row>
    <row r="1338" customFormat="false" ht="15" hidden="false" customHeight="false" outlineLevel="0" collapsed="false">
      <c r="A1338" s="0" t="s">
        <v>5064</v>
      </c>
      <c r="B1338" s="0" t="n">
        <v>1</v>
      </c>
      <c r="D1338" s="11" t="s">
        <v>5065</v>
      </c>
      <c r="E1338" s="6" t="s">
        <v>5066</v>
      </c>
      <c r="F1338" s="0" t="s">
        <v>5067</v>
      </c>
      <c r="G1338" s="0" t="n">
        <v>0</v>
      </c>
      <c r="H1338" s="0" t="s">
        <v>1712</v>
      </c>
      <c r="I1338" s="0" t="s">
        <v>1713</v>
      </c>
      <c r="J1338" s="0" t="s">
        <v>1714</v>
      </c>
      <c r="K1338" s="0" t="str">
        <f aca="false">"6.17 %"</f>
        <v>6.17 %</v>
      </c>
      <c r="O1338" s="0" t="s">
        <v>5068</v>
      </c>
    </row>
    <row r="1339" customFormat="false" ht="15" hidden="false" customHeight="false" outlineLevel="0" collapsed="false">
      <c r="A1339" s="0" t="s">
        <v>5069</v>
      </c>
      <c r="B1339" s="0" t="n">
        <v>1</v>
      </c>
      <c r="D1339" s="0" t="s">
        <v>128</v>
      </c>
      <c r="E1339" s="6" t="s">
        <v>5070</v>
      </c>
      <c r="F1339" s="0" t="s">
        <v>130</v>
      </c>
      <c r="G1339" s="0" t="n">
        <v>1</v>
      </c>
      <c r="H1339" s="0" t="s">
        <v>27</v>
      </c>
      <c r="J1339" s="0" t="s">
        <v>28</v>
      </c>
      <c r="K1339" s="0" t="str">
        <f aca="false">"3.22 %"</f>
        <v>3.22 %</v>
      </c>
      <c r="O1339" s="0" t="s">
        <v>5071</v>
      </c>
    </row>
    <row r="1340" customFormat="false" ht="15" hidden="false" customHeight="false" outlineLevel="0" collapsed="false">
      <c r="A1340" s="0" t="s">
        <v>5072</v>
      </c>
      <c r="B1340" s="0" t="n">
        <v>1</v>
      </c>
      <c r="D1340" s="0" t="s">
        <v>5073</v>
      </c>
      <c r="E1340" s="6" t="s">
        <v>5074</v>
      </c>
      <c r="F1340" s="0" t="s">
        <v>5075</v>
      </c>
      <c r="G1340" s="0" t="n">
        <v>1</v>
      </c>
      <c r="H1340" s="0" t="s">
        <v>27</v>
      </c>
      <c r="J1340" s="0" t="s">
        <v>28</v>
      </c>
      <c r="K1340" s="0" t="str">
        <f aca="false">"6.48 %"</f>
        <v>6.48 %</v>
      </c>
      <c r="M1340" s="0" t="str">
        <f aca="false">"12.5 mA cm^{-2}"</f>
        <v>12.5 mA cm^{-2}</v>
      </c>
      <c r="O1340" s="0" t="s">
        <v>5076</v>
      </c>
    </row>
    <row r="1341" customFormat="false" ht="15" hidden="false" customHeight="false" outlineLevel="0" collapsed="false">
      <c r="A1341" s="0" t="s">
        <v>5077</v>
      </c>
      <c r="C1341" s="0" t="n">
        <v>1</v>
      </c>
      <c r="D1341" s="0" t="s">
        <v>5078</v>
      </c>
      <c r="E1341" s="6" t="s">
        <v>5079</v>
      </c>
      <c r="F1341" s="0" t="s">
        <v>5080</v>
      </c>
      <c r="G1341" s="0" t="n">
        <v>1</v>
      </c>
      <c r="H1341" s="0" t="s">
        <v>76</v>
      </c>
      <c r="J1341" s="0" t="s">
        <v>77</v>
      </c>
      <c r="K1341" s="0" t="str">
        <f aca="false">"3.5 %"</f>
        <v>3.5 %</v>
      </c>
      <c r="O1341" s="0" t="s">
        <v>5081</v>
      </c>
    </row>
    <row r="1342" customFormat="false" ht="15" hidden="false" customHeight="false" outlineLevel="0" collapsed="false">
      <c r="A1342" s="0" t="s">
        <v>5077</v>
      </c>
      <c r="B1342" s="0" t="n">
        <v>1</v>
      </c>
      <c r="D1342" s="0" t="s">
        <v>5082</v>
      </c>
      <c r="E1342" s="6" t="s">
        <v>5079</v>
      </c>
      <c r="F1342" s="0" t="s">
        <v>5083</v>
      </c>
      <c r="G1342" s="0" t="n">
        <v>1</v>
      </c>
      <c r="H1342" s="0" t="s">
        <v>76</v>
      </c>
      <c r="J1342" s="0" t="s">
        <v>77</v>
      </c>
      <c r="K1342" s="9" t="n">
        <v>0.061</v>
      </c>
    </row>
    <row r="1343" customFormat="false" ht="15" hidden="false" customHeight="false" outlineLevel="0" collapsed="false">
      <c r="A1343" s="0" t="s">
        <v>5084</v>
      </c>
      <c r="B1343" s="0" t="n">
        <v>1</v>
      </c>
      <c r="D1343" s="0" t="s">
        <v>5085</v>
      </c>
      <c r="E1343" s="6" t="s">
        <v>5086</v>
      </c>
      <c r="F1343" s="0" t="s">
        <v>5087</v>
      </c>
      <c r="G1343" s="0" t="n">
        <v>0</v>
      </c>
      <c r="H1343" s="0" t="s">
        <v>5040</v>
      </c>
      <c r="I1343" s="6" t="s">
        <v>5041</v>
      </c>
      <c r="J1343" s="0" t="s">
        <v>5042</v>
      </c>
      <c r="K1343" s="0" t="str">
        <f aca="false">"12.31 %"</f>
        <v>12.31 %</v>
      </c>
      <c r="M1343" s="0" t="str">
        <f aca="false">"23.73 mA cm^{-2}"</f>
        <v>23.73 mA cm^{-2}</v>
      </c>
      <c r="N1343" s="0" t="str">
        <f aca="false">"62.53 %"</f>
        <v>62.53 %</v>
      </c>
      <c r="O1343" s="0" t="s">
        <v>5088</v>
      </c>
    </row>
    <row r="1344" customFormat="false" ht="15" hidden="false" customHeight="false" outlineLevel="0" collapsed="false">
      <c r="A1344" s="0" t="s">
        <v>5089</v>
      </c>
      <c r="B1344" s="0" t="n">
        <v>1</v>
      </c>
      <c r="D1344" s="0" t="s">
        <v>665</v>
      </c>
      <c r="E1344" s="0" t="s">
        <v>666</v>
      </c>
      <c r="F1344" s="0" t="s">
        <v>5090</v>
      </c>
      <c r="G1344" s="0" t="n">
        <v>0</v>
      </c>
      <c r="H1344" s="0" t="s">
        <v>5091</v>
      </c>
      <c r="I1344" s="6" t="s">
        <v>5092</v>
      </c>
      <c r="J1344" s="0" t="s">
        <v>5093</v>
      </c>
      <c r="K1344" s="0" t="str">
        <f aca="false">"6.09 %"</f>
        <v>6.09 %</v>
      </c>
      <c r="L1344" s="0" t="str">
        <f aca="false">"1.00 V"</f>
        <v>1.00 V</v>
      </c>
      <c r="M1344" s="0" t="s">
        <v>5094</v>
      </c>
      <c r="N1344" s="0" t="str">
        <f aca="false">"0.52"</f>
        <v>0.52</v>
      </c>
      <c r="O1344" s="0" t="s">
        <v>5095</v>
      </c>
    </row>
    <row r="1345" customFormat="false" ht="15" hidden="false" customHeight="false" outlineLevel="0" collapsed="false">
      <c r="A1345" s="0" t="s">
        <v>5089</v>
      </c>
      <c r="B1345" s="0" t="n">
        <v>1</v>
      </c>
      <c r="D1345" s="0" t="s">
        <v>665</v>
      </c>
      <c r="E1345" s="0" t="s">
        <v>666</v>
      </c>
      <c r="F1345" s="0" t="s">
        <v>5090</v>
      </c>
      <c r="G1345" s="0" t="n">
        <v>0</v>
      </c>
      <c r="H1345" s="0" t="s">
        <v>224</v>
      </c>
      <c r="I1345" s="6" t="s">
        <v>225</v>
      </c>
      <c r="J1345" s="0" t="s">
        <v>5096</v>
      </c>
      <c r="K1345" s="9" t="str">
        <f aca="false">"2.02 %"</f>
        <v>2.02 %</v>
      </c>
      <c r="L1345" s="0" t="s">
        <v>2656</v>
      </c>
      <c r="M1345" s="0" t="s">
        <v>5097</v>
      </c>
      <c r="N1345" s="0" t="str">
        <f aca="false">"0.44"</f>
        <v>0.44</v>
      </c>
      <c r="O1345" s="0" t="s">
        <v>5098</v>
      </c>
    </row>
    <row r="1346" customFormat="false" ht="15" hidden="false" customHeight="false" outlineLevel="0" collapsed="false">
      <c r="A1346" s="0" t="s">
        <v>5099</v>
      </c>
      <c r="B1346" s="0" t="n">
        <v>1</v>
      </c>
      <c r="D1346" s="4" t="s">
        <v>5100</v>
      </c>
      <c r="E1346" s="6" t="s">
        <v>5101</v>
      </c>
      <c r="F1346" s="0" t="s">
        <v>5102</v>
      </c>
      <c r="G1346" s="0" t="n">
        <v>0</v>
      </c>
      <c r="H1346" s="0" t="s">
        <v>5103</v>
      </c>
      <c r="I1346" s="6" t="s">
        <v>3880</v>
      </c>
      <c r="J1346" s="0" t="s">
        <v>5104</v>
      </c>
      <c r="K1346" s="0" t="str">
        <f aca="false">"8.38 %"</f>
        <v>8.38 %</v>
      </c>
      <c r="O1346" s="0" t="s">
        <v>5105</v>
      </c>
    </row>
    <row r="1347" customFormat="false" ht="15" hidden="false" customHeight="false" outlineLevel="0" collapsed="false">
      <c r="A1347" s="0" t="s">
        <v>5099</v>
      </c>
      <c r="B1347" s="0" t="n">
        <v>1</v>
      </c>
      <c r="D1347" s="0" t="s">
        <v>5100</v>
      </c>
      <c r="E1347" s="6" t="s">
        <v>5101</v>
      </c>
      <c r="F1347" s="0" t="s">
        <v>5102</v>
      </c>
      <c r="G1347" s="0" t="n">
        <v>0</v>
      </c>
      <c r="H1347" s="0" t="s">
        <v>5106</v>
      </c>
      <c r="I1347" s="6" t="s">
        <v>5107</v>
      </c>
      <c r="J1347" s="0" t="s">
        <v>5108</v>
      </c>
      <c r="K1347" s="0" t="str">
        <f aca="false">"9.89 %"</f>
        <v>9.89 %</v>
      </c>
      <c r="O1347" s="0" t="s">
        <v>5109</v>
      </c>
    </row>
    <row r="1348" customFormat="false" ht="15" hidden="false" customHeight="false" outlineLevel="0" collapsed="false">
      <c r="A1348" s="0" t="s">
        <v>5099</v>
      </c>
      <c r="B1348" s="0" t="n">
        <v>1</v>
      </c>
      <c r="D1348" s="0" t="s">
        <v>5110</v>
      </c>
      <c r="E1348" s="6" t="s">
        <v>5111</v>
      </c>
      <c r="F1348" s="0" t="s">
        <v>5112</v>
      </c>
      <c r="G1348" s="0" t="n">
        <v>0</v>
      </c>
      <c r="H1348" s="4" t="s">
        <v>5103</v>
      </c>
      <c r="I1348" s="6" t="s">
        <v>3880</v>
      </c>
      <c r="J1348" s="0" t="s">
        <v>5104</v>
      </c>
      <c r="K1348" s="0" t="str">
        <f aca="false">"11.21 %"</f>
        <v>11.21 %</v>
      </c>
      <c r="O1348" s="0" t="s">
        <v>5113</v>
      </c>
    </row>
    <row r="1349" customFormat="false" ht="15" hidden="false" customHeight="false" outlineLevel="0" collapsed="false">
      <c r="A1349" s="0" t="s">
        <v>5099</v>
      </c>
      <c r="B1349" s="0" t="n">
        <v>1</v>
      </c>
      <c r="D1349" s="4" t="s">
        <v>5110</v>
      </c>
      <c r="E1349" s="6" t="s">
        <v>5111</v>
      </c>
      <c r="F1349" s="0" t="s">
        <v>5114</v>
      </c>
      <c r="G1349" s="0" t="n">
        <v>0</v>
      </c>
      <c r="H1349" s="4" t="s">
        <v>5106</v>
      </c>
      <c r="I1349" s="6" t="s">
        <v>5107</v>
      </c>
      <c r="J1349" s="0" t="s">
        <v>5108</v>
      </c>
      <c r="K1349" s="3" t="n">
        <v>0.1207</v>
      </c>
      <c r="O1349" s="0" t="s">
        <v>5115</v>
      </c>
    </row>
    <row r="1350" customFormat="false" ht="15" hidden="false" customHeight="false" outlineLevel="0" collapsed="false">
      <c r="A1350" s="0" t="s">
        <v>5116</v>
      </c>
      <c r="B1350" s="0" t="n">
        <v>1</v>
      </c>
      <c r="D1350" s="4" t="s">
        <v>5117</v>
      </c>
      <c r="E1350" s="6" t="s">
        <v>5118</v>
      </c>
      <c r="F1350" s="0" t="s">
        <v>5119</v>
      </c>
      <c r="G1350" s="0" t="n">
        <v>1</v>
      </c>
      <c r="H1350" s="0" t="s">
        <v>27</v>
      </c>
      <c r="J1350" s="0" t="s">
        <v>40</v>
      </c>
      <c r="K1350" s="0" t="str">
        <f aca="false">"5.28 %"</f>
        <v>5.28 %</v>
      </c>
      <c r="O1350" s="0" t="s">
        <v>5120</v>
      </c>
    </row>
    <row r="1351" customFormat="false" ht="16.15" hidden="false" customHeight="false" outlineLevel="0" collapsed="false">
      <c r="A1351" s="0" t="s">
        <v>5121</v>
      </c>
      <c r="B1351" s="0" t="n">
        <v>1</v>
      </c>
      <c r="D1351" s="40" t="s">
        <v>5122</v>
      </c>
      <c r="E1351" s="6" t="s">
        <v>5123</v>
      </c>
      <c r="F1351" s="0" t="s">
        <v>5124</v>
      </c>
      <c r="G1351" s="0" t="n">
        <v>1</v>
      </c>
      <c r="H1351" s="0" t="s">
        <v>27</v>
      </c>
      <c r="J1351" s="0" t="s">
        <v>28</v>
      </c>
      <c r="K1351" s="0" t="str">
        <f aca="false">"3.15 %"</f>
        <v>3.15 %</v>
      </c>
      <c r="O1351" s="0" t="s">
        <v>5125</v>
      </c>
    </row>
    <row r="1352" customFormat="false" ht="16.15" hidden="false" customHeight="false" outlineLevel="0" collapsed="false">
      <c r="A1352" s="0" t="s">
        <v>5121</v>
      </c>
      <c r="B1352" s="0" t="n">
        <v>1</v>
      </c>
      <c r="D1352" s="40" t="s">
        <v>5126</v>
      </c>
      <c r="E1352" s="6" t="s">
        <v>5127</v>
      </c>
      <c r="F1352" s="0" t="s">
        <v>5128</v>
      </c>
      <c r="G1352" s="0" t="n">
        <v>1</v>
      </c>
      <c r="H1352" s="0" t="s">
        <v>27</v>
      </c>
      <c r="J1352" s="0" t="s">
        <v>28</v>
      </c>
      <c r="K1352" s="9" t="str">
        <f aca="false">"2.50 %"</f>
        <v>2.50 %</v>
      </c>
    </row>
    <row r="1353" customFormat="false" ht="18" hidden="false" customHeight="false" outlineLevel="0" collapsed="false">
      <c r="A1353" s="0" t="s">
        <v>5129</v>
      </c>
      <c r="B1353" s="0" t="n">
        <v>1</v>
      </c>
      <c r="D1353" s="0" t="s">
        <v>5130</v>
      </c>
      <c r="E1353" s="6" t="s">
        <v>5131</v>
      </c>
      <c r="F1353" s="0" t="s">
        <v>5132</v>
      </c>
      <c r="G1353" s="0" t="n">
        <v>1</v>
      </c>
      <c r="H1353" s="0" t="s">
        <v>66</v>
      </c>
      <c r="J1353" s="0" t="s">
        <v>67</v>
      </c>
      <c r="K1353" s="0" t="str">
        <f aca="false">"2.1 %"</f>
        <v>2.1 %</v>
      </c>
      <c r="N1353" s="0" t="str">
        <f aca="false">"0.65"</f>
        <v>0.65</v>
      </c>
      <c r="O1353" s="0" t="s">
        <v>5133</v>
      </c>
    </row>
    <row r="1354" customFormat="false" ht="14.25" hidden="false" customHeight="false" outlineLevel="0" collapsed="false">
      <c r="A1354" s="0" t="s">
        <v>5134</v>
      </c>
      <c r="C1354" s="0" t="n">
        <v>1</v>
      </c>
      <c r="D1354" s="0" t="s">
        <v>5135</v>
      </c>
      <c r="F1354" s="0" t="s">
        <v>5136</v>
      </c>
      <c r="G1354" s="0" t="n">
        <v>0</v>
      </c>
      <c r="H1354" s="0" t="s">
        <v>5137</v>
      </c>
      <c r="J1354" s="0" t="s">
        <v>40</v>
      </c>
      <c r="K1354" s="0" t="str">
        <f aca="false">"~1 %"</f>
        <v>~1 %</v>
      </c>
      <c r="L1354" s="0" t="str">
        <f aca="false">"1.1 V"</f>
        <v>1.1 V</v>
      </c>
      <c r="O1354" s="0" t="s">
        <v>5138</v>
      </c>
    </row>
    <row r="1355" customFormat="false" ht="15" hidden="false" customHeight="false" outlineLevel="0" collapsed="false">
      <c r="A1355" s="0" t="s">
        <v>5139</v>
      </c>
      <c r="B1355" s="0" t="n">
        <v>1</v>
      </c>
      <c r="D1355" s="0" t="s">
        <v>5140</v>
      </c>
      <c r="E1355" s="6" t="s">
        <v>5141</v>
      </c>
      <c r="F1355" s="0" t="s">
        <v>5142</v>
      </c>
      <c r="G1355" s="0" t="n">
        <v>0</v>
      </c>
      <c r="H1355" s="0" t="s">
        <v>3505</v>
      </c>
      <c r="I1355" s="6" t="s">
        <v>3506</v>
      </c>
      <c r="J1355" s="0" t="s">
        <v>5143</v>
      </c>
      <c r="K1355" s="0" t="str">
        <f aca="false">"8.00 %"</f>
        <v>8.00 %</v>
      </c>
      <c r="L1355" s="0" t="str">
        <f aca="false">"1.20 V"</f>
        <v>1.20 V</v>
      </c>
      <c r="O1355" s="0" t="s">
        <v>5144</v>
      </c>
    </row>
    <row r="1356" customFormat="false" ht="15" hidden="false" customHeight="false" outlineLevel="0" collapsed="false">
      <c r="A1356" s="0" t="s">
        <v>5139</v>
      </c>
      <c r="B1356" s="0" t="n">
        <v>1</v>
      </c>
      <c r="D1356" s="0" t="s">
        <v>5145</v>
      </c>
      <c r="E1356" s="6" t="s">
        <v>5146</v>
      </c>
      <c r="F1356" s="0" t="s">
        <v>5147</v>
      </c>
      <c r="G1356" s="0" t="n">
        <v>0</v>
      </c>
      <c r="H1356" s="0" t="s">
        <v>3505</v>
      </c>
      <c r="I1356" s="6" t="s">
        <v>3506</v>
      </c>
      <c r="J1356" s="0" t="s">
        <v>5143</v>
      </c>
      <c r="K1356" s="0" t="str">
        <f aca="false">"6.65 %"</f>
        <v>6.65 %</v>
      </c>
      <c r="L1356" s="5" t="s">
        <v>5148</v>
      </c>
      <c r="M1356" s="5" t="s">
        <v>5149</v>
      </c>
      <c r="N1356" s="5" t="str">
        <f aca="false">"0.58"</f>
        <v>0.58</v>
      </c>
      <c r="O1356" s="0" t="s">
        <v>5150</v>
      </c>
    </row>
    <row r="1357" customFormat="false" ht="15" hidden="false" customHeight="false" outlineLevel="0" collapsed="false">
      <c r="A1357" s="0" t="s">
        <v>5139</v>
      </c>
      <c r="B1357" s="0" t="n">
        <v>1</v>
      </c>
      <c r="D1357" s="0" t="s">
        <v>5151</v>
      </c>
      <c r="E1357" s="6" t="s">
        <v>5152</v>
      </c>
      <c r="F1357" s="0" t="s">
        <v>5153</v>
      </c>
      <c r="G1357" s="0" t="n">
        <v>0</v>
      </c>
      <c r="H1357" s="0" t="s">
        <v>3505</v>
      </c>
      <c r="I1357" s="6" t="s">
        <v>3506</v>
      </c>
      <c r="J1357" s="0" t="s">
        <v>5143</v>
      </c>
      <c r="K1357" s="12" t="n">
        <v>0.0769</v>
      </c>
      <c r="L1357" s="5" t="s">
        <v>5154</v>
      </c>
      <c r="M1357" s="0" t="str">
        <f aca="false">"11.83 mA cm^{-2}"</f>
        <v>11.83 mA cm^{-2}</v>
      </c>
      <c r="N1357" s="4" t="str">
        <f aca="false">"0.62"</f>
        <v>0.62</v>
      </c>
      <c r="O1357" s="0" t="s">
        <v>5155</v>
      </c>
    </row>
    <row r="1358" customFormat="false" ht="15" hidden="false" customHeight="false" outlineLevel="0" collapsed="false">
      <c r="A1358" s="0" t="s">
        <v>5156</v>
      </c>
      <c r="B1358" s="0" t="n">
        <v>1</v>
      </c>
      <c r="D1358" s="4" t="s">
        <v>5157</v>
      </c>
      <c r="E1358" s="6" t="s">
        <v>5158</v>
      </c>
      <c r="F1358" s="0" t="s">
        <v>5159</v>
      </c>
      <c r="G1358" s="0" t="n">
        <v>0</v>
      </c>
      <c r="H1358" s="0" t="s">
        <v>5160</v>
      </c>
      <c r="I1358" s="6" t="s">
        <v>5161</v>
      </c>
      <c r="J1358" s="0" t="s">
        <v>5162</v>
      </c>
      <c r="K1358" s="0" t="str">
        <f aca="false">"10.0 %"</f>
        <v>10.0 %</v>
      </c>
      <c r="O1358" s="0" t="s">
        <v>5163</v>
      </c>
    </row>
    <row r="1359" customFormat="false" ht="15" hidden="false" customHeight="false" outlineLevel="0" collapsed="false">
      <c r="A1359" s="0" t="s">
        <v>5164</v>
      </c>
      <c r="B1359" s="0" t="n">
        <v>1</v>
      </c>
      <c r="D1359" s="0" t="s">
        <v>201</v>
      </c>
      <c r="E1359" s="0" t="s">
        <v>202</v>
      </c>
      <c r="F1359" s="0" t="s">
        <v>422</v>
      </c>
      <c r="G1359" s="0" t="n">
        <v>0</v>
      </c>
      <c r="H1359" s="0" t="s">
        <v>5165</v>
      </c>
      <c r="I1359" s="6" t="s">
        <v>5166</v>
      </c>
      <c r="J1359" s="0" t="s">
        <v>5167</v>
      </c>
      <c r="K1359" s="9" t="s">
        <v>5168</v>
      </c>
      <c r="O1359" s="0" t="s">
        <v>5169</v>
      </c>
    </row>
    <row r="1360" customFormat="false" ht="15" hidden="false" customHeight="false" outlineLevel="0" collapsed="false">
      <c r="A1360" s="0" t="s">
        <v>5164</v>
      </c>
      <c r="B1360" s="0" t="n">
        <v>1</v>
      </c>
      <c r="D1360" s="5" t="s">
        <v>2493</v>
      </c>
      <c r="E1360" s="0" t="s">
        <v>2494</v>
      </c>
      <c r="F1360" s="0" t="s">
        <v>2780</v>
      </c>
      <c r="G1360" s="0" t="n">
        <v>0</v>
      </c>
      <c r="H1360" s="0" t="s">
        <v>5165</v>
      </c>
      <c r="I1360" s="6" t="s">
        <v>5166</v>
      </c>
      <c r="J1360" s="0" t="s">
        <v>5167</v>
      </c>
      <c r="K1360" s="9" t="s">
        <v>5170</v>
      </c>
    </row>
    <row r="1361" customFormat="false" ht="18" hidden="false" customHeight="false" outlineLevel="0" collapsed="false">
      <c r="A1361" s="0" t="s">
        <v>5164</v>
      </c>
      <c r="B1361" s="0" t="n">
        <v>1</v>
      </c>
      <c r="D1361" s="41" t="s">
        <v>5171</v>
      </c>
      <c r="E1361" s="6" t="s">
        <v>1342</v>
      </c>
      <c r="F1361" s="0" t="s">
        <v>1343</v>
      </c>
      <c r="G1361" s="0" t="n">
        <v>0</v>
      </c>
      <c r="H1361" s="0" t="s">
        <v>5165</v>
      </c>
      <c r="I1361" s="6" t="s">
        <v>5166</v>
      </c>
      <c r="J1361" s="0" t="s">
        <v>5167</v>
      </c>
      <c r="K1361" s="9" t="s">
        <v>5172</v>
      </c>
    </row>
    <row r="1362" customFormat="false" ht="14.25" hidden="false" customHeight="false" outlineLevel="0" collapsed="false">
      <c r="A1362" s="0" t="s">
        <v>5173</v>
      </c>
      <c r="B1362" s="0" t="n">
        <v>1</v>
      </c>
      <c r="D1362" s="0" t="s">
        <v>1971</v>
      </c>
      <c r="E1362" s="0" t="s">
        <v>1972</v>
      </c>
      <c r="F1362" s="0" t="s">
        <v>1973</v>
      </c>
      <c r="G1362" s="0" t="n">
        <v>1</v>
      </c>
      <c r="H1362" s="0" t="s">
        <v>2764</v>
      </c>
      <c r="J1362" s="0" t="s">
        <v>40</v>
      </c>
      <c r="K1362" s="0" t="str">
        <f aca="false">"3.05 %"</f>
        <v>3.05 %</v>
      </c>
      <c r="L1362" s="0" t="str">
        <f aca="false">"0.93 V"</f>
        <v>0.93 V</v>
      </c>
      <c r="O1362" s="0" t="s">
        <v>5174</v>
      </c>
    </row>
    <row r="1363" customFormat="false" ht="18" hidden="false" customHeight="false" outlineLevel="0" collapsed="false">
      <c r="A1363" s="0" t="s">
        <v>5173</v>
      </c>
      <c r="B1363" s="0" t="n">
        <v>1</v>
      </c>
      <c r="D1363" s="5" t="s">
        <v>5175</v>
      </c>
      <c r="E1363" s="6" t="s">
        <v>5176</v>
      </c>
      <c r="G1363" s="0" t="n">
        <v>1</v>
      </c>
      <c r="H1363" s="0" t="s">
        <v>2764</v>
      </c>
      <c r="J1363" s="0" t="s">
        <v>40</v>
      </c>
    </row>
    <row r="1364" customFormat="false" ht="13.8" hidden="false" customHeight="false" outlineLevel="0" collapsed="false">
      <c r="A1364" s="0" t="s">
        <v>5177</v>
      </c>
      <c r="B1364" s="0" t="n">
        <v>1</v>
      </c>
      <c r="D1364" s="0" t="s">
        <v>624</v>
      </c>
      <c r="E1364" s="0" t="s">
        <v>600</v>
      </c>
      <c r="F1364" s="0" t="s">
        <v>625</v>
      </c>
      <c r="G1364" s="0" t="n">
        <v>1</v>
      </c>
      <c r="H1364" s="0" t="s">
        <v>76</v>
      </c>
      <c r="J1364" s="0" t="s">
        <v>77</v>
      </c>
      <c r="K1364" s="0" t="str">
        <f aca="false">"6.67 %"</f>
        <v>6.67 %</v>
      </c>
      <c r="O1364" s="0" t="s">
        <v>5178</v>
      </c>
    </row>
    <row r="1365" customFormat="false" ht="13.8" hidden="false" customHeight="false" outlineLevel="0" collapsed="false">
      <c r="A1365" s="0" t="s">
        <v>5179</v>
      </c>
      <c r="B1365" s="0" t="n">
        <v>1</v>
      </c>
      <c r="D1365" s="0" t="s">
        <v>201</v>
      </c>
      <c r="E1365" s="0" t="s">
        <v>202</v>
      </c>
      <c r="F1365" s="0" t="s">
        <v>422</v>
      </c>
      <c r="G1365" s="0" t="n">
        <v>0</v>
      </c>
      <c r="H1365" s="0" t="s">
        <v>5180</v>
      </c>
      <c r="I1365" s="0" t="s">
        <v>3668</v>
      </c>
      <c r="J1365" s="0" t="s">
        <v>40</v>
      </c>
      <c r="K1365" s="0" t="str">
        <f aca="false">"3.96 %"</f>
        <v>3.96 %</v>
      </c>
      <c r="L1365" s="0" t="str">
        <f aca="false">"0.94 V"</f>
        <v>0.94 V</v>
      </c>
      <c r="O1365" s="0" t="s">
        <v>5181</v>
      </c>
    </row>
    <row r="1366" customFormat="false" ht="15" hidden="false" customHeight="false" outlineLevel="0" collapsed="false">
      <c r="A1366" s="0" t="s">
        <v>5182</v>
      </c>
      <c r="B1366" s="0" t="n">
        <v>1</v>
      </c>
      <c r="D1366" s="0" t="s">
        <v>5183</v>
      </c>
      <c r="E1366" s="6" t="s">
        <v>5184</v>
      </c>
      <c r="F1366" s="0" t="s">
        <v>5185</v>
      </c>
      <c r="G1366" s="0" t="n">
        <v>1</v>
      </c>
      <c r="H1366" s="0" t="s">
        <v>76</v>
      </c>
      <c r="J1366" s="0" t="s">
        <v>40</v>
      </c>
      <c r="K1366" s="0" t="str">
        <f aca="false">"2.22 %"</f>
        <v>2.22 %</v>
      </c>
      <c r="M1366" s="0" t="str">
        <f aca="false">"16 mA/cm^{2}"</f>
        <v>16 mA/cm^{2}</v>
      </c>
      <c r="O1366" s="0" t="s">
        <v>5186</v>
      </c>
    </row>
    <row r="1367" customFormat="false" ht="15" hidden="false" customHeight="false" outlineLevel="0" collapsed="false">
      <c r="A1367" s="0" t="s">
        <v>5182</v>
      </c>
      <c r="B1367" s="0" t="n">
        <v>1</v>
      </c>
      <c r="D1367" s="0" t="s">
        <v>5187</v>
      </c>
      <c r="E1367" s="6" t="s">
        <v>5188</v>
      </c>
      <c r="F1367" s="0" t="s">
        <v>5189</v>
      </c>
      <c r="G1367" s="0" t="n">
        <v>1</v>
      </c>
      <c r="H1367" s="0" t="s">
        <v>76</v>
      </c>
      <c r="J1367" s="0" t="s">
        <v>40</v>
      </c>
    </row>
    <row r="1368" customFormat="false" ht="14.25" hidden="false" customHeight="false" outlineLevel="0" collapsed="false">
      <c r="A1368" s="0" t="s">
        <v>5190</v>
      </c>
      <c r="B1368" s="0" t="n">
        <v>1</v>
      </c>
      <c r="D1368" s="0" t="s">
        <v>201</v>
      </c>
      <c r="E1368" s="0" t="s">
        <v>202</v>
      </c>
      <c r="F1368" s="0" t="s">
        <v>422</v>
      </c>
      <c r="G1368" s="0" t="n">
        <v>0</v>
      </c>
      <c r="H1368" s="0" t="s">
        <v>224</v>
      </c>
      <c r="I1368" s="0" t="s">
        <v>225</v>
      </c>
      <c r="J1368" s="0" t="s">
        <v>1698</v>
      </c>
      <c r="K1368" s="0" t="str">
        <f aca="false">"4.5 %"</f>
        <v>4.5 %</v>
      </c>
      <c r="O1368" s="0" t="s">
        <v>5191</v>
      </c>
    </row>
    <row r="1369" customFormat="false" ht="15" hidden="false" customHeight="false" outlineLevel="0" collapsed="false">
      <c r="A1369" s="0" t="s">
        <v>5192</v>
      </c>
      <c r="B1369" s="0" t="n">
        <v>1</v>
      </c>
      <c r="D1369" s="0" t="s">
        <v>5193</v>
      </c>
      <c r="E1369" s="6" t="s">
        <v>5194</v>
      </c>
      <c r="F1369" s="0" t="s">
        <v>5195</v>
      </c>
      <c r="G1369" s="0" t="n">
        <v>1</v>
      </c>
      <c r="H1369" s="0" t="s">
        <v>27</v>
      </c>
      <c r="J1369" s="0" t="s">
        <v>28</v>
      </c>
      <c r="K1369" s="0" t="str">
        <f aca="false">"7.9 %"</f>
        <v>7.9 %</v>
      </c>
      <c r="L1369" s="0" t="str">
        <f aca="false">"0.80 V"</f>
        <v>0.80 V</v>
      </c>
      <c r="M1369" s="0" t="str">
        <f aca="false">"13.50 mA cm^{-2}"</f>
        <v>13.50 mA cm^{-2}</v>
      </c>
      <c r="N1369" s="0" t="str">
        <f aca="false">"72.74 %"</f>
        <v>72.74 %</v>
      </c>
      <c r="O1369" s="0" t="s">
        <v>5196</v>
      </c>
    </row>
    <row r="1370" customFormat="false" ht="15" hidden="false" customHeight="false" outlineLevel="0" collapsed="false">
      <c r="A1370" s="0" t="s">
        <v>5197</v>
      </c>
      <c r="B1370" s="0" t="n">
        <v>1</v>
      </c>
      <c r="D1370" s="0" t="s">
        <v>599</v>
      </c>
      <c r="E1370" s="0" t="s">
        <v>600</v>
      </c>
      <c r="F1370" s="0" t="s">
        <v>601</v>
      </c>
      <c r="G1370" s="0" t="n">
        <v>0</v>
      </c>
      <c r="H1370" s="0" t="s">
        <v>5198</v>
      </c>
      <c r="I1370" s="6" t="s">
        <v>5199</v>
      </c>
      <c r="J1370" s="0" t="s">
        <v>5200</v>
      </c>
      <c r="K1370" s="0" t="str">
        <f aca="false">"10.70 %"</f>
        <v>10.70 %</v>
      </c>
      <c r="L1370" s="0" t="str">
        <f aca="false">"0.92 V"</f>
        <v>0.92 V</v>
      </c>
      <c r="M1370" s="0" t="str">
        <f aca="false">"18.27 mA cm^{-2}"</f>
        <v>18.27 mA cm^{-2}</v>
      </c>
      <c r="N1370" s="0" t="str">
        <f aca="false">"0.64"</f>
        <v>0.64</v>
      </c>
      <c r="O1370" s="0" t="s">
        <v>5201</v>
      </c>
    </row>
    <row r="1371" customFormat="false" ht="15" hidden="false" customHeight="false" outlineLevel="0" collapsed="false">
      <c r="A1371" s="0" t="s">
        <v>5202</v>
      </c>
      <c r="B1371" s="0" t="n">
        <v>1</v>
      </c>
      <c r="D1371" s="0" t="s">
        <v>659</v>
      </c>
      <c r="E1371" s="0" t="s">
        <v>202</v>
      </c>
      <c r="F1371" s="0" t="s">
        <v>422</v>
      </c>
      <c r="G1371" s="0" t="n">
        <v>0</v>
      </c>
      <c r="H1371" s="0" t="s">
        <v>5203</v>
      </c>
      <c r="I1371" s="6" t="s">
        <v>5204</v>
      </c>
      <c r="J1371" s="0" t="s">
        <v>5205</v>
      </c>
      <c r="K1371" s="0" t="str">
        <f aca="false">"4.63 %"</f>
        <v>4.63 %</v>
      </c>
      <c r="L1371" s="0" t="str">
        <f aca="false">"1.05 V"</f>
        <v>1.05 V</v>
      </c>
      <c r="M1371" s="5" t="s">
        <v>5206</v>
      </c>
      <c r="O1371" s="0" t="s">
        <v>5207</v>
      </c>
    </row>
    <row r="1372" customFormat="false" ht="15" hidden="false" customHeight="false" outlineLevel="0" collapsed="false">
      <c r="A1372" s="0" t="s">
        <v>5208</v>
      </c>
      <c r="B1372" s="0" t="n">
        <v>1</v>
      </c>
      <c r="D1372" s="37" t="s">
        <v>5209</v>
      </c>
      <c r="E1372" s="37" t="s">
        <v>5210</v>
      </c>
      <c r="F1372" s="0" t="s">
        <v>40</v>
      </c>
      <c r="G1372" s="0" t="n">
        <v>0</v>
      </c>
      <c r="H1372" s="4" t="s">
        <v>5211</v>
      </c>
      <c r="I1372" s="0" t="s">
        <v>682</v>
      </c>
      <c r="J1372" s="0" t="s">
        <v>40</v>
      </c>
      <c r="K1372" s="3" t="s">
        <v>5212</v>
      </c>
      <c r="O1372" s="0" t="s">
        <v>5213</v>
      </c>
    </row>
    <row r="1373" customFormat="false" ht="13.8" hidden="false" customHeight="false" outlineLevel="0" collapsed="false">
      <c r="A1373" s="0" t="s">
        <v>5214</v>
      </c>
      <c r="C1373" s="0" t="n">
        <v>1</v>
      </c>
      <c r="D1373" s="0" t="s">
        <v>5215</v>
      </c>
      <c r="E1373" s="0" t="s">
        <v>5216</v>
      </c>
      <c r="F1373" s="0" t="s">
        <v>5217</v>
      </c>
      <c r="G1373" s="0" t="n">
        <v>1</v>
      </c>
      <c r="H1373" s="0" t="s">
        <v>152</v>
      </c>
      <c r="J1373" s="0" t="s">
        <v>5218</v>
      </c>
      <c r="K1373" s="0" t="str">
        <f aca="false">"1.2 x 10^{-3} %"</f>
        <v>1.2 x 10^{-3} %</v>
      </c>
      <c r="O1373" s="0" t="s">
        <v>5219</v>
      </c>
    </row>
    <row r="1374" customFormat="false" ht="13.8" hidden="false" customHeight="false" outlineLevel="0" collapsed="false">
      <c r="A1374" s="0" t="s">
        <v>5220</v>
      </c>
      <c r="B1374" s="0" t="n">
        <v>1</v>
      </c>
      <c r="D1374" s="0" t="s">
        <v>1208</v>
      </c>
      <c r="E1374" s="0" t="s">
        <v>17</v>
      </c>
      <c r="F1374" s="0" t="s">
        <v>5221</v>
      </c>
      <c r="G1374" s="0" t="n">
        <v>0</v>
      </c>
      <c r="H1374" s="0" t="s">
        <v>5222</v>
      </c>
      <c r="I1374" s="0" t="s">
        <v>5223</v>
      </c>
      <c r="J1374" s="0" t="s">
        <v>5224</v>
      </c>
      <c r="K1374" s="0" t="str">
        <f aca="false">"1.43 %"</f>
        <v>1.43 %</v>
      </c>
      <c r="L1374" s="0" t="str">
        <f aca="false">"1.17 V"</f>
        <v>1.17 V</v>
      </c>
      <c r="O1374" s="0" t="s">
        <v>5225</v>
      </c>
    </row>
    <row r="1375" customFormat="false" ht="13.8" hidden="false" customHeight="false" outlineLevel="0" collapsed="false">
      <c r="A1375" s="0" t="s">
        <v>5226</v>
      </c>
      <c r="B1375" s="0" t="n">
        <v>1</v>
      </c>
      <c r="D1375" s="0" t="s">
        <v>5227</v>
      </c>
      <c r="E1375" s="0" t="s">
        <v>5228</v>
      </c>
      <c r="F1375" s="0" t="s">
        <v>5229</v>
      </c>
      <c r="G1375" s="0" t="n">
        <v>1</v>
      </c>
      <c r="H1375" s="0" t="s">
        <v>526</v>
      </c>
      <c r="J1375" s="0" t="s">
        <v>40</v>
      </c>
      <c r="K1375" s="9" t="n">
        <v>0.0063</v>
      </c>
      <c r="L1375" s="0" t="s">
        <v>5230</v>
      </c>
      <c r="M1375" s="0" t="s">
        <v>5231</v>
      </c>
      <c r="O1375" s="0" t="s">
        <v>5232</v>
      </c>
    </row>
    <row r="1376" customFormat="false" ht="18" hidden="false" customHeight="false" outlineLevel="0" collapsed="false">
      <c r="A1376" s="0" t="s">
        <v>5233</v>
      </c>
      <c r="B1376" s="0" t="n">
        <v>1</v>
      </c>
      <c r="D1376" s="0" t="s">
        <v>5234</v>
      </c>
      <c r="E1376" s="6" t="s">
        <v>5235</v>
      </c>
      <c r="F1376" s="0" t="s">
        <v>5236</v>
      </c>
      <c r="G1376" s="0" t="n">
        <v>1</v>
      </c>
      <c r="H1376" s="0" t="s">
        <v>27</v>
      </c>
      <c r="J1376" s="0" t="s">
        <v>28</v>
      </c>
      <c r="K1376" s="0" t="str">
        <f aca="false">"1.6 %"</f>
        <v>1.6 %</v>
      </c>
      <c r="L1376" s="0" t="str">
        <f aca="false">"0.84 V"</f>
        <v>0.84 V</v>
      </c>
      <c r="O1376" s="0" t="s">
        <v>5237</v>
      </c>
    </row>
    <row r="1377" customFormat="false" ht="13.8" hidden="false" customHeight="false" outlineLevel="0" collapsed="false">
      <c r="A1377" s="0" t="s">
        <v>5238</v>
      </c>
      <c r="B1377" s="0" t="n">
        <v>1</v>
      </c>
      <c r="D1377" s="0" t="s">
        <v>5239</v>
      </c>
      <c r="E1377" s="0" t="s">
        <v>5240</v>
      </c>
      <c r="F1377" s="0" t="s">
        <v>5241</v>
      </c>
      <c r="G1377" s="0" t="n">
        <v>0</v>
      </c>
      <c r="H1377" s="0" t="s">
        <v>1121</v>
      </c>
      <c r="I1377" s="0" t="s">
        <v>225</v>
      </c>
      <c r="J1377" s="0" t="s">
        <v>1122</v>
      </c>
      <c r="K1377" s="0" t="str">
        <f aca="false">"4.39 %"</f>
        <v>4.39 %</v>
      </c>
      <c r="O1377" s="0" t="s">
        <v>5242</v>
      </c>
    </row>
    <row r="1378" customFormat="false" ht="13.8" hidden="false" customHeight="false" outlineLevel="0" collapsed="false">
      <c r="A1378" s="0" t="s">
        <v>5243</v>
      </c>
      <c r="B1378" s="0" t="n">
        <v>1</v>
      </c>
      <c r="D1378" s="0" t="s">
        <v>5244</v>
      </c>
      <c r="E1378" s="0" t="s">
        <v>5245</v>
      </c>
      <c r="F1378" s="0" t="s">
        <v>5246</v>
      </c>
      <c r="G1378" s="0" t="n">
        <v>1</v>
      </c>
      <c r="H1378" s="0" t="s">
        <v>27</v>
      </c>
      <c r="J1378" s="0" t="s">
        <v>28</v>
      </c>
      <c r="K1378" s="3" t="n">
        <v>0.0434</v>
      </c>
      <c r="O1378" s="0" t="s">
        <v>5247</v>
      </c>
    </row>
    <row r="1379" customFormat="false" ht="13.8" hidden="false" customHeight="false" outlineLevel="0" collapsed="false">
      <c r="A1379" s="0" t="s">
        <v>5243</v>
      </c>
      <c r="B1379" s="0" t="n">
        <v>1</v>
      </c>
      <c r="D1379" s="0" t="s">
        <v>5244</v>
      </c>
      <c r="E1379" s="0" t="s">
        <v>5245</v>
      </c>
      <c r="F1379" s="0" t="s">
        <v>5246</v>
      </c>
      <c r="G1379" s="0" t="n">
        <v>0</v>
      </c>
      <c r="H1379" s="5" t="s">
        <v>163</v>
      </c>
      <c r="I1379" s="0" t="s">
        <v>164</v>
      </c>
      <c r="J1379" s="0" t="s">
        <v>165</v>
      </c>
      <c r="K1379" s="9" t="n">
        <v>0.0372</v>
      </c>
    </row>
    <row r="1380" customFormat="false" ht="13.8" hidden="false" customHeight="false" outlineLevel="0" collapsed="false">
      <c r="A1380" s="0" t="s">
        <v>5248</v>
      </c>
      <c r="B1380" s="0" t="n">
        <v>1</v>
      </c>
      <c r="D1380" s="0" t="s">
        <v>85</v>
      </c>
      <c r="E1380" s="0" t="s">
        <v>86</v>
      </c>
      <c r="F1380" s="0" t="s">
        <v>87</v>
      </c>
      <c r="G1380" s="0" t="n">
        <v>1</v>
      </c>
      <c r="H1380" s="0" t="s">
        <v>27</v>
      </c>
      <c r="J1380" s="0" t="s">
        <v>28</v>
      </c>
      <c r="K1380" s="3" t="n">
        <v>0.082</v>
      </c>
      <c r="O1380" s="0" t="s">
        <v>5249</v>
      </c>
    </row>
    <row r="1381" customFormat="false" ht="13.8" hidden="false" customHeight="false" outlineLevel="0" collapsed="false">
      <c r="A1381" s="0" t="s">
        <v>5248</v>
      </c>
      <c r="B1381" s="0" t="n">
        <v>1</v>
      </c>
      <c r="D1381" s="0" t="s">
        <v>599</v>
      </c>
      <c r="E1381" s="0" t="s">
        <v>600</v>
      </c>
      <c r="F1381" s="0" t="s">
        <v>601</v>
      </c>
      <c r="G1381" s="0" t="n">
        <v>0</v>
      </c>
      <c r="H1381" s="0" t="s">
        <v>163</v>
      </c>
      <c r="I1381" s="0" t="s">
        <v>164</v>
      </c>
      <c r="J1381" s="0" t="s">
        <v>165</v>
      </c>
      <c r="K1381" s="3" t="n">
        <v>0.102</v>
      </c>
      <c r="O1381" s="0" t="s">
        <v>5250</v>
      </c>
    </row>
    <row r="1382" customFormat="false" ht="13.8" hidden="false" customHeight="false" outlineLevel="0" collapsed="false">
      <c r="A1382" s="0" t="s">
        <v>5251</v>
      </c>
      <c r="B1382" s="0" t="n">
        <v>1</v>
      </c>
      <c r="D1382" s="0" t="s">
        <v>16</v>
      </c>
      <c r="E1382" s="0" t="s">
        <v>17</v>
      </c>
      <c r="F1382" s="0" t="s">
        <v>709</v>
      </c>
      <c r="G1382" s="0" t="n">
        <v>1</v>
      </c>
      <c r="H1382" s="0" t="s">
        <v>27</v>
      </c>
      <c r="J1382" s="0" t="s">
        <v>28</v>
      </c>
      <c r="K1382" s="0" t="str">
        <f aca="false">"5.74 %"</f>
        <v>5.74 %</v>
      </c>
      <c r="O1382" s="0" t="s">
        <v>5252</v>
      </c>
    </row>
    <row r="1383" customFormat="false" ht="13.8" hidden="false" customHeight="false" outlineLevel="0" collapsed="false">
      <c r="A1383" s="0" t="s">
        <v>5253</v>
      </c>
      <c r="B1383" s="0" t="n">
        <v>1</v>
      </c>
      <c r="D1383" s="0" t="s">
        <v>124</v>
      </c>
      <c r="E1383" s="0" t="s">
        <v>5254</v>
      </c>
      <c r="F1383" s="0" t="s">
        <v>427</v>
      </c>
      <c r="G1383" s="0" t="n">
        <v>1</v>
      </c>
      <c r="H1383" s="0" t="s">
        <v>27</v>
      </c>
      <c r="J1383" s="0" t="s">
        <v>28</v>
      </c>
      <c r="K1383" s="0" t="str">
        <f aca="false">"5.33 %"</f>
        <v>5.33 %</v>
      </c>
      <c r="O1383" s="0" t="s">
        <v>5255</v>
      </c>
    </row>
    <row r="1384" customFormat="false" ht="13.8" hidden="false" customHeight="false" outlineLevel="0" collapsed="false">
      <c r="A1384" s="0" t="s">
        <v>5256</v>
      </c>
      <c r="B1384" s="0" t="n">
        <v>1</v>
      </c>
      <c r="D1384" s="0" t="s">
        <v>5257</v>
      </c>
      <c r="E1384" s="0" t="s">
        <v>5258</v>
      </c>
      <c r="F1384" s="0" t="s">
        <v>5259</v>
      </c>
      <c r="G1384" s="0" t="n">
        <v>1</v>
      </c>
      <c r="H1384" s="0" t="s">
        <v>76</v>
      </c>
      <c r="J1384" s="0" t="s">
        <v>77</v>
      </c>
      <c r="K1384" s="0" t="str">
        <f aca="false">"1.25 %"</f>
        <v>1.25 %</v>
      </c>
      <c r="O1384" s="0" t="s">
        <v>5260</v>
      </c>
    </row>
    <row r="1385" customFormat="false" ht="13.8" hidden="false" customHeight="false" outlineLevel="0" collapsed="false">
      <c r="A1385" s="0" t="s">
        <v>5256</v>
      </c>
      <c r="B1385" s="0" t="n">
        <v>1</v>
      </c>
      <c r="D1385" s="0" t="s">
        <v>5261</v>
      </c>
      <c r="E1385" s="0" t="s">
        <v>5262</v>
      </c>
      <c r="F1385" s="0" t="s">
        <v>5263</v>
      </c>
      <c r="G1385" s="0" t="n">
        <v>1</v>
      </c>
      <c r="H1385" s="0" t="s">
        <v>76</v>
      </c>
      <c r="J1385" s="0" t="s">
        <v>77</v>
      </c>
      <c r="K1385" s="9" t="n">
        <v>0.0157</v>
      </c>
    </row>
    <row r="1386" customFormat="false" ht="15" hidden="false" customHeight="false" outlineLevel="0" collapsed="false">
      <c r="A1386" s="0" t="s">
        <v>5264</v>
      </c>
      <c r="B1386" s="0" t="n">
        <v>1</v>
      </c>
      <c r="D1386" s="4" t="s">
        <v>128</v>
      </c>
      <c r="E1386" s="6" t="s">
        <v>5265</v>
      </c>
      <c r="F1386" s="0" t="s">
        <v>130</v>
      </c>
      <c r="G1386" s="0" t="n">
        <v>1</v>
      </c>
      <c r="H1386" s="0" t="s">
        <v>27</v>
      </c>
      <c r="J1386" s="0" t="s">
        <v>28</v>
      </c>
      <c r="K1386" s="0" t="str">
        <f aca="false">"2.50 %"</f>
        <v>2.50 %</v>
      </c>
      <c r="L1386" s="0" t="str">
        <f aca="false">"0.70 V"</f>
        <v>0.70 V</v>
      </c>
      <c r="M1386" s="0" t="str">
        <f aca="false">"6.89 mA cm^{-2}"</f>
        <v>6.89 mA cm^{-2}</v>
      </c>
      <c r="N1386" s="0" t="str">
        <f aca="false">"52 %"</f>
        <v>52 %</v>
      </c>
      <c r="O1386" s="0" t="s">
        <v>5266</v>
      </c>
    </row>
    <row r="1387" customFormat="false" ht="15" hidden="false" customHeight="false" outlineLevel="0" collapsed="false">
      <c r="A1387" s="0" t="s">
        <v>5264</v>
      </c>
      <c r="B1387" s="0" t="n">
        <v>1</v>
      </c>
      <c r="D1387" s="4" t="s">
        <v>124</v>
      </c>
      <c r="E1387" s="6" t="s">
        <v>5267</v>
      </c>
      <c r="F1387" s="0" t="s">
        <v>427</v>
      </c>
      <c r="G1387" s="0" t="n">
        <v>1</v>
      </c>
      <c r="H1387" s="0" t="s">
        <v>27</v>
      </c>
      <c r="J1387" s="0" t="s">
        <v>28</v>
      </c>
      <c r="K1387" s="9" t="s">
        <v>5268</v>
      </c>
    </row>
    <row r="1388" customFormat="false" ht="15" hidden="false" customHeight="false" outlineLevel="0" collapsed="false">
      <c r="A1388" s="0" t="s">
        <v>5269</v>
      </c>
      <c r="B1388" s="0" t="n">
        <v>1</v>
      </c>
      <c r="D1388" s="4" t="s">
        <v>128</v>
      </c>
      <c r="E1388" s="6" t="s">
        <v>5270</v>
      </c>
      <c r="F1388" s="0" t="s">
        <v>5271</v>
      </c>
      <c r="G1388" s="0" t="n">
        <v>1</v>
      </c>
      <c r="H1388" s="0" t="s">
        <v>575</v>
      </c>
      <c r="J1388" s="0" t="s">
        <v>40</v>
      </c>
      <c r="K1388" s="9" t="n">
        <v>0.0096</v>
      </c>
      <c r="O1388" s="0" t="s">
        <v>5272</v>
      </c>
    </row>
    <row r="1389" customFormat="false" ht="15" hidden="false" customHeight="false" outlineLevel="0" collapsed="false">
      <c r="A1389" s="0" t="s">
        <v>5269</v>
      </c>
      <c r="B1389" s="0" t="n">
        <v>1</v>
      </c>
      <c r="D1389" s="4" t="s">
        <v>124</v>
      </c>
      <c r="E1389" s="6" t="s">
        <v>5273</v>
      </c>
      <c r="F1389" s="0" t="s">
        <v>5274</v>
      </c>
      <c r="G1389" s="0" t="n">
        <v>1</v>
      </c>
      <c r="H1389" s="0" t="s">
        <v>575</v>
      </c>
      <c r="J1389" s="0" t="s">
        <v>40</v>
      </c>
      <c r="K1389" s="0" t="str">
        <f aca="false">"0.81 %"</f>
        <v>0.81 %</v>
      </c>
      <c r="O1389" s="0" t="s">
        <v>5275</v>
      </c>
    </row>
    <row r="1390" customFormat="false" ht="13.8" hidden="false" customHeight="false" outlineLevel="0" collapsed="false">
      <c r="A1390" s="0" t="s">
        <v>5276</v>
      </c>
      <c r="C1390" s="0" t="n">
        <v>1</v>
      </c>
      <c r="D1390" s="0" t="s">
        <v>5277</v>
      </c>
      <c r="E1390" s="0" t="s">
        <v>1117</v>
      </c>
      <c r="F1390" s="0" t="s">
        <v>5278</v>
      </c>
      <c r="G1390" s="0" t="n">
        <v>0</v>
      </c>
      <c r="H1390" s="0" t="s">
        <v>5040</v>
      </c>
      <c r="I1390" s="0" t="s">
        <v>5041</v>
      </c>
      <c r="J1390" s="0" t="s">
        <v>5042</v>
      </c>
      <c r="K1390" s="0" t="str">
        <f aca="false">"17.24 %"</f>
        <v>17.24 %</v>
      </c>
      <c r="O1390" s="0" t="s">
        <v>5279</v>
      </c>
    </row>
    <row r="1391" customFormat="false" ht="13.8" hidden="false" customHeight="false" outlineLevel="0" collapsed="false">
      <c r="A1391" s="0" t="s">
        <v>5276</v>
      </c>
      <c r="C1391" s="0" t="n">
        <v>1</v>
      </c>
      <c r="D1391" s="0" t="s">
        <v>5280</v>
      </c>
      <c r="E1391" s="0" t="s">
        <v>1117</v>
      </c>
      <c r="F1391" s="0" t="s">
        <v>5281</v>
      </c>
      <c r="G1391" s="0" t="n">
        <v>0</v>
      </c>
      <c r="H1391" s="0" t="s">
        <v>5040</v>
      </c>
      <c r="I1391" s="0" t="s">
        <v>5041</v>
      </c>
      <c r="J1391" s="0" t="s">
        <v>5042</v>
      </c>
      <c r="K1391" s="0" t="str">
        <f aca="false">"15.39 %"</f>
        <v>15.39 %</v>
      </c>
      <c r="O1391" s="0" t="s">
        <v>5282</v>
      </c>
    </row>
    <row r="1392" customFormat="false" ht="18" hidden="false" customHeight="false" outlineLevel="0" collapsed="false">
      <c r="A1392" s="0" t="s">
        <v>5283</v>
      </c>
      <c r="B1392" s="0" t="n">
        <v>1</v>
      </c>
      <c r="D1392" s="0" t="s">
        <v>4350</v>
      </c>
      <c r="E1392" s="0" t="s">
        <v>600</v>
      </c>
      <c r="F1392" s="0" t="s">
        <v>4351</v>
      </c>
      <c r="G1392" s="0" t="n">
        <v>0</v>
      </c>
      <c r="H1392" s="42" t="s">
        <v>5284</v>
      </c>
      <c r="I1392" s="6" t="s">
        <v>5285</v>
      </c>
      <c r="J1392" s="0" t="s">
        <v>5286</v>
      </c>
      <c r="K1392" s="0" t="str">
        <f aca="false">"10.37 %"</f>
        <v>10.37 %</v>
      </c>
      <c r="O1392" s="0" t="s">
        <v>5287</v>
      </c>
    </row>
    <row r="1393" customFormat="false" ht="13.8" hidden="false" customHeight="false" outlineLevel="0" collapsed="false">
      <c r="A1393" s="0" t="s">
        <v>5288</v>
      </c>
      <c r="C1393" s="0" t="n">
        <v>1</v>
      </c>
      <c r="D1393" s="0" t="s">
        <v>5289</v>
      </c>
      <c r="E1393" s="0" t="s">
        <v>1169</v>
      </c>
      <c r="F1393" s="0" t="s">
        <v>5290</v>
      </c>
      <c r="G1393" s="0" t="n">
        <v>0</v>
      </c>
      <c r="H1393" s="0" t="s">
        <v>5291</v>
      </c>
      <c r="J1393" s="0" t="s">
        <v>5292</v>
      </c>
      <c r="K1393" s="0" t="str">
        <f aca="false">"16.55 %"</f>
        <v>16.55 %</v>
      </c>
      <c r="O1393" s="0" t="s">
        <v>5293</v>
      </c>
    </row>
    <row r="1394" customFormat="false" ht="13.8" hidden="false" customHeight="false" outlineLevel="0" collapsed="false">
      <c r="A1394" s="0" t="s">
        <v>5294</v>
      </c>
      <c r="B1394" s="0" t="n">
        <v>1</v>
      </c>
      <c r="D1394" s="0" t="s">
        <v>201</v>
      </c>
      <c r="E1394" s="0" t="s">
        <v>202</v>
      </c>
      <c r="F1394" s="0" t="s">
        <v>422</v>
      </c>
      <c r="G1394" s="0" t="n">
        <v>1</v>
      </c>
      <c r="H1394" s="0" t="s">
        <v>27</v>
      </c>
      <c r="J1394" s="0" t="s">
        <v>28</v>
      </c>
      <c r="K1394" s="0" t="str">
        <f aca="false">"13.5 %"</f>
        <v>13.5 %</v>
      </c>
      <c r="O1394" s="0" t="s">
        <v>5295</v>
      </c>
    </row>
    <row r="1395" customFormat="false" ht="18" hidden="false" customHeight="false" outlineLevel="0" collapsed="false">
      <c r="A1395" s="0" t="s">
        <v>5296</v>
      </c>
      <c r="B1395" s="0" t="n">
        <v>1</v>
      </c>
      <c r="D1395" s="0" t="s">
        <v>5297</v>
      </c>
      <c r="E1395" s="6" t="s">
        <v>5298</v>
      </c>
      <c r="F1395" s="0" t="s">
        <v>5299</v>
      </c>
      <c r="G1395" s="0" t="n">
        <v>1</v>
      </c>
      <c r="H1395" s="0" t="s">
        <v>5300</v>
      </c>
      <c r="I1395" s="0" t="s">
        <v>5301</v>
      </c>
      <c r="J1395" s="0" t="s">
        <v>5302</v>
      </c>
      <c r="K1395" s="0" t="str">
        <f aca="false">"0.7 %"</f>
        <v>0.7 %</v>
      </c>
      <c r="L1395" s="0" t="str">
        <f aca="false">"0.58 V"</f>
        <v>0.58 V</v>
      </c>
      <c r="O1395" s="0" t="s">
        <v>5303</v>
      </c>
    </row>
    <row r="1396" customFormat="false" ht="14.25" hidden="false" customHeight="false" outlineLevel="0" collapsed="false">
      <c r="A1396" s="0" t="s">
        <v>5304</v>
      </c>
      <c r="C1396" s="0" t="n">
        <v>1</v>
      </c>
      <c r="D1396" s="0" t="s">
        <v>201</v>
      </c>
      <c r="E1396" s="0" t="s">
        <v>202</v>
      </c>
      <c r="F1396" s="0" t="s">
        <v>5305</v>
      </c>
      <c r="G1396" s="0" t="n">
        <v>1</v>
      </c>
      <c r="H1396" s="0" t="s">
        <v>27</v>
      </c>
      <c r="J1396" s="0" t="s">
        <v>1274</v>
      </c>
      <c r="K1396" s="0" t="str">
        <f aca="false">"11.94 %"</f>
        <v>11.94 %</v>
      </c>
      <c r="O1396" s="0" t="s">
        <v>5306</v>
      </c>
    </row>
    <row r="1397" customFormat="false" ht="18" hidden="false" customHeight="false" outlineLevel="0" collapsed="false">
      <c r="A1397" s="0" t="s">
        <v>5307</v>
      </c>
      <c r="B1397" s="0" t="n">
        <v>1</v>
      </c>
      <c r="D1397" s="4" t="s">
        <v>5308</v>
      </c>
      <c r="E1397" s="6" t="s">
        <v>5309</v>
      </c>
      <c r="F1397" s="0" t="s">
        <v>5310</v>
      </c>
      <c r="G1397" s="0" t="n">
        <v>1</v>
      </c>
      <c r="H1397" s="0" t="s">
        <v>33</v>
      </c>
      <c r="J1397" s="0" t="s">
        <v>34</v>
      </c>
      <c r="K1397" s="0" t="str">
        <f aca="false">"4.3"</f>
        <v>4.3</v>
      </c>
      <c r="O1397" s="0" t="s">
        <v>5311</v>
      </c>
    </row>
    <row r="1398" customFormat="false" ht="14.25" hidden="false" customHeight="false" outlineLevel="0" collapsed="false">
      <c r="A1398" s="0" t="s">
        <v>5307</v>
      </c>
      <c r="B1398" s="0" t="n">
        <v>1</v>
      </c>
      <c r="D1398" s="4" t="s">
        <v>16</v>
      </c>
      <c r="E1398" s="0" t="s">
        <v>17</v>
      </c>
      <c r="F1398" s="0" t="s">
        <v>18</v>
      </c>
      <c r="G1398" s="0" t="n">
        <v>1</v>
      </c>
      <c r="H1398" s="0" t="s">
        <v>33</v>
      </c>
      <c r="J1398" s="0" t="s">
        <v>34</v>
      </c>
      <c r="K1398" s="0" t="str">
        <f aca="false">"4.6 %"</f>
        <v>4.6 %</v>
      </c>
      <c r="O1398" s="0" t="s">
        <v>5312</v>
      </c>
    </row>
    <row r="1399" customFormat="false" ht="15" hidden="false" customHeight="false" outlineLevel="0" collapsed="false">
      <c r="A1399" s="0" t="s">
        <v>5307</v>
      </c>
      <c r="B1399" s="0" t="n">
        <v>1</v>
      </c>
      <c r="D1399" s="5" t="s">
        <v>1056</v>
      </c>
      <c r="E1399" s="6" t="s">
        <v>5313</v>
      </c>
      <c r="F1399" s="0" t="s">
        <v>5314</v>
      </c>
      <c r="G1399" s="0" t="n">
        <v>1</v>
      </c>
      <c r="H1399" s="0" t="s">
        <v>33</v>
      </c>
      <c r="J1399" s="0" t="s">
        <v>34</v>
      </c>
      <c r="K1399" s="9" t="str">
        <f aca="false">"3.2"</f>
        <v>3.2</v>
      </c>
    </row>
    <row r="1400" customFormat="false" ht="15" hidden="false" customHeight="false" outlineLevel="0" collapsed="false">
      <c r="A1400" s="0" t="s">
        <v>5315</v>
      </c>
      <c r="B1400" s="0" t="n">
        <v>1</v>
      </c>
      <c r="D1400" s="0" t="s">
        <v>5316</v>
      </c>
      <c r="E1400" s="6" t="s">
        <v>1812</v>
      </c>
      <c r="F1400" s="0" t="s">
        <v>5317</v>
      </c>
      <c r="G1400" s="0" t="n">
        <v>1</v>
      </c>
      <c r="H1400" s="0" t="s">
        <v>33</v>
      </c>
      <c r="J1400" s="0" t="s">
        <v>40</v>
      </c>
      <c r="K1400" s="0" t="str">
        <f aca="false">"5 %"</f>
        <v>5 %</v>
      </c>
      <c r="O1400" s="0" t="s">
        <v>5318</v>
      </c>
    </row>
    <row r="1401" customFormat="false" ht="13.8" hidden="false" customHeight="false" outlineLevel="0" collapsed="false">
      <c r="A1401" s="0" t="s">
        <v>5319</v>
      </c>
      <c r="B1401" s="0" t="n">
        <v>1</v>
      </c>
      <c r="D1401" s="0" t="s">
        <v>599</v>
      </c>
      <c r="E1401" s="0" t="s">
        <v>600</v>
      </c>
      <c r="F1401" s="0" t="s">
        <v>601</v>
      </c>
      <c r="G1401" s="0" t="n">
        <v>0</v>
      </c>
      <c r="H1401" s="0" t="s">
        <v>5320</v>
      </c>
      <c r="I1401" s="0" t="s">
        <v>5321</v>
      </c>
      <c r="J1401" s="0" t="s">
        <v>5322</v>
      </c>
      <c r="K1401" s="0" t="str">
        <f aca="false">"13.1 %"</f>
        <v>13.1 %</v>
      </c>
      <c r="O1401" s="0" t="s">
        <v>5323</v>
      </c>
    </row>
    <row r="1402" customFormat="false" ht="13.8" hidden="false" customHeight="false" outlineLevel="0" collapsed="false">
      <c r="A1402" s="0" t="s">
        <v>5324</v>
      </c>
      <c r="B1402" s="0" t="n">
        <v>1</v>
      </c>
      <c r="D1402" s="0" t="s">
        <v>962</v>
      </c>
      <c r="E1402" s="0" t="s">
        <v>963</v>
      </c>
      <c r="F1402" s="0" t="s">
        <v>964</v>
      </c>
      <c r="G1402" s="0" t="n">
        <v>0</v>
      </c>
      <c r="H1402" s="0" t="s">
        <v>5325</v>
      </c>
      <c r="I1402" s="0" t="s">
        <v>5326</v>
      </c>
      <c r="J1402" s="0" t="s">
        <v>5327</v>
      </c>
      <c r="K1402" s="0" t="str">
        <f aca="false">"8.65 %"</f>
        <v>8.65 %</v>
      </c>
      <c r="O1402" s="0" t="s">
        <v>5328</v>
      </c>
    </row>
    <row r="1403" customFormat="false" ht="18" hidden="false" customHeight="false" outlineLevel="0" collapsed="false">
      <c r="A1403" s="0" t="s">
        <v>5329</v>
      </c>
      <c r="B1403" s="0" t="n">
        <v>1</v>
      </c>
      <c r="D1403" s="0" t="s">
        <v>5330</v>
      </c>
      <c r="E1403" s="6" t="s">
        <v>5331</v>
      </c>
      <c r="F1403" s="0" t="s">
        <v>5332</v>
      </c>
      <c r="G1403" s="0" t="n">
        <v>0</v>
      </c>
      <c r="H1403" s="0" t="s">
        <v>5333</v>
      </c>
      <c r="I1403" s="0" t="s">
        <v>5334</v>
      </c>
      <c r="J1403" s="0" t="s">
        <v>5335</v>
      </c>
      <c r="K1403" s="8" t="str">
        <f aca="false">"14.0 %"</f>
        <v>14.0 %</v>
      </c>
      <c r="O1403" s="0" t="s">
        <v>5336</v>
      </c>
    </row>
    <row r="1404" customFormat="false" ht="13.8" hidden="false" customHeight="false" outlineLevel="0" collapsed="false">
      <c r="A1404" s="0" t="s">
        <v>5329</v>
      </c>
      <c r="B1404" s="0" t="n">
        <v>1</v>
      </c>
      <c r="D1404" s="0" t="s">
        <v>208</v>
      </c>
      <c r="E1404" s="0" t="s">
        <v>17</v>
      </c>
      <c r="F1404" s="0" t="s">
        <v>18</v>
      </c>
      <c r="G1404" s="0" t="n">
        <v>1</v>
      </c>
      <c r="H1404" s="0" t="s">
        <v>33</v>
      </c>
      <c r="J1404" s="0" t="s">
        <v>34</v>
      </c>
      <c r="K1404" s="9" t="n">
        <v>0.046</v>
      </c>
      <c r="O1404" s="0" t="s">
        <v>5337</v>
      </c>
    </row>
    <row r="1405" customFormat="false" ht="13.8" hidden="false" customHeight="false" outlineLevel="0" collapsed="false">
      <c r="A1405" s="0" t="s">
        <v>5338</v>
      </c>
      <c r="B1405" s="0" t="n">
        <v>1</v>
      </c>
      <c r="D1405" s="0" t="s">
        <v>208</v>
      </c>
      <c r="E1405" s="0" t="s">
        <v>17</v>
      </c>
      <c r="F1405" s="0" t="s">
        <v>209</v>
      </c>
      <c r="G1405" s="0" t="n">
        <v>1</v>
      </c>
      <c r="H1405" s="0" t="s">
        <v>152</v>
      </c>
      <c r="J1405" s="0" t="s">
        <v>153</v>
      </c>
      <c r="K1405" s="0" t="str">
        <f aca="false">"4.1 %"</f>
        <v>4.1 %</v>
      </c>
      <c r="O1405" s="0" t="s">
        <v>5339</v>
      </c>
    </row>
    <row r="1406" customFormat="false" ht="13.8" hidden="false" customHeight="false" outlineLevel="0" collapsed="false">
      <c r="A1406" s="0" t="s">
        <v>5340</v>
      </c>
      <c r="B1406" s="0" t="n">
        <v>1</v>
      </c>
      <c r="D1406" s="0" t="s">
        <v>599</v>
      </c>
      <c r="E1406" s="0" t="s">
        <v>600</v>
      </c>
      <c r="F1406" s="0" t="s">
        <v>601</v>
      </c>
      <c r="G1406" s="0" t="n">
        <v>0</v>
      </c>
      <c r="H1406" s="17" t="s">
        <v>1472</v>
      </c>
      <c r="I1406" s="0" t="s">
        <v>1473</v>
      </c>
      <c r="J1406" s="0" t="s">
        <v>5341</v>
      </c>
      <c r="K1406" s="9" t="n">
        <v>0.1106</v>
      </c>
      <c r="O1406" s="0" t="s">
        <v>5342</v>
      </c>
    </row>
    <row r="1407" customFormat="false" ht="13.8" hidden="false" customHeight="false" outlineLevel="0" collapsed="false">
      <c r="A1407" s="0" t="s">
        <v>5340</v>
      </c>
      <c r="B1407" s="0" t="n">
        <v>1</v>
      </c>
      <c r="D1407" s="0" t="s">
        <v>1956</v>
      </c>
      <c r="E1407" s="0" t="s">
        <v>1957</v>
      </c>
      <c r="F1407" s="0" t="s">
        <v>1958</v>
      </c>
      <c r="G1407" s="0" t="n">
        <v>0</v>
      </c>
      <c r="H1407" s="0" t="s">
        <v>681</v>
      </c>
      <c r="I1407" s="0" t="s">
        <v>682</v>
      </c>
      <c r="J1407" s="0" t="s">
        <v>5044</v>
      </c>
      <c r="K1407" s="3" t="n">
        <v>0.1319</v>
      </c>
      <c r="O1407" s="0" t="s">
        <v>5343</v>
      </c>
    </row>
    <row r="1408" customFormat="false" ht="18" hidden="false" customHeight="false" outlineLevel="0" collapsed="false">
      <c r="A1408" s="0" t="s">
        <v>5340</v>
      </c>
      <c r="B1408" s="0" t="n">
        <v>1</v>
      </c>
      <c r="D1408" s="0" t="s">
        <v>5344</v>
      </c>
      <c r="E1408" s="0" t="s">
        <v>5345</v>
      </c>
      <c r="F1408" s="0" t="s">
        <v>5346</v>
      </c>
      <c r="G1408" s="0" t="n">
        <v>0</v>
      </c>
      <c r="H1408" s="0" t="s">
        <v>5347</v>
      </c>
      <c r="I1408" s="6" t="s">
        <v>5348</v>
      </c>
      <c r="J1408" s="0" t="s">
        <v>5349</v>
      </c>
      <c r="K1408" s="0" t="str">
        <f aca="false">"16.26 %"</f>
        <v>16.26 %</v>
      </c>
      <c r="O1408" s="0" t="s">
        <v>5350</v>
      </c>
    </row>
    <row r="1409" customFormat="false" ht="13.8" hidden="false" customHeight="false" outlineLevel="0" collapsed="false">
      <c r="A1409" s="0" t="s">
        <v>5351</v>
      </c>
      <c r="B1409" s="0" t="n">
        <v>1</v>
      </c>
      <c r="D1409" s="0" t="s">
        <v>1116</v>
      </c>
      <c r="E1409" s="0" t="s">
        <v>1117</v>
      </c>
      <c r="F1409" s="0" t="s">
        <v>1118</v>
      </c>
      <c r="G1409" s="0" t="n">
        <v>0</v>
      </c>
      <c r="H1409" s="0" t="s">
        <v>5040</v>
      </c>
      <c r="I1409" s="0" t="s">
        <v>5041</v>
      </c>
      <c r="J1409" s="0" t="s">
        <v>5352</v>
      </c>
      <c r="K1409" s="0" t="str">
        <f aca="false">"16.4 %"</f>
        <v>16.4 %</v>
      </c>
      <c r="O1409" s="0" t="s">
        <v>5353</v>
      </c>
    </row>
    <row r="1410" customFormat="false" ht="13.8" hidden="false" customHeight="false" outlineLevel="0" collapsed="false">
      <c r="A1410" s="0" t="s">
        <v>5354</v>
      </c>
      <c r="B1410" s="0" t="n">
        <v>1</v>
      </c>
      <c r="D1410" s="0" t="s">
        <v>678</v>
      </c>
      <c r="E1410" s="0" t="s">
        <v>679</v>
      </c>
      <c r="F1410" s="0" t="s">
        <v>680</v>
      </c>
      <c r="G1410" s="0" t="n">
        <v>0</v>
      </c>
      <c r="H1410" s="4" t="s">
        <v>5355</v>
      </c>
      <c r="I1410" s="0" t="s">
        <v>5356</v>
      </c>
      <c r="J1410" s="0" t="s">
        <v>5357</v>
      </c>
      <c r="K1410" s="9" t="n">
        <v>0.152</v>
      </c>
      <c r="O1410" s="0" t="s">
        <v>5358</v>
      </c>
    </row>
    <row r="1411" customFormat="false" ht="13.8" hidden="false" customHeight="false" outlineLevel="0" collapsed="false">
      <c r="A1411" s="0" t="s">
        <v>5354</v>
      </c>
      <c r="B1411" s="0" t="n">
        <v>1</v>
      </c>
      <c r="D1411" s="0" t="s">
        <v>678</v>
      </c>
      <c r="E1411" s="0" t="s">
        <v>679</v>
      </c>
      <c r="F1411" s="0" t="s">
        <v>680</v>
      </c>
      <c r="G1411" s="0" t="n">
        <v>0</v>
      </c>
      <c r="H1411" s="4" t="s">
        <v>5359</v>
      </c>
      <c r="I1411" s="0" t="s">
        <v>5360</v>
      </c>
      <c r="J1411" s="0" t="s">
        <v>5361</v>
      </c>
      <c r="K1411" s="0" t="str">
        <f aca="false">"13.8 %"</f>
        <v>13.8 %</v>
      </c>
      <c r="O1411" s="0" t="s">
        <v>5362</v>
      </c>
    </row>
    <row r="1412" customFormat="false" ht="15" hidden="false" customHeight="false" outlineLevel="0" collapsed="false">
      <c r="A1412" s="0" t="s">
        <v>5363</v>
      </c>
      <c r="B1412" s="0" t="n">
        <v>1</v>
      </c>
      <c r="D1412" s="43" t="s">
        <v>5364</v>
      </c>
      <c r="E1412" s="6" t="s">
        <v>5365</v>
      </c>
      <c r="F1412" s="0" t="s">
        <v>5366</v>
      </c>
      <c r="G1412" s="0" t="n">
        <v>0</v>
      </c>
      <c r="H1412" s="0" t="s">
        <v>681</v>
      </c>
      <c r="I1412" s="0" t="s">
        <v>682</v>
      </c>
      <c r="J1412" s="0" t="s">
        <v>5044</v>
      </c>
      <c r="K1412" s="0" t="str">
        <f aca="false">"12.5 %"</f>
        <v>12.5 %</v>
      </c>
      <c r="O1412" s="0" t="s">
        <v>5367</v>
      </c>
    </row>
    <row r="1413" customFormat="false" ht="15" hidden="false" customHeight="false" outlineLevel="0" collapsed="false">
      <c r="A1413" s="0" t="s">
        <v>5368</v>
      </c>
      <c r="B1413" s="0" t="n">
        <v>1</v>
      </c>
      <c r="D1413" s="0" t="s">
        <v>5369</v>
      </c>
      <c r="E1413" s="6" t="s">
        <v>5370</v>
      </c>
      <c r="F1413" s="0" t="s">
        <v>5371</v>
      </c>
      <c r="G1413" s="0" t="n">
        <v>0</v>
      </c>
      <c r="H1413" s="4" t="s">
        <v>4736</v>
      </c>
      <c r="I1413" s="0" t="s">
        <v>4737</v>
      </c>
      <c r="J1413" s="0" t="s">
        <v>40</v>
      </c>
      <c r="K1413" s="0" t="str">
        <f aca="false">"9.66 %"</f>
        <v>9.66 %</v>
      </c>
      <c r="O1413" s="0" t="s">
        <v>5372</v>
      </c>
    </row>
    <row r="1414" customFormat="false" ht="15" hidden="false" customHeight="false" outlineLevel="0" collapsed="false">
      <c r="A1414" s="0" t="s">
        <v>5373</v>
      </c>
      <c r="B1414" s="0" t="n">
        <v>1</v>
      </c>
      <c r="D1414" s="0" t="s">
        <v>5374</v>
      </c>
      <c r="E1414" s="0" t="s">
        <v>5375</v>
      </c>
      <c r="F1414" s="0" t="s">
        <v>5376</v>
      </c>
      <c r="G1414" s="0" t="n">
        <v>0</v>
      </c>
      <c r="H1414" s="0" t="s">
        <v>5377</v>
      </c>
      <c r="I1414" s="6" t="s">
        <v>5378</v>
      </c>
      <c r="J1414" s="0" t="s">
        <v>5379</v>
      </c>
      <c r="K1414" s="0" t="str">
        <f aca="false">"11 %"</f>
        <v>11 %</v>
      </c>
      <c r="M1414" s="0" t="str">
        <f aca="false">"26.2 mA cm^{-2}"</f>
        <v>26.2 mA cm^{-2}</v>
      </c>
      <c r="O1414" s="0" t="s">
        <v>5380</v>
      </c>
    </row>
    <row r="1415" customFormat="false" ht="13.8" hidden="false" customHeight="false" outlineLevel="0" collapsed="false">
      <c r="A1415" s="0" t="s">
        <v>5381</v>
      </c>
      <c r="C1415" s="0" t="n">
        <v>1</v>
      </c>
      <c r="D1415" s="0" t="s">
        <v>599</v>
      </c>
      <c r="E1415" s="0" t="s">
        <v>600</v>
      </c>
      <c r="F1415" s="0" t="s">
        <v>601</v>
      </c>
      <c r="G1415" s="0" t="n">
        <v>1</v>
      </c>
      <c r="H1415" s="0" t="s">
        <v>27</v>
      </c>
      <c r="J1415" s="0" t="s">
        <v>28</v>
      </c>
      <c r="K1415" s="0" t="str">
        <f aca="false">"14.0 %"</f>
        <v>14.0 %</v>
      </c>
      <c r="O1415" s="0" t="s">
        <v>5382</v>
      </c>
    </row>
    <row r="1416" customFormat="false" ht="13.8" hidden="false" customHeight="false" outlineLevel="0" collapsed="false">
      <c r="A1416" s="0" t="s">
        <v>5383</v>
      </c>
      <c r="B1416" s="0" t="n">
        <v>1</v>
      </c>
      <c r="D1416" s="0" t="s">
        <v>599</v>
      </c>
      <c r="E1416" s="0" t="s">
        <v>600</v>
      </c>
      <c r="F1416" s="0" t="s">
        <v>601</v>
      </c>
      <c r="G1416" s="0" t="n">
        <v>0</v>
      </c>
      <c r="H1416" s="0" t="s">
        <v>5384</v>
      </c>
      <c r="I1416" s="0" t="s">
        <v>5385</v>
      </c>
      <c r="J1416" s="0" t="s">
        <v>5386</v>
      </c>
      <c r="K1416" s="0" t="str">
        <f aca="false">"9.14 %"</f>
        <v>9.14 %</v>
      </c>
      <c r="O1416" s="0" t="s">
        <v>5387</v>
      </c>
    </row>
    <row r="1417" customFormat="false" ht="13.8" hidden="false" customHeight="false" outlineLevel="0" collapsed="false">
      <c r="A1417" s="0" t="s">
        <v>5383</v>
      </c>
      <c r="B1417" s="0" t="n">
        <v>1</v>
      </c>
      <c r="D1417" s="0" t="s">
        <v>599</v>
      </c>
      <c r="E1417" s="0" t="s">
        <v>600</v>
      </c>
      <c r="F1417" s="0" t="s">
        <v>601</v>
      </c>
      <c r="G1417" s="0" t="n">
        <v>0</v>
      </c>
      <c r="H1417" s="0" t="s">
        <v>5388</v>
      </c>
      <c r="I1417" s="0" t="s">
        <v>5389</v>
      </c>
      <c r="J1417" s="0" t="s">
        <v>5390</v>
      </c>
      <c r="K1417" s="0" t="str">
        <f aca="false">"12.91 %"</f>
        <v>12.91 %</v>
      </c>
      <c r="O1417" s="0" t="s">
        <v>5391</v>
      </c>
    </row>
    <row r="1418" customFormat="false" ht="13.8" hidden="false" customHeight="false" outlineLevel="0" collapsed="false">
      <c r="A1418" s="0" t="s">
        <v>5383</v>
      </c>
      <c r="B1418" s="0" t="n">
        <v>1</v>
      </c>
      <c r="D1418" s="0" t="s">
        <v>599</v>
      </c>
      <c r="E1418" s="0" t="s">
        <v>600</v>
      </c>
      <c r="F1418" s="0" t="s">
        <v>601</v>
      </c>
      <c r="G1418" s="0" t="n">
        <v>0</v>
      </c>
      <c r="H1418" s="0" t="s">
        <v>5392</v>
      </c>
      <c r="I1418" s="0" t="s">
        <v>5393</v>
      </c>
      <c r="J1418" s="0" t="s">
        <v>5394</v>
      </c>
      <c r="K1418" s="9" t="n">
        <v>0.1344</v>
      </c>
    </row>
    <row r="1419" customFormat="false" ht="13.8" hidden="false" customHeight="false" outlineLevel="0" collapsed="false">
      <c r="A1419" s="0" t="s">
        <v>5395</v>
      </c>
      <c r="B1419" s="0" t="n">
        <v>1</v>
      </c>
      <c r="D1419" s="4" t="s">
        <v>3502</v>
      </c>
      <c r="E1419" s="0" t="s">
        <v>3503</v>
      </c>
      <c r="F1419" s="0" t="s">
        <v>3504</v>
      </c>
      <c r="G1419" s="0" t="n">
        <v>0</v>
      </c>
      <c r="H1419" s="0" t="s">
        <v>5396</v>
      </c>
      <c r="I1419" s="0" t="s">
        <v>5397</v>
      </c>
      <c r="J1419" s="0" t="s">
        <v>5398</v>
      </c>
      <c r="K1419" s="0" t="str">
        <f aca="false">"12.57 %"</f>
        <v>12.57 %</v>
      </c>
      <c r="L1419" s="0" t="str">
        <f aca="false">"0.91 V"</f>
        <v>0.91 V</v>
      </c>
      <c r="M1419" s="0" t="str">
        <f aca="false">"19.94 mA cm^{-2}"</f>
        <v>19.94 mA cm^{-2}</v>
      </c>
      <c r="N1419" s="0" t="str">
        <f aca="false">"69.6 %"</f>
        <v>69.6 %</v>
      </c>
      <c r="O1419" s="0" t="s">
        <v>5399</v>
      </c>
    </row>
    <row r="1420" customFormat="false" ht="18" hidden="false" customHeight="false" outlineLevel="0" collapsed="false">
      <c r="A1420" s="0" t="s">
        <v>5400</v>
      </c>
      <c r="C1420" s="0" t="n">
        <v>1</v>
      </c>
      <c r="D1420" s="0" t="s">
        <v>3930</v>
      </c>
      <c r="E1420" s="0" t="s">
        <v>110</v>
      </c>
      <c r="F1420" s="0" t="s">
        <v>5401</v>
      </c>
      <c r="G1420" s="0" t="n">
        <v>0</v>
      </c>
      <c r="H1420" s="0" t="s">
        <v>5402</v>
      </c>
      <c r="I1420" s="6" t="s">
        <v>5403</v>
      </c>
      <c r="J1420" s="0" t="s">
        <v>5404</v>
      </c>
      <c r="K1420" s="0" t="str">
        <f aca="false">"2.41 %"</f>
        <v>2.41 %</v>
      </c>
      <c r="L1420" s="0" t="str">
        <f aca="false">"1.17 V"</f>
        <v>1.17 V</v>
      </c>
      <c r="O1420" s="0" t="s">
        <v>5405</v>
      </c>
    </row>
    <row r="1421" customFormat="false" ht="13.8" hidden="false" customHeight="false" outlineLevel="0" collapsed="false">
      <c r="A1421" s="0" t="s">
        <v>5406</v>
      </c>
      <c r="C1421" s="0" t="n">
        <v>1</v>
      </c>
      <c r="D1421" s="0" t="s">
        <v>5040</v>
      </c>
      <c r="E1421" s="0" t="s">
        <v>5041</v>
      </c>
      <c r="F1421" s="0" t="s">
        <v>5042</v>
      </c>
      <c r="G1421" s="0" t="n">
        <v>1</v>
      </c>
      <c r="H1421" s="0" t="s">
        <v>27</v>
      </c>
      <c r="J1421" s="0" t="s">
        <v>28</v>
      </c>
      <c r="K1421" s="0" t="str">
        <f aca="false">"14.06 %"</f>
        <v>14.06 %</v>
      </c>
      <c r="O1421" s="0" t="s">
        <v>5407</v>
      </c>
    </row>
    <row r="1422" customFormat="false" ht="13.8" hidden="false" customHeight="false" outlineLevel="0" collapsed="false">
      <c r="A1422" s="0" t="s">
        <v>5406</v>
      </c>
      <c r="C1422" s="0" t="n">
        <v>1</v>
      </c>
      <c r="D1422" s="0" t="s">
        <v>1116</v>
      </c>
      <c r="E1422" s="0" t="s">
        <v>1117</v>
      </c>
      <c r="F1422" s="0" t="s">
        <v>1118</v>
      </c>
      <c r="G1422" s="0" t="n">
        <v>1</v>
      </c>
      <c r="H1422" s="0" t="s">
        <v>27</v>
      </c>
      <c r="J1422" s="0" t="s">
        <v>28</v>
      </c>
      <c r="K1422" s="0" t="str">
        <f aca="false">"16.0 %"</f>
        <v>16.0 %</v>
      </c>
      <c r="O1422" s="0" t="s">
        <v>5408</v>
      </c>
    </row>
    <row r="1423" customFormat="false" ht="18" hidden="false" customHeight="false" outlineLevel="0" collapsed="false">
      <c r="A1423" s="0" t="s">
        <v>5409</v>
      </c>
      <c r="B1423" s="0" t="n">
        <v>1</v>
      </c>
      <c r="D1423" s="0" t="s">
        <v>5410</v>
      </c>
      <c r="E1423" s="6" t="s">
        <v>5411</v>
      </c>
      <c r="F1423" s="0" t="s">
        <v>5412</v>
      </c>
      <c r="G1423" s="0" t="n">
        <v>0</v>
      </c>
      <c r="H1423" s="0" t="s">
        <v>1121</v>
      </c>
      <c r="I1423" s="0" t="s">
        <v>225</v>
      </c>
      <c r="J1423" s="0" t="s">
        <v>1122</v>
      </c>
      <c r="K1423" s="3" t="n">
        <v>0.1176</v>
      </c>
      <c r="O1423" s="0" t="s">
        <v>5413</v>
      </c>
    </row>
    <row r="1424" customFormat="false" ht="13.8" hidden="false" customHeight="false" outlineLevel="0" collapsed="false">
      <c r="A1424" s="0" t="s">
        <v>5414</v>
      </c>
      <c r="C1424" s="0" t="n">
        <v>1</v>
      </c>
      <c r="D1424" s="0" t="s">
        <v>201</v>
      </c>
      <c r="E1424" s="0" t="s">
        <v>202</v>
      </c>
      <c r="F1424" s="0" t="s">
        <v>422</v>
      </c>
      <c r="G1424" s="0" t="n">
        <v>0</v>
      </c>
      <c r="H1424" s="0" t="s">
        <v>201</v>
      </c>
      <c r="I1424" s="0" t="s">
        <v>202</v>
      </c>
      <c r="J1424" s="0" t="s">
        <v>422</v>
      </c>
      <c r="K1424" s="0" t="str">
        <f aca="false">"12.27 %"</f>
        <v>12.27 %</v>
      </c>
      <c r="M1424" s="0" t="str">
        <f aca="false">"17.86 mA cm^{-2}"</f>
        <v>17.86 mA cm^{-2}</v>
      </c>
      <c r="O1424" s="0" t="s">
        <v>5415</v>
      </c>
    </row>
    <row r="1425" customFormat="false" ht="13.8" hidden="false" customHeight="false" outlineLevel="0" collapsed="false">
      <c r="A1425" s="0" t="s">
        <v>5414</v>
      </c>
      <c r="C1425" s="0" t="n">
        <v>1</v>
      </c>
      <c r="D1425" s="0" t="s">
        <v>599</v>
      </c>
      <c r="E1425" s="0" t="s">
        <v>600</v>
      </c>
      <c r="F1425" s="0" t="s">
        <v>601</v>
      </c>
      <c r="G1425" s="0" t="n">
        <v>0</v>
      </c>
      <c r="H1425" s="0" t="s">
        <v>201</v>
      </c>
      <c r="I1425" s="0" t="s">
        <v>202</v>
      </c>
      <c r="J1425" s="0" t="s">
        <v>422</v>
      </c>
      <c r="L1425" s="0" t="str">
        <f aca="false">"0.93 V"</f>
        <v>0.93 V</v>
      </c>
      <c r="N1425" s="0" t="str">
        <f aca="false">"73.9 %"</f>
        <v>73.9 %</v>
      </c>
      <c r="O1425" s="0" t="s">
        <v>5416</v>
      </c>
    </row>
    <row r="1426" customFormat="false" ht="13.8" hidden="false" customHeight="false" outlineLevel="0" collapsed="false">
      <c r="A1426" s="0" t="s">
        <v>5414</v>
      </c>
      <c r="C1426" s="0" t="n">
        <v>1</v>
      </c>
      <c r="D1426" s="0" t="s">
        <v>599</v>
      </c>
      <c r="E1426" s="0" t="s">
        <v>600</v>
      </c>
      <c r="F1426" s="0" t="s">
        <v>601</v>
      </c>
      <c r="G1426" s="0" t="n">
        <v>0</v>
      </c>
      <c r="H1426" s="0" t="s">
        <v>5417</v>
      </c>
      <c r="J1426" s="0" t="s">
        <v>5418</v>
      </c>
      <c r="K1426" s="0" t="str">
        <f aca="false">"10 %"</f>
        <v>10 %</v>
      </c>
      <c r="O1426" s="0" t="s">
        <v>5419</v>
      </c>
    </row>
    <row r="1427" customFormat="false" ht="15" hidden="false" customHeight="false" outlineLevel="0" collapsed="false">
      <c r="A1427" s="0" t="s">
        <v>5420</v>
      </c>
      <c r="B1427" s="0" t="n">
        <v>1</v>
      </c>
      <c r="D1427" s="0" t="s">
        <v>1386</v>
      </c>
      <c r="E1427" s="6" t="s">
        <v>1387</v>
      </c>
      <c r="F1427" s="0" t="s">
        <v>1388</v>
      </c>
      <c r="G1427" s="0" t="n">
        <v>0</v>
      </c>
      <c r="H1427" s="0" t="s">
        <v>5040</v>
      </c>
      <c r="I1427" s="0" t="s">
        <v>5041</v>
      </c>
      <c r="J1427" s="0" t="s">
        <v>40</v>
      </c>
      <c r="K1427" s="0" t="str">
        <f aca="false">"16.21 %"</f>
        <v>16.21 %</v>
      </c>
      <c r="O1427" s="0" t="s">
        <v>5421</v>
      </c>
    </row>
    <row r="1428" customFormat="false" ht="15" hidden="false" customHeight="false" outlineLevel="0" collapsed="false">
      <c r="A1428" s="0" t="s">
        <v>5420</v>
      </c>
      <c r="C1428" s="0" t="n">
        <v>1</v>
      </c>
      <c r="D1428" s="0" t="s">
        <v>5422</v>
      </c>
      <c r="E1428" s="6" t="s">
        <v>5423</v>
      </c>
      <c r="F1428" s="0" t="s">
        <v>5424</v>
      </c>
      <c r="G1428" s="0" t="n">
        <v>0</v>
      </c>
      <c r="H1428" s="0" t="s">
        <v>5040</v>
      </c>
      <c r="I1428" s="0" t="s">
        <v>5041</v>
      </c>
      <c r="J1428" s="0" t="s">
        <v>40</v>
      </c>
      <c r="K1428" s="0" t="str">
        <f aca="false">"0.90 %"</f>
        <v>0.90 %</v>
      </c>
    </row>
    <row r="1429" customFormat="false" ht="15" hidden="false" customHeight="false" outlineLevel="0" collapsed="false">
      <c r="A1429" s="0" t="s">
        <v>5425</v>
      </c>
      <c r="B1429" s="0" t="n">
        <v>1</v>
      </c>
      <c r="D1429" s="0" t="s">
        <v>5426</v>
      </c>
      <c r="E1429" s="6" t="s">
        <v>5427</v>
      </c>
      <c r="F1429" s="0" t="s">
        <v>5428</v>
      </c>
      <c r="G1429" s="0" t="n">
        <v>0</v>
      </c>
      <c r="H1429" s="0" t="s">
        <v>1121</v>
      </c>
      <c r="I1429" s="0" t="s">
        <v>225</v>
      </c>
      <c r="J1429" s="0" t="s">
        <v>1122</v>
      </c>
      <c r="K1429" s="0" t="str">
        <f aca="false">"6.43 %"</f>
        <v>6.43 %</v>
      </c>
      <c r="O1429" s="0" t="s">
        <v>5429</v>
      </c>
    </row>
    <row r="1430" customFormat="false" ht="14.25" hidden="false" customHeight="false" outlineLevel="0" collapsed="false">
      <c r="A1430" s="0" t="s">
        <v>5430</v>
      </c>
      <c r="B1430" s="0" t="n">
        <v>1</v>
      </c>
      <c r="D1430" s="0" t="s">
        <v>5431</v>
      </c>
      <c r="E1430" s="0" t="s">
        <v>600</v>
      </c>
      <c r="F1430" s="0" t="s">
        <v>40</v>
      </c>
      <c r="G1430" s="0" t="n">
        <v>0</v>
      </c>
      <c r="H1430" s="0" t="s">
        <v>5432</v>
      </c>
      <c r="I1430" s="0" t="s">
        <v>1473</v>
      </c>
      <c r="J1430" s="0" t="s">
        <v>40</v>
      </c>
      <c r="K1430" s="0" t="str">
        <f aca="false">"12.01 %"</f>
        <v>12.01 %</v>
      </c>
      <c r="O1430" s="0" t="s">
        <v>5433</v>
      </c>
    </row>
    <row r="1431" customFormat="false" ht="15" hidden="false" customHeight="false" outlineLevel="0" collapsed="false">
      <c r="A1431" s="0" t="s">
        <v>5434</v>
      </c>
      <c r="C1431" s="0" t="n">
        <v>1</v>
      </c>
      <c r="D1431" s="4" t="s">
        <v>128</v>
      </c>
      <c r="E1431" s="6" t="s">
        <v>5435</v>
      </c>
      <c r="F1431" s="0" t="s">
        <v>130</v>
      </c>
      <c r="G1431" s="0" t="n">
        <v>0</v>
      </c>
      <c r="J1431" s="0" t="s">
        <v>5436</v>
      </c>
      <c r="K1431" s="0" t="str">
        <f aca="false">"8.97 %"</f>
        <v>8.97 %</v>
      </c>
      <c r="O1431" s="0" t="s">
        <v>5437</v>
      </c>
    </row>
    <row r="1432" customFormat="false" ht="15" hidden="false" customHeight="false" outlineLevel="0" collapsed="false">
      <c r="A1432" s="0" t="s">
        <v>5434</v>
      </c>
      <c r="C1432" s="0" t="n">
        <v>1</v>
      </c>
      <c r="D1432" s="5" t="s">
        <v>124</v>
      </c>
      <c r="E1432" s="6" t="s">
        <v>5438</v>
      </c>
      <c r="F1432" s="0" t="s">
        <v>427</v>
      </c>
      <c r="G1432" s="0" t="n">
        <v>0</v>
      </c>
      <c r="K1432" s="12" t="n">
        <v>0.1306</v>
      </c>
    </row>
    <row r="1433" customFormat="false" ht="15" hidden="false" customHeight="false" outlineLevel="0" collapsed="false">
      <c r="A1433" s="0" t="s">
        <v>5439</v>
      </c>
      <c r="B1433" s="0" t="n">
        <v>1</v>
      </c>
      <c r="D1433" s="0" t="s">
        <v>124</v>
      </c>
      <c r="E1433" s="6" t="s">
        <v>5440</v>
      </c>
      <c r="F1433" s="0" t="s">
        <v>427</v>
      </c>
      <c r="G1433" s="0" t="n">
        <v>0</v>
      </c>
      <c r="H1433" s="44" t="s">
        <v>4736</v>
      </c>
      <c r="I1433" s="0" t="s">
        <v>4737</v>
      </c>
      <c r="J1433" s="0" t="s">
        <v>40</v>
      </c>
      <c r="K1433" s="0" t="str">
        <f aca="false">"12.11 %"</f>
        <v>12.11 %</v>
      </c>
      <c r="O1433" s="0" t="s">
        <v>5441</v>
      </c>
    </row>
    <row r="1434" customFormat="false" ht="15" hidden="false" customHeight="false" outlineLevel="0" collapsed="false">
      <c r="A1434" s="0" t="s">
        <v>5442</v>
      </c>
      <c r="B1434" s="0" t="n">
        <v>1</v>
      </c>
      <c r="D1434" s="44" t="s">
        <v>5443</v>
      </c>
      <c r="E1434" s="0" t="s">
        <v>600</v>
      </c>
      <c r="F1434" s="0" t="s">
        <v>5346</v>
      </c>
      <c r="G1434" s="0" t="n">
        <v>0</v>
      </c>
      <c r="H1434" s="0" t="s">
        <v>5444</v>
      </c>
      <c r="I1434" s="6" t="s">
        <v>5445</v>
      </c>
      <c r="J1434" s="0" t="s">
        <v>5446</v>
      </c>
      <c r="K1434" s="0" t="str">
        <f aca="false">"16.11 %"</f>
        <v>16.11 %</v>
      </c>
      <c r="L1434" s="0" t="str">
        <f aca="false">"0.88 V"</f>
        <v>0.88 V</v>
      </c>
      <c r="O1434" s="0" t="s">
        <v>5447</v>
      </c>
    </row>
    <row r="1435" customFormat="false" ht="13.8" hidden="false" customHeight="false" outlineLevel="0" collapsed="false">
      <c r="A1435" s="0" t="s">
        <v>5448</v>
      </c>
      <c r="B1435" s="0" t="n">
        <v>1</v>
      </c>
      <c r="D1435" s="0" t="s">
        <v>201</v>
      </c>
      <c r="E1435" s="0" t="s">
        <v>202</v>
      </c>
      <c r="F1435" s="0" t="s">
        <v>5449</v>
      </c>
      <c r="G1435" s="0" t="n">
        <v>1</v>
      </c>
      <c r="H1435" s="0" t="s">
        <v>27</v>
      </c>
      <c r="J1435" s="0" t="s">
        <v>40</v>
      </c>
      <c r="K1435" s="0" t="str">
        <f aca="false">"10.14 %"</f>
        <v>10.14 %</v>
      </c>
      <c r="O1435" s="0" t="s">
        <v>5450</v>
      </c>
    </row>
    <row r="1436" customFormat="false" ht="13.8" hidden="false" customHeight="false" outlineLevel="0" collapsed="false">
      <c r="A1436" s="0" t="s">
        <v>5451</v>
      </c>
      <c r="B1436" s="0" t="n">
        <v>1</v>
      </c>
      <c r="D1436" s="0" t="s">
        <v>63</v>
      </c>
      <c r="E1436" s="0" t="s">
        <v>64</v>
      </c>
      <c r="F1436" s="0" t="s">
        <v>65</v>
      </c>
      <c r="G1436" s="0" t="n">
        <v>1</v>
      </c>
      <c r="H1436" s="0" t="s">
        <v>27</v>
      </c>
      <c r="J1436" s="0" t="s">
        <v>28</v>
      </c>
      <c r="K1436" s="0" t="str">
        <f aca="false">"8.58 %"</f>
        <v>8.58 %</v>
      </c>
      <c r="N1436" s="0" t="str">
        <f aca="false">"71.6 %"</f>
        <v>71.6 %</v>
      </c>
      <c r="O1436" s="0" t="s">
        <v>5452</v>
      </c>
    </row>
    <row r="1437" customFormat="false" ht="13.8" hidden="false" customHeight="false" outlineLevel="0" collapsed="false">
      <c r="A1437" s="0" t="s">
        <v>5453</v>
      </c>
      <c r="C1437" s="0" t="n">
        <v>1</v>
      </c>
      <c r="D1437" s="0" t="e">
        <f aca="false">- fic</f>
        <v>#NAME?</v>
      </c>
      <c r="F1437" s="0" t="s">
        <v>5454</v>
      </c>
      <c r="G1437" s="0" t="n">
        <v>1</v>
      </c>
      <c r="H1437" s="0" t="s">
        <v>758</v>
      </c>
      <c r="J1437" s="0" t="s">
        <v>40</v>
      </c>
      <c r="K1437" s="0" t="str">
        <f aca="false">"13.54 %"</f>
        <v>13.54 %</v>
      </c>
      <c r="M1437" s="0" t="str">
        <f aca="false">"27.73 mA cm^{-2}"</f>
        <v>27.73 mA cm^{-2}</v>
      </c>
      <c r="O1437" s="0" t="s">
        <v>5455</v>
      </c>
    </row>
    <row r="1438" customFormat="false" ht="13.8" hidden="false" customHeight="false" outlineLevel="0" collapsed="false">
      <c r="A1438" s="0" t="s">
        <v>5453</v>
      </c>
      <c r="B1438" s="0" t="n">
        <v>1</v>
      </c>
      <c r="D1438" s="0" t="s">
        <v>201</v>
      </c>
      <c r="E1438" s="0" t="s">
        <v>202</v>
      </c>
      <c r="F1438" s="0" t="s">
        <v>422</v>
      </c>
      <c r="G1438" s="0" t="n">
        <v>0</v>
      </c>
      <c r="H1438" s="0" t="s">
        <v>5456</v>
      </c>
      <c r="I1438" s="0" t="s">
        <v>5457</v>
      </c>
      <c r="J1438" s="0" t="s">
        <v>5458</v>
      </c>
      <c r="K1438" s="0" t="str">
        <f aca="false">"12.21 %"</f>
        <v>12.21 %</v>
      </c>
      <c r="M1438" s="0" t="str">
        <f aca="false">"25.89 mA cm^{-2}"</f>
        <v>25.89 mA cm^{-2}</v>
      </c>
      <c r="O1438" s="0" t="s">
        <v>5459</v>
      </c>
    </row>
    <row r="1439" customFormat="false" ht="13.8" hidden="false" customHeight="false" outlineLevel="0" collapsed="false">
      <c r="A1439" s="0" t="s">
        <v>5460</v>
      </c>
      <c r="B1439" s="0" t="n">
        <v>1</v>
      </c>
      <c r="D1439" s="0" t="s">
        <v>5461</v>
      </c>
      <c r="E1439" s="0" t="s">
        <v>5462</v>
      </c>
      <c r="F1439" s="0" t="s">
        <v>5463</v>
      </c>
      <c r="G1439" s="0" t="n">
        <v>1</v>
      </c>
      <c r="H1439" s="0" t="s">
        <v>163</v>
      </c>
      <c r="I1439" s="0" t="s">
        <v>164</v>
      </c>
      <c r="J1439" s="0" t="s">
        <v>165</v>
      </c>
      <c r="K1439" s="9" t="str">
        <f aca="false">"10.02 %"</f>
        <v>10.02 %</v>
      </c>
      <c r="O1439" s="0" t="s">
        <v>5464</v>
      </c>
    </row>
    <row r="1440" customFormat="false" ht="18" hidden="false" customHeight="false" outlineLevel="0" collapsed="false">
      <c r="A1440" s="0" t="s">
        <v>5465</v>
      </c>
      <c r="B1440" s="0" t="n">
        <v>1</v>
      </c>
      <c r="D1440" s="0" t="s">
        <v>5466</v>
      </c>
      <c r="E1440" s="6" t="s">
        <v>5467</v>
      </c>
      <c r="F1440" s="0" t="s">
        <v>5468</v>
      </c>
      <c r="G1440" s="0" t="n">
        <v>0</v>
      </c>
      <c r="H1440" s="0" t="s">
        <v>5469</v>
      </c>
      <c r="I1440" s="6" t="s">
        <v>5470</v>
      </c>
      <c r="J1440" s="0" t="s">
        <v>5471</v>
      </c>
      <c r="K1440" s="0" t="str">
        <f aca="false">"2.23 %"</f>
        <v>2.23 %</v>
      </c>
      <c r="O1440" s="0" t="s">
        <v>5472</v>
      </c>
    </row>
    <row r="1441" customFormat="false" ht="14.25" hidden="false" customHeight="false" outlineLevel="0" collapsed="false">
      <c r="A1441" s="0" t="s">
        <v>5473</v>
      </c>
      <c r="B1441" s="0" t="n">
        <v>1</v>
      </c>
      <c r="D1441" s="0" t="s">
        <v>599</v>
      </c>
      <c r="E1441" s="0" t="s">
        <v>600</v>
      </c>
      <c r="F1441" s="0" t="s">
        <v>5474</v>
      </c>
      <c r="G1441" s="0" t="n">
        <v>0</v>
      </c>
      <c r="H1441" s="0" t="s">
        <v>5475</v>
      </c>
      <c r="I1441" s="0" t="s">
        <v>5476</v>
      </c>
      <c r="J1441" s="0" t="s">
        <v>5477</v>
      </c>
      <c r="K1441" s="0" t="str">
        <f aca="false">"12.5 %"</f>
        <v>12.5 %</v>
      </c>
      <c r="O1441" s="0" t="s">
        <v>5367</v>
      </c>
    </row>
    <row r="1442" customFormat="false" ht="15" hidden="false" customHeight="false" outlineLevel="0" collapsed="false">
      <c r="A1442" s="0" t="s">
        <v>5478</v>
      </c>
      <c r="B1442" s="0" t="n">
        <v>1</v>
      </c>
      <c r="D1442" s="4" t="s">
        <v>659</v>
      </c>
      <c r="E1442" s="0" t="s">
        <v>202</v>
      </c>
      <c r="F1442" s="0" t="s">
        <v>422</v>
      </c>
      <c r="G1442" s="0" t="n">
        <v>0</v>
      </c>
      <c r="H1442" s="0" t="s">
        <v>5479</v>
      </c>
      <c r="I1442" s="6" t="s">
        <v>5480</v>
      </c>
      <c r="J1442" s="0" t="s">
        <v>5481</v>
      </c>
      <c r="K1442" s="9" t="n">
        <v>0.0861</v>
      </c>
      <c r="O1442" s="0" t="s">
        <v>5482</v>
      </c>
    </row>
    <row r="1443" customFormat="false" ht="15" hidden="false" customHeight="false" outlineLevel="0" collapsed="false">
      <c r="A1443" s="0" t="s">
        <v>5478</v>
      </c>
      <c r="B1443" s="0" t="n">
        <v>1</v>
      </c>
      <c r="D1443" s="4" t="s">
        <v>659</v>
      </c>
      <c r="E1443" s="0" t="s">
        <v>202</v>
      </c>
      <c r="F1443" s="0" t="s">
        <v>422</v>
      </c>
      <c r="G1443" s="0" t="n">
        <v>0</v>
      </c>
      <c r="H1443" s="0" t="s">
        <v>5483</v>
      </c>
      <c r="I1443" s="6" t="s">
        <v>5484</v>
      </c>
      <c r="J1443" s="0" t="s">
        <v>5485</v>
      </c>
      <c r="K1443" s="9" t="str">
        <f aca="false">"6.67 %"</f>
        <v>6.67 %</v>
      </c>
    </row>
    <row r="1444" customFormat="false" ht="13.8" hidden="false" customHeight="false" outlineLevel="0" collapsed="false">
      <c r="A1444" s="0" t="s">
        <v>5486</v>
      </c>
      <c r="B1444" s="0" t="n">
        <v>1</v>
      </c>
      <c r="D1444" s="0" t="s">
        <v>85</v>
      </c>
      <c r="E1444" s="0" t="s">
        <v>86</v>
      </c>
      <c r="F1444" s="0" t="s">
        <v>5487</v>
      </c>
      <c r="G1444" s="0" t="n">
        <v>1</v>
      </c>
      <c r="H1444" s="0" t="s">
        <v>33</v>
      </c>
      <c r="J1444" s="0" t="s">
        <v>34</v>
      </c>
      <c r="K1444" s="0" t="str">
        <f aca="false">"5.5 %"</f>
        <v>5.5 %</v>
      </c>
      <c r="O1444" s="0" t="s">
        <v>5488</v>
      </c>
    </row>
    <row r="1445" customFormat="false" ht="13.8" hidden="false" customHeight="false" outlineLevel="0" collapsed="false">
      <c r="A1445" s="0" t="s">
        <v>5489</v>
      </c>
      <c r="B1445" s="0" t="n">
        <v>1</v>
      </c>
      <c r="D1445" s="0" t="s">
        <v>4213</v>
      </c>
      <c r="E1445" s="0" t="s">
        <v>404</v>
      </c>
      <c r="F1445" s="0" t="s">
        <v>4214</v>
      </c>
      <c r="G1445" s="0" t="n">
        <v>1</v>
      </c>
      <c r="H1445" s="0" t="s">
        <v>27</v>
      </c>
      <c r="J1445" s="0" t="s">
        <v>28</v>
      </c>
      <c r="K1445" s="3" t="n">
        <v>0.1114</v>
      </c>
      <c r="O1445" s="0" t="s">
        <v>5490</v>
      </c>
    </row>
    <row r="1446" customFormat="false" ht="13.8" hidden="false" customHeight="false" outlineLevel="0" collapsed="false">
      <c r="A1446" s="0" t="s">
        <v>5489</v>
      </c>
      <c r="B1446" s="0" t="n">
        <v>1</v>
      </c>
      <c r="D1446" s="0" t="s">
        <v>16</v>
      </c>
      <c r="E1446" s="0" t="s">
        <v>17</v>
      </c>
      <c r="F1446" s="0" t="s">
        <v>116</v>
      </c>
      <c r="G1446" s="0" t="n">
        <v>1</v>
      </c>
      <c r="H1446" s="4" t="s">
        <v>76</v>
      </c>
      <c r="J1446" s="0" t="s">
        <v>77</v>
      </c>
      <c r="K1446" s="3" t="n">
        <v>0.0465</v>
      </c>
      <c r="O1446" s="0" t="s">
        <v>5491</v>
      </c>
    </row>
    <row r="1447" customFormat="false" ht="18.75" hidden="false" customHeight="false" outlineLevel="0" collapsed="false">
      <c r="A1447" s="0" t="s">
        <v>5492</v>
      </c>
      <c r="B1447" s="0" t="n">
        <v>1</v>
      </c>
      <c r="D1447" s="1" t="s">
        <v>5493</v>
      </c>
      <c r="E1447" s="6" t="s">
        <v>5494</v>
      </c>
      <c r="F1447" s="0" t="s">
        <v>5495</v>
      </c>
      <c r="G1447" s="0" t="n">
        <v>1</v>
      </c>
      <c r="H1447" s="0" t="s">
        <v>33</v>
      </c>
      <c r="J1447" s="0" t="s">
        <v>504</v>
      </c>
      <c r="K1447" s="0" t="str">
        <f aca="false">"3.33 %"</f>
        <v>3.33 %</v>
      </c>
      <c r="O1447" s="0" t="s">
        <v>5496</v>
      </c>
    </row>
    <row r="1448" customFormat="false" ht="15" hidden="false" customHeight="false" outlineLevel="0" collapsed="false">
      <c r="A1448" s="0" t="s">
        <v>5497</v>
      </c>
      <c r="B1448" s="0" t="n">
        <v>1</v>
      </c>
      <c r="D1448" s="4" t="s">
        <v>599</v>
      </c>
      <c r="E1448" s="0" t="s">
        <v>600</v>
      </c>
      <c r="F1448" s="0" t="s">
        <v>601</v>
      </c>
      <c r="G1448" s="0" t="n">
        <v>0</v>
      </c>
      <c r="H1448" s="0" t="s">
        <v>5498</v>
      </c>
      <c r="I1448" s="6" t="s">
        <v>5499</v>
      </c>
      <c r="J1448" s="0" t="s">
        <v>5500</v>
      </c>
      <c r="K1448" s="0" t="str">
        <f aca="false">"10 %"</f>
        <v>10 %</v>
      </c>
      <c r="O1448" s="0" t="s">
        <v>5501</v>
      </c>
    </row>
    <row r="1449" customFormat="false" ht="15" hidden="false" customHeight="false" outlineLevel="0" collapsed="false">
      <c r="A1449" s="0" t="s">
        <v>5497</v>
      </c>
      <c r="B1449" s="0" t="n">
        <v>1</v>
      </c>
      <c r="D1449" s="4" t="s">
        <v>599</v>
      </c>
      <c r="E1449" s="0" t="s">
        <v>600</v>
      </c>
      <c r="F1449" s="0" t="s">
        <v>601</v>
      </c>
      <c r="G1449" s="0" t="n">
        <v>0</v>
      </c>
      <c r="H1449" s="4" t="s">
        <v>5502</v>
      </c>
      <c r="I1449" s="6" t="s">
        <v>5503</v>
      </c>
      <c r="J1449" s="4" t="s">
        <v>5504</v>
      </c>
      <c r="K1449" s="0" t="str">
        <f aca="false">"8.92 %"</f>
        <v>8.92 %</v>
      </c>
    </row>
    <row r="1450" customFormat="false" ht="13.8" hidden="false" customHeight="false" outlineLevel="0" collapsed="false">
      <c r="A1450" s="0" t="s">
        <v>5505</v>
      </c>
      <c r="B1450" s="0" t="n">
        <v>1</v>
      </c>
      <c r="D1450" s="0" t="s">
        <v>16</v>
      </c>
      <c r="E1450" s="0" t="s">
        <v>17</v>
      </c>
      <c r="F1450" s="0" t="s">
        <v>4435</v>
      </c>
      <c r="G1450" s="0" t="n">
        <v>1</v>
      </c>
      <c r="H1450" s="0" t="s">
        <v>33</v>
      </c>
      <c r="J1450" s="0" t="s">
        <v>5506</v>
      </c>
      <c r="K1450" s="0" t="str">
        <f aca="false">"0.14 %"</f>
        <v>0.14 %</v>
      </c>
      <c r="O1450" s="0" t="s">
        <v>5507</v>
      </c>
    </row>
    <row r="1451" customFormat="false" ht="13.8" hidden="false" customHeight="false" outlineLevel="0" collapsed="false">
      <c r="A1451" s="0" t="s">
        <v>5508</v>
      </c>
      <c r="B1451" s="0" t="n">
        <v>1</v>
      </c>
      <c r="D1451" s="0" t="s">
        <v>16</v>
      </c>
      <c r="E1451" s="0" t="s">
        <v>17</v>
      </c>
      <c r="F1451" s="0" t="s">
        <v>435</v>
      </c>
      <c r="G1451" s="0" t="n">
        <v>1</v>
      </c>
      <c r="H1451" s="0" t="s">
        <v>33</v>
      </c>
      <c r="J1451" s="0" t="s">
        <v>34</v>
      </c>
      <c r="K1451" s="0" t="str">
        <f aca="false">"4.83 %"</f>
        <v>4.83 %</v>
      </c>
      <c r="O1451" s="0" t="s">
        <v>5509</v>
      </c>
    </row>
    <row r="1452" customFormat="false" ht="13.8" hidden="false" customHeight="false" outlineLevel="0" collapsed="false">
      <c r="A1452" s="0" t="s">
        <v>5510</v>
      </c>
      <c r="B1452" s="0" t="n">
        <v>1</v>
      </c>
      <c r="D1452" s="0" t="s">
        <v>1104</v>
      </c>
      <c r="E1452" s="0" t="s">
        <v>1105</v>
      </c>
      <c r="F1452" s="0" t="s">
        <v>1106</v>
      </c>
      <c r="G1452" s="0" t="n">
        <v>1</v>
      </c>
      <c r="H1452" s="0" t="s">
        <v>33</v>
      </c>
      <c r="J1452" s="0" t="s">
        <v>34</v>
      </c>
      <c r="K1452" s="3" t="n">
        <v>0.046</v>
      </c>
      <c r="O1452" s="0" t="s">
        <v>5511</v>
      </c>
    </row>
    <row r="1453" customFormat="false" ht="13.8" hidden="false" customHeight="false" outlineLevel="0" collapsed="false">
      <c r="A1453" s="0" t="s">
        <v>5512</v>
      </c>
      <c r="B1453" s="0" t="n">
        <v>1</v>
      </c>
      <c r="D1453" s="0" t="s">
        <v>863</v>
      </c>
      <c r="E1453" s="0" t="s">
        <v>1647</v>
      </c>
      <c r="F1453" s="0" t="s">
        <v>864</v>
      </c>
      <c r="G1453" s="0" t="n">
        <v>1</v>
      </c>
      <c r="H1453" s="0" t="s">
        <v>27</v>
      </c>
      <c r="J1453" s="0" t="s">
        <v>28</v>
      </c>
      <c r="K1453" s="3" t="str">
        <f aca="false">"4.56 %"</f>
        <v>4.56 %</v>
      </c>
      <c r="M1453" s="0" t="str">
        <f aca="false">"15.91 mA/cm^{2}"</f>
        <v>15.91 mA/cm^{2}</v>
      </c>
      <c r="O1453" s="0" t="s">
        <v>5513</v>
      </c>
    </row>
    <row r="1454" customFormat="false" ht="13.8" hidden="false" customHeight="false" outlineLevel="0" collapsed="false">
      <c r="A1454" s="0" t="s">
        <v>5512</v>
      </c>
      <c r="B1454" s="0" t="n">
        <v>1</v>
      </c>
      <c r="D1454" s="0" t="s">
        <v>863</v>
      </c>
      <c r="E1454" s="0" t="s">
        <v>1647</v>
      </c>
      <c r="F1454" s="0" t="s">
        <v>864</v>
      </c>
      <c r="G1454" s="0" t="n">
        <v>1</v>
      </c>
      <c r="H1454" s="0" t="s">
        <v>76</v>
      </c>
      <c r="J1454" s="0" t="s">
        <v>77</v>
      </c>
      <c r="K1454" s="3" t="str">
        <f aca="false">"4.33 %"</f>
        <v>4.33 %</v>
      </c>
      <c r="O1454" s="0" t="s">
        <v>5513</v>
      </c>
    </row>
    <row r="1455" customFormat="false" ht="13.8" hidden="false" customHeight="false" outlineLevel="0" collapsed="false">
      <c r="A1455" s="0" t="s">
        <v>5514</v>
      </c>
      <c r="B1455" s="0" t="n">
        <v>1</v>
      </c>
      <c r="D1455" s="0" t="s">
        <v>208</v>
      </c>
      <c r="E1455" s="0" t="s">
        <v>17</v>
      </c>
      <c r="F1455" s="0" t="s">
        <v>209</v>
      </c>
      <c r="G1455" s="0" t="n">
        <v>1</v>
      </c>
      <c r="H1455" s="0" t="s">
        <v>33</v>
      </c>
      <c r="J1455" s="0" t="s">
        <v>34</v>
      </c>
      <c r="K1455" s="0" t="str">
        <f aca="false">"2.83 %"</f>
        <v>2.83 %</v>
      </c>
      <c r="L1455" s="0" t="str">
        <f aca="false">"0.55 V"</f>
        <v>0.55 V</v>
      </c>
      <c r="M1455" s="0" t="str">
        <f aca="false">"-9.19 mA/cm^{2}"</f>
        <v>-9.19 mA/cm^{2}</v>
      </c>
      <c r="O1455" s="0" t="s">
        <v>5515</v>
      </c>
    </row>
    <row r="1456" customFormat="false" ht="13.8" hidden="false" customHeight="false" outlineLevel="0" collapsed="false">
      <c r="A1456" s="0" t="s">
        <v>5516</v>
      </c>
      <c r="B1456" s="0" t="n">
        <v>1</v>
      </c>
      <c r="D1456" s="0" t="s">
        <v>201</v>
      </c>
      <c r="E1456" s="0" t="s">
        <v>202</v>
      </c>
      <c r="F1456" s="0" t="s">
        <v>422</v>
      </c>
      <c r="G1456" s="0" t="n">
        <v>0</v>
      </c>
      <c r="H1456" s="0" t="s">
        <v>5517</v>
      </c>
      <c r="I1456" s="0" t="s">
        <v>5518</v>
      </c>
      <c r="J1456" s="0" t="s">
        <v>40</v>
      </c>
      <c r="K1456" s="0" t="str">
        <f aca="false">"6.18 %"</f>
        <v>6.18 %</v>
      </c>
      <c r="L1456" s="0" t="str">
        <f aca="false">"0.74 V"</f>
        <v>0.74 V</v>
      </c>
      <c r="M1456" s="0" t="str">
        <f aca="false">"14.71 mA cm^{-2}"</f>
        <v>14.71 mA cm^{-2}</v>
      </c>
      <c r="N1456" s="0" t="str">
        <f aca="false">"0.57"</f>
        <v>0.57</v>
      </c>
      <c r="O1456" s="0" t="s">
        <v>5519</v>
      </c>
    </row>
    <row r="1457" customFormat="false" ht="13.8" hidden="false" customHeight="false" outlineLevel="0" collapsed="false">
      <c r="A1457" s="0" t="s">
        <v>5520</v>
      </c>
      <c r="C1457" s="0" t="n">
        <v>1</v>
      </c>
      <c r="D1457" s="4" t="s">
        <v>599</v>
      </c>
      <c r="E1457" s="0" t="s">
        <v>600</v>
      </c>
      <c r="F1457" s="0" t="s">
        <v>40</v>
      </c>
      <c r="G1457" s="0" t="n">
        <v>1</v>
      </c>
      <c r="H1457" s="0" t="s">
        <v>27</v>
      </c>
      <c r="J1457" s="0" t="s">
        <v>28</v>
      </c>
      <c r="K1457" s="0" t="str">
        <f aca="false">"6.68 %"</f>
        <v>6.68 %</v>
      </c>
      <c r="L1457" s="0" t="str">
        <f aca="false">"20-40 mV"</f>
        <v>20-40 mV</v>
      </c>
      <c r="O1457" s="0" t="s">
        <v>5521</v>
      </c>
    </row>
    <row r="1458" customFormat="false" ht="13.8" hidden="false" customHeight="false" outlineLevel="0" collapsed="false">
      <c r="A1458" s="0" t="s">
        <v>5522</v>
      </c>
      <c r="B1458" s="0" t="n">
        <v>1</v>
      </c>
      <c r="D1458" s="0" t="s">
        <v>85</v>
      </c>
      <c r="E1458" s="0" t="s">
        <v>86</v>
      </c>
      <c r="F1458" s="0" t="s">
        <v>87</v>
      </c>
      <c r="G1458" s="0" t="n">
        <v>1</v>
      </c>
      <c r="H1458" s="0" t="s">
        <v>27</v>
      </c>
      <c r="J1458" s="0" t="s">
        <v>28</v>
      </c>
      <c r="K1458" s="3" t="n">
        <v>0.084</v>
      </c>
      <c r="O1458" s="0" t="s">
        <v>5523</v>
      </c>
    </row>
    <row r="1459" customFormat="false" ht="13.8" hidden="false" customHeight="false" outlineLevel="0" collapsed="false">
      <c r="A1459" s="0" t="s">
        <v>5522</v>
      </c>
      <c r="B1459" s="0" t="n">
        <v>1</v>
      </c>
      <c r="D1459" s="5" t="s">
        <v>599</v>
      </c>
      <c r="E1459" s="0" t="s">
        <v>600</v>
      </c>
      <c r="F1459" s="0" t="s">
        <v>601</v>
      </c>
      <c r="G1459" s="0" t="n">
        <v>0</v>
      </c>
      <c r="H1459" s="0" t="s">
        <v>163</v>
      </c>
      <c r="I1459" s="0" t="s">
        <v>164</v>
      </c>
      <c r="K1459" s="9" t="n">
        <v>0.105</v>
      </c>
    </row>
    <row r="1460" customFormat="false" ht="13.8" hidden="false" customHeight="false" outlineLevel="0" collapsed="false">
      <c r="A1460" s="0" t="s">
        <v>5524</v>
      </c>
      <c r="C1460" s="0" t="n">
        <v>1</v>
      </c>
      <c r="D1460" s="0" t="s">
        <v>3930</v>
      </c>
      <c r="E1460" s="0" t="s">
        <v>110</v>
      </c>
      <c r="F1460" s="0" t="s">
        <v>3931</v>
      </c>
      <c r="G1460" s="0" t="n">
        <v>1</v>
      </c>
      <c r="H1460" s="0" t="s">
        <v>66</v>
      </c>
      <c r="J1460" s="0" t="s">
        <v>40</v>
      </c>
      <c r="K1460" s="0" t="str">
        <f aca="false">"7.86 %"</f>
        <v>7.86 %</v>
      </c>
      <c r="L1460" s="0" t="str">
        <f aca="false">"0.86 V"</f>
        <v>0.86 V</v>
      </c>
      <c r="M1460" s="0" t="str">
        <f aca="false">"15.21 mA cm^{-2}"</f>
        <v>15.21 mA cm^{-2}</v>
      </c>
      <c r="N1460" s="0" t="str">
        <f aca="false">"69.70 %"</f>
        <v>69.70 %</v>
      </c>
      <c r="O1460" s="0" t="s">
        <v>5525</v>
      </c>
    </row>
    <row r="1461" customFormat="false" ht="13.8" hidden="false" customHeight="false" outlineLevel="0" collapsed="false">
      <c r="A1461" s="0" t="s">
        <v>5526</v>
      </c>
      <c r="C1461" s="0" t="n">
        <v>1</v>
      </c>
      <c r="D1461" s="0" t="s">
        <v>243</v>
      </c>
      <c r="E1461" s="0" t="s">
        <v>244</v>
      </c>
      <c r="F1461" s="0" t="s">
        <v>5527</v>
      </c>
      <c r="G1461" s="0" t="n">
        <v>1</v>
      </c>
      <c r="H1461" s="0" t="s">
        <v>27</v>
      </c>
      <c r="J1461" s="0" t="s">
        <v>28</v>
      </c>
      <c r="L1461" s="0" t="str">
        <f aca="false">"0.73 V"</f>
        <v>0.73 V</v>
      </c>
      <c r="O1461" s="0" t="s">
        <v>5528</v>
      </c>
    </row>
    <row r="1462" customFormat="false" ht="13.8" hidden="false" customHeight="false" outlineLevel="0" collapsed="false">
      <c r="A1462" s="0" t="s">
        <v>5526</v>
      </c>
      <c r="C1462" s="0" t="n">
        <v>1</v>
      </c>
      <c r="D1462" s="0" t="s">
        <v>5529</v>
      </c>
      <c r="F1462" s="0" t="s">
        <v>5530</v>
      </c>
      <c r="G1462" s="0" t="n">
        <v>1</v>
      </c>
      <c r="H1462" s="0" t="s">
        <v>27</v>
      </c>
      <c r="J1462" s="0" t="s">
        <v>28</v>
      </c>
      <c r="N1462" s="0" t="str">
        <f aca="false">"53.3 %"</f>
        <v>53.3 %</v>
      </c>
      <c r="O1462" s="0" t="s">
        <v>5531</v>
      </c>
    </row>
    <row r="1463" customFormat="false" ht="13.8" hidden="false" customHeight="false" outlineLevel="0" collapsed="false">
      <c r="A1463" s="0" t="s">
        <v>5526</v>
      </c>
      <c r="C1463" s="0" t="n">
        <v>1</v>
      </c>
      <c r="D1463" s="0" t="s">
        <v>5532</v>
      </c>
      <c r="F1463" s="0" t="s">
        <v>5533</v>
      </c>
      <c r="G1463" s="0" t="n">
        <v>1</v>
      </c>
      <c r="H1463" s="0" t="s">
        <v>27</v>
      </c>
      <c r="J1463" s="0" t="s">
        <v>28</v>
      </c>
      <c r="K1463" s="0" t="str">
        <f aca="false">"6.9 %"</f>
        <v>6.9 %</v>
      </c>
      <c r="O1463" s="0" t="s">
        <v>5534</v>
      </c>
    </row>
    <row r="1464" customFormat="false" ht="15" hidden="false" customHeight="false" outlineLevel="0" collapsed="false">
      <c r="A1464" s="0" t="s">
        <v>5535</v>
      </c>
      <c r="B1464" s="0" t="n">
        <v>1</v>
      </c>
      <c r="D1464" s="0" t="s">
        <v>124</v>
      </c>
      <c r="E1464" s="6" t="s">
        <v>5536</v>
      </c>
      <c r="F1464" s="0" t="s">
        <v>40</v>
      </c>
      <c r="G1464" s="0" t="n">
        <v>1</v>
      </c>
      <c r="H1464" s="0" t="s">
        <v>76</v>
      </c>
      <c r="J1464" s="0" t="s">
        <v>77</v>
      </c>
      <c r="K1464" s="9" t="str">
        <f aca="false">"2.40 %"</f>
        <v>2.40 %</v>
      </c>
      <c r="O1464" s="0" t="s">
        <v>5537</v>
      </c>
    </row>
    <row r="1465" customFormat="false" ht="15" hidden="false" customHeight="false" outlineLevel="0" collapsed="false">
      <c r="A1465" s="0" t="s">
        <v>5535</v>
      </c>
      <c r="B1465" s="0" t="n">
        <v>1</v>
      </c>
      <c r="D1465" s="0" t="s">
        <v>128</v>
      </c>
      <c r="E1465" s="6" t="s">
        <v>5538</v>
      </c>
      <c r="F1465" s="0" t="s">
        <v>40</v>
      </c>
      <c r="G1465" s="0" t="n">
        <v>1</v>
      </c>
      <c r="H1465" s="0" t="s">
        <v>76</v>
      </c>
      <c r="J1465" s="0" t="s">
        <v>77</v>
      </c>
      <c r="K1465" s="9" t="str">
        <f aca="false">"1.28 %"</f>
        <v>1.28 %</v>
      </c>
    </row>
    <row r="1466" customFormat="false" ht="15" hidden="false" customHeight="false" outlineLevel="0" collapsed="false">
      <c r="A1466" s="0" t="s">
        <v>5539</v>
      </c>
      <c r="B1466" s="0" t="n">
        <v>1</v>
      </c>
      <c r="D1466" s="0" t="s">
        <v>5540</v>
      </c>
      <c r="E1466" s="16" t="s">
        <v>5541</v>
      </c>
      <c r="F1466" s="0" t="s">
        <v>5542</v>
      </c>
      <c r="G1466" s="0" t="n">
        <v>1</v>
      </c>
      <c r="H1466" s="0" t="s">
        <v>27</v>
      </c>
      <c r="J1466" s="0" t="s">
        <v>28</v>
      </c>
      <c r="K1466" s="0" t="str">
        <f aca="false">"7.3 %"</f>
        <v>7.3 %</v>
      </c>
      <c r="O1466" s="0" t="s">
        <v>5543</v>
      </c>
    </row>
    <row r="1467" customFormat="false" ht="15" hidden="false" customHeight="false" outlineLevel="0" collapsed="false">
      <c r="A1467" s="0" t="s">
        <v>5539</v>
      </c>
      <c r="B1467" s="0" t="n">
        <v>1</v>
      </c>
      <c r="D1467" s="0" t="s">
        <v>5544</v>
      </c>
      <c r="E1467" s="16" t="s">
        <v>5545</v>
      </c>
      <c r="F1467" s="0" t="s">
        <v>5546</v>
      </c>
      <c r="G1467" s="0" t="n">
        <v>1</v>
      </c>
      <c r="H1467" s="0" t="s">
        <v>27</v>
      </c>
      <c r="J1467" s="0" t="s">
        <v>28</v>
      </c>
      <c r="K1467" s="0" t="str">
        <f aca="false">"4.0 %"</f>
        <v>4.0 %</v>
      </c>
      <c r="O1467" s="0" t="s">
        <v>5547</v>
      </c>
    </row>
    <row r="1468" customFormat="false" ht="13.8" hidden="false" customHeight="false" outlineLevel="0" collapsed="false">
      <c r="A1468" s="0" t="s">
        <v>5548</v>
      </c>
      <c r="B1468" s="0" t="n">
        <v>1</v>
      </c>
      <c r="D1468" s="0" t="s">
        <v>85</v>
      </c>
      <c r="E1468" s="0" t="s">
        <v>86</v>
      </c>
      <c r="F1468" s="0" t="s">
        <v>87</v>
      </c>
      <c r="G1468" s="0" t="n">
        <v>1</v>
      </c>
      <c r="H1468" s="0" t="s">
        <v>758</v>
      </c>
      <c r="J1468" s="0" t="s">
        <v>759</v>
      </c>
      <c r="K1468" s="0" t="str">
        <f aca="false">"5.11 %"</f>
        <v>5.11 %</v>
      </c>
      <c r="O1468" s="0" t="s">
        <v>5549</v>
      </c>
    </row>
    <row r="1469" customFormat="false" ht="13.8" hidden="false" customHeight="false" outlineLevel="0" collapsed="false">
      <c r="A1469" s="0" t="s">
        <v>5550</v>
      </c>
      <c r="B1469" s="0" t="n">
        <v>1</v>
      </c>
      <c r="D1469" s="0" t="s">
        <v>85</v>
      </c>
      <c r="E1469" s="0" t="s">
        <v>86</v>
      </c>
      <c r="F1469" s="0" t="s">
        <v>87</v>
      </c>
      <c r="G1469" s="0" t="n">
        <v>1</v>
      </c>
      <c r="H1469" s="0" t="s">
        <v>33</v>
      </c>
      <c r="J1469" s="0" t="s">
        <v>34</v>
      </c>
      <c r="K1469" s="0" t="str">
        <f aca="false">"6.44 %"</f>
        <v>6.44 %</v>
      </c>
      <c r="O1469" s="0" t="s">
        <v>5551</v>
      </c>
    </row>
    <row r="1470" customFormat="false" ht="13.8" hidden="false" customHeight="false" outlineLevel="0" collapsed="false">
      <c r="A1470" s="0" t="s">
        <v>5550</v>
      </c>
      <c r="B1470" s="0" t="n">
        <v>1</v>
      </c>
      <c r="D1470" s="5" t="s">
        <v>1341</v>
      </c>
      <c r="E1470" s="0" t="s">
        <v>1342</v>
      </c>
      <c r="F1470" s="0" t="s">
        <v>5552</v>
      </c>
      <c r="G1470" s="0" t="n">
        <v>1</v>
      </c>
      <c r="H1470" s="0" t="s">
        <v>33</v>
      </c>
      <c r="J1470" s="0" t="s">
        <v>34</v>
      </c>
      <c r="K1470" s="9" t="n">
        <v>0.0916</v>
      </c>
    </row>
    <row r="1471" customFormat="false" ht="13.8" hidden="false" customHeight="false" outlineLevel="0" collapsed="false">
      <c r="A1471" s="0" t="s">
        <v>5553</v>
      </c>
      <c r="B1471" s="0" t="n">
        <v>1</v>
      </c>
      <c r="D1471" s="0" t="s">
        <v>1341</v>
      </c>
      <c r="E1471" s="0" t="s">
        <v>1342</v>
      </c>
      <c r="F1471" s="0" t="s">
        <v>5552</v>
      </c>
      <c r="G1471" s="0" t="n">
        <v>1</v>
      </c>
      <c r="H1471" s="0" t="s">
        <v>66</v>
      </c>
      <c r="J1471" s="0" t="s">
        <v>67</v>
      </c>
      <c r="K1471" s="0" t="str">
        <f aca="false">"8.72 %"</f>
        <v>8.72 %</v>
      </c>
      <c r="O1471" s="0" t="s">
        <v>5554</v>
      </c>
    </row>
    <row r="1472" customFormat="false" ht="18" hidden="false" customHeight="false" outlineLevel="0" collapsed="false">
      <c r="A1472" s="0" t="s">
        <v>5555</v>
      </c>
      <c r="B1472" s="0" t="n">
        <v>1</v>
      </c>
      <c r="D1472" s="45" t="s">
        <v>5556</v>
      </c>
      <c r="E1472" s="16" t="s">
        <v>5557</v>
      </c>
      <c r="F1472" s="0" t="s">
        <v>40</v>
      </c>
      <c r="G1472" s="0" t="n">
        <v>1</v>
      </c>
      <c r="H1472" s="0" t="s">
        <v>27</v>
      </c>
      <c r="J1472" s="0" t="s">
        <v>40</v>
      </c>
      <c r="K1472" s="0" t="str">
        <f aca="false">"4.86 %"</f>
        <v>4.86 %</v>
      </c>
      <c r="M1472" s="0" t="str">
        <f aca="false">"11.10 mA cm^{-2}"</f>
        <v>11.10 mA cm^{-2}</v>
      </c>
      <c r="N1472" s="0" t="str">
        <f aca="false">"62.5 %"</f>
        <v>62.5 %</v>
      </c>
      <c r="O1472" s="0" t="s">
        <v>5558</v>
      </c>
    </row>
    <row r="1473" customFormat="false" ht="17.9" hidden="false" customHeight="false" outlineLevel="0" collapsed="false">
      <c r="A1473" s="0" t="s">
        <v>5559</v>
      </c>
      <c r="B1473" s="0" t="n">
        <v>1</v>
      </c>
      <c r="D1473" s="45" t="s">
        <v>5560</v>
      </c>
      <c r="E1473" s="46" t="s">
        <v>5561</v>
      </c>
      <c r="F1473" s="0" t="s">
        <v>40</v>
      </c>
      <c r="G1473" s="0" t="n">
        <v>1</v>
      </c>
      <c r="H1473" s="0" t="s">
        <v>27</v>
      </c>
      <c r="J1473" s="0" t="s">
        <v>40</v>
      </c>
      <c r="K1473" s="0" t="str">
        <f aca="false">"8.0 %"</f>
        <v>8.0 %</v>
      </c>
      <c r="L1473" s="5" t="s">
        <v>5562</v>
      </c>
      <c r="N1473" s="10" t="n">
        <v>0.7</v>
      </c>
      <c r="O1473" s="0" t="s">
        <v>5563</v>
      </c>
    </row>
    <row r="1474" customFormat="false" ht="17.9" hidden="false" customHeight="false" outlineLevel="0" collapsed="false">
      <c r="A1474" s="0" t="s">
        <v>5559</v>
      </c>
      <c r="B1474" s="0" t="n">
        <v>1</v>
      </c>
      <c r="D1474" s="47" t="s">
        <v>5564</v>
      </c>
      <c r="E1474" s="16" t="s">
        <v>5565</v>
      </c>
      <c r="G1474" s="0" t="n">
        <v>1</v>
      </c>
      <c r="H1474" s="0" t="s">
        <v>27</v>
      </c>
      <c r="J1474" s="0" t="s">
        <v>40</v>
      </c>
      <c r="K1474" s="12" t="n">
        <v>0.074</v>
      </c>
    </row>
    <row r="1475" customFormat="false" ht="15.75" hidden="false" customHeight="false" outlineLevel="0" collapsed="false">
      <c r="A1475" s="0" t="s">
        <v>5559</v>
      </c>
      <c r="B1475" s="0" t="n">
        <v>1</v>
      </c>
      <c r="D1475" s="48" t="s">
        <v>5566</v>
      </c>
      <c r="E1475" s="16" t="s">
        <v>5567</v>
      </c>
      <c r="G1475" s="0" t="n">
        <v>1</v>
      </c>
      <c r="H1475" s="0" t="s">
        <v>27</v>
      </c>
      <c r="J1475" s="0" t="s">
        <v>40</v>
      </c>
      <c r="K1475" s="10" t="n">
        <v>0.07</v>
      </c>
    </row>
    <row r="1476" customFormat="false" ht="13.8" hidden="false" customHeight="false" outlineLevel="0" collapsed="false">
      <c r="A1476" s="0" t="s">
        <v>5568</v>
      </c>
      <c r="B1476" s="0" t="n">
        <v>1</v>
      </c>
      <c r="D1476" s="0" t="s">
        <v>16</v>
      </c>
      <c r="E1476" s="0" t="s">
        <v>17</v>
      </c>
      <c r="F1476" s="0" t="s">
        <v>116</v>
      </c>
      <c r="G1476" s="0" t="n">
        <v>1</v>
      </c>
      <c r="H1476" s="0" t="s">
        <v>33</v>
      </c>
      <c r="J1476" s="0" t="s">
        <v>34</v>
      </c>
      <c r="K1476" s="0" t="str">
        <f aca="false">"4.02 %"</f>
        <v>4.02 %</v>
      </c>
      <c r="M1476" s="5" t="s">
        <v>5569</v>
      </c>
      <c r="O1476" s="0" t="s">
        <v>5570</v>
      </c>
    </row>
    <row r="1477" customFormat="false" ht="13.8" hidden="false" customHeight="false" outlineLevel="0" collapsed="false">
      <c r="A1477" s="0" t="s">
        <v>5571</v>
      </c>
      <c r="B1477" s="0" t="n">
        <v>1</v>
      </c>
      <c r="D1477" s="0" t="s">
        <v>109</v>
      </c>
      <c r="E1477" s="0" t="s">
        <v>110</v>
      </c>
      <c r="F1477" s="0" t="s">
        <v>111</v>
      </c>
      <c r="G1477" s="0" t="n">
        <v>1</v>
      </c>
      <c r="H1477" s="0" t="s">
        <v>66</v>
      </c>
      <c r="J1477" s="0" t="s">
        <v>67</v>
      </c>
      <c r="K1477" s="0" t="str">
        <f aca="false">"5.95 %"</f>
        <v>5.95 %</v>
      </c>
      <c r="O1477" s="0" t="s">
        <v>5572</v>
      </c>
    </row>
    <row r="1478" customFormat="false" ht="13.8" hidden="false" customHeight="false" outlineLevel="0" collapsed="false">
      <c r="A1478" s="0" t="s">
        <v>5573</v>
      </c>
      <c r="B1478" s="0" t="n">
        <v>1</v>
      </c>
      <c r="D1478" s="0" t="s">
        <v>5574</v>
      </c>
      <c r="E1478" s="0" t="s">
        <v>86</v>
      </c>
      <c r="F1478" s="0" t="s">
        <v>5575</v>
      </c>
      <c r="G1478" s="0" t="n">
        <v>1</v>
      </c>
      <c r="H1478" s="0" t="s">
        <v>66</v>
      </c>
      <c r="J1478" s="0" t="s">
        <v>40</v>
      </c>
      <c r="K1478" s="9" t="n">
        <v>0.081</v>
      </c>
      <c r="O1478" s="0" t="s">
        <v>5576</v>
      </c>
    </row>
    <row r="1479" customFormat="false" ht="15" hidden="false" customHeight="false" outlineLevel="0" collapsed="false">
      <c r="A1479" s="0" t="s">
        <v>5577</v>
      </c>
      <c r="B1479" s="0" t="n">
        <v>1</v>
      </c>
      <c r="D1479" s="0" t="s">
        <v>5578</v>
      </c>
      <c r="E1479" s="16" t="s">
        <v>5579</v>
      </c>
      <c r="F1479" s="0" t="s">
        <v>5580</v>
      </c>
      <c r="G1479" s="0" t="n">
        <v>1</v>
      </c>
      <c r="H1479" s="0" t="s">
        <v>33</v>
      </c>
      <c r="J1479" s="0" t="s">
        <v>40</v>
      </c>
      <c r="K1479" s="0" t="str">
        <f aca="false">"5.27 %"</f>
        <v>5.27 %</v>
      </c>
      <c r="O1479" s="0" t="s">
        <v>5581</v>
      </c>
    </row>
    <row r="1480" customFormat="false" ht="15" hidden="false" customHeight="false" outlineLevel="0" collapsed="false">
      <c r="A1480" s="0" t="s">
        <v>5582</v>
      </c>
      <c r="B1480" s="0" t="n">
        <v>1</v>
      </c>
      <c r="D1480" s="0" t="s">
        <v>124</v>
      </c>
      <c r="E1480" s="16" t="s">
        <v>5583</v>
      </c>
      <c r="F1480" s="0" t="s">
        <v>427</v>
      </c>
      <c r="G1480" s="0" t="n">
        <v>1</v>
      </c>
      <c r="H1480" s="0" t="s">
        <v>27</v>
      </c>
      <c r="J1480" s="0" t="s">
        <v>28</v>
      </c>
      <c r="K1480" s="0" t="str">
        <f aca="false">"2.83 %"</f>
        <v>2.83 %</v>
      </c>
      <c r="O1480" s="0" t="s">
        <v>5584</v>
      </c>
    </row>
    <row r="1481" customFormat="false" ht="15" hidden="false" customHeight="false" outlineLevel="0" collapsed="false">
      <c r="A1481" s="0" t="s">
        <v>5582</v>
      </c>
      <c r="B1481" s="0" t="n">
        <v>1</v>
      </c>
      <c r="D1481" s="0" t="s">
        <v>128</v>
      </c>
      <c r="E1481" s="16" t="s">
        <v>5585</v>
      </c>
      <c r="F1481" s="0" t="s">
        <v>5586</v>
      </c>
      <c r="G1481" s="0" t="n">
        <v>1</v>
      </c>
      <c r="H1481" s="0" t="s">
        <v>27</v>
      </c>
      <c r="J1481" s="0" t="s">
        <v>28</v>
      </c>
      <c r="K1481" s="0" t="str">
        <f aca="false">"6.15 %"</f>
        <v>6.15 %</v>
      </c>
      <c r="L1481" s="0" t="str">
        <f aca="false">"0.71 V"</f>
        <v>0.71 V</v>
      </c>
      <c r="M1481" s="0" t="str">
        <f aca="false">"14.55 mA cm^{-2}"</f>
        <v>14.55 mA cm^{-2}</v>
      </c>
      <c r="N1481" s="0" t="str">
        <f aca="false">"59.5 %"</f>
        <v>59.5 %</v>
      </c>
      <c r="O1481" s="0" t="s">
        <v>5587</v>
      </c>
    </row>
    <row r="1482" customFormat="false" ht="17.35" hidden="false" customHeight="false" outlineLevel="0" collapsed="false">
      <c r="A1482" s="0" t="s">
        <v>5588</v>
      </c>
      <c r="B1482" s="0" t="n">
        <v>1</v>
      </c>
      <c r="D1482" s="1" t="s">
        <v>5589</v>
      </c>
      <c r="E1482" s="16" t="s">
        <v>5590</v>
      </c>
      <c r="F1482" s="0" t="s">
        <v>40</v>
      </c>
      <c r="G1482" s="0" t="n">
        <v>1</v>
      </c>
      <c r="H1482" s="0" t="s">
        <v>27</v>
      </c>
      <c r="J1482" s="0" t="s">
        <v>28</v>
      </c>
      <c r="K1482" s="3" t="n">
        <v>0.0578</v>
      </c>
      <c r="L1482" s="0" t="str">
        <f aca="false">"0.86 V"</f>
        <v>0.86 V</v>
      </c>
      <c r="M1482" s="0" t="str">
        <f aca="false">"10.84 mA cm^{-2}"</f>
        <v>10.84 mA cm^{-2}</v>
      </c>
      <c r="N1482" s="0" t="str">
        <f aca="false">"61.7 %"</f>
        <v>61.7 %</v>
      </c>
      <c r="O1482" s="0" t="s">
        <v>5591</v>
      </c>
    </row>
    <row r="1483" customFormat="false" ht="17.35" hidden="false" customHeight="false" outlineLevel="0" collapsed="false">
      <c r="A1483" s="0" t="s">
        <v>5588</v>
      </c>
      <c r="B1483" s="0" t="n">
        <v>1</v>
      </c>
      <c r="D1483" s="1" t="s">
        <v>5592</v>
      </c>
      <c r="E1483" s="16" t="s">
        <v>5593</v>
      </c>
      <c r="F1483" s="0" t="s">
        <v>40</v>
      </c>
      <c r="G1483" s="0" t="n">
        <v>1</v>
      </c>
      <c r="H1483" s="0" t="s">
        <v>27</v>
      </c>
      <c r="J1483" s="0" t="s">
        <v>28</v>
      </c>
      <c r="K1483" s="9" t="n">
        <v>0.0511</v>
      </c>
    </row>
    <row r="1484" customFormat="false" ht="15" hidden="false" customHeight="false" outlineLevel="0" collapsed="false">
      <c r="A1484" s="0" t="s">
        <v>5594</v>
      </c>
      <c r="B1484" s="0" t="n">
        <v>1</v>
      </c>
      <c r="D1484" s="0" t="s">
        <v>16</v>
      </c>
      <c r="E1484" s="0" t="s">
        <v>17</v>
      </c>
      <c r="F1484" s="0" t="s">
        <v>116</v>
      </c>
      <c r="G1484" s="0" t="n">
        <v>1</v>
      </c>
      <c r="H1484" s="0" t="s">
        <v>33</v>
      </c>
      <c r="J1484" s="0" t="s">
        <v>34</v>
      </c>
      <c r="K1484" s="3" t="n">
        <v>0.0271</v>
      </c>
      <c r="O1484" s="0" t="s">
        <v>5595</v>
      </c>
    </row>
    <row r="1485" customFormat="false" ht="15" hidden="false" customHeight="false" outlineLevel="0" collapsed="false">
      <c r="A1485" s="0" t="s">
        <v>5596</v>
      </c>
      <c r="B1485" s="0" t="n">
        <v>1</v>
      </c>
      <c r="D1485" s="4" t="s">
        <v>4066</v>
      </c>
      <c r="E1485" s="16" t="s">
        <v>5597</v>
      </c>
      <c r="F1485" s="0" t="s">
        <v>4068</v>
      </c>
      <c r="G1485" s="0" t="n">
        <v>1</v>
      </c>
      <c r="H1485" s="0" t="s">
        <v>27</v>
      </c>
      <c r="J1485" s="0" t="s">
        <v>28</v>
      </c>
      <c r="K1485" s="0" t="str">
        <f aca="false">"6.84 %"</f>
        <v>6.84 %</v>
      </c>
      <c r="O1485" s="0" t="s">
        <v>5598</v>
      </c>
    </row>
    <row r="1486" customFormat="false" ht="15" hidden="false" customHeight="false" outlineLevel="0" collapsed="false">
      <c r="A1486" s="0" t="s">
        <v>5596</v>
      </c>
      <c r="B1486" s="0" t="n">
        <v>1</v>
      </c>
      <c r="D1486" s="5" t="s">
        <v>5599</v>
      </c>
      <c r="E1486" s="46" t="s">
        <v>5600</v>
      </c>
      <c r="F1486" s="0" t="s">
        <v>5601</v>
      </c>
      <c r="G1486" s="0" t="n">
        <v>1</v>
      </c>
      <c r="H1486" s="0" t="s">
        <v>27</v>
      </c>
      <c r="J1486" s="0" t="s">
        <v>28</v>
      </c>
      <c r="K1486" s="9" t="n">
        <v>0.0673</v>
      </c>
    </row>
    <row r="1487" customFormat="false" ht="17.9" hidden="false" customHeight="false" outlineLevel="0" collapsed="false">
      <c r="A1487" s="0" t="s">
        <v>5602</v>
      </c>
      <c r="B1487" s="0" t="n">
        <v>1</v>
      </c>
      <c r="D1487" s="0" t="s">
        <v>85</v>
      </c>
      <c r="E1487" s="0" t="s">
        <v>86</v>
      </c>
      <c r="F1487" s="0" t="s">
        <v>87</v>
      </c>
      <c r="G1487" s="0" t="n">
        <v>0</v>
      </c>
      <c r="H1487" s="49" t="s">
        <v>5603</v>
      </c>
      <c r="I1487" s="16" t="s">
        <v>5604</v>
      </c>
      <c r="J1487" s="0" t="s">
        <v>5605</v>
      </c>
      <c r="K1487" s="0" t="str">
        <f aca="false">"1.56 %"</f>
        <v>1.56 %</v>
      </c>
      <c r="O1487" s="0" t="s">
        <v>5606</v>
      </c>
    </row>
    <row r="1488" customFormat="false" ht="13.8" hidden="false" customHeight="false" outlineLevel="0" collapsed="false">
      <c r="A1488" s="0" t="s">
        <v>5607</v>
      </c>
      <c r="B1488" s="0" t="n">
        <v>1</v>
      </c>
      <c r="D1488" s="0" t="s">
        <v>16</v>
      </c>
      <c r="E1488" s="0" t="s">
        <v>17</v>
      </c>
      <c r="F1488" s="0" t="s">
        <v>116</v>
      </c>
      <c r="G1488" s="0" t="n">
        <v>1</v>
      </c>
      <c r="H1488" s="0" t="s">
        <v>33</v>
      </c>
      <c r="J1488" s="0" t="s">
        <v>34</v>
      </c>
      <c r="K1488" s="0" t="str">
        <f aca="false">"3.51 %"</f>
        <v>3.51 %</v>
      </c>
      <c r="M1488" s="5" t="s">
        <v>5608</v>
      </c>
      <c r="O1488" s="0" t="s">
        <v>5609</v>
      </c>
    </row>
    <row r="1489" customFormat="false" ht="13.8" hidden="false" customHeight="false" outlineLevel="0" collapsed="false">
      <c r="A1489" s="0" t="s">
        <v>5610</v>
      </c>
      <c r="B1489" s="0" t="n">
        <v>1</v>
      </c>
      <c r="D1489" s="0" t="s">
        <v>5611</v>
      </c>
      <c r="E1489" s="0" t="s">
        <v>1680</v>
      </c>
      <c r="F1489" s="0" t="s">
        <v>5612</v>
      </c>
      <c r="G1489" s="0" t="n">
        <v>1</v>
      </c>
      <c r="H1489" s="0" t="s">
        <v>27</v>
      </c>
      <c r="J1489" s="0" t="s">
        <v>1274</v>
      </c>
      <c r="K1489" s="0" t="str">
        <f aca="false">"5.84 %"</f>
        <v>5.84 %</v>
      </c>
      <c r="M1489" s="0" t="str">
        <f aca="false">"16.4 mA cm^{-2}"</f>
        <v>16.4 mA cm^{-2}</v>
      </c>
      <c r="O1489" s="0" t="s">
        <v>5613</v>
      </c>
    </row>
    <row r="1490" customFormat="false" ht="13.8" hidden="false" customHeight="false" outlineLevel="0" collapsed="false">
      <c r="A1490" s="0" t="s">
        <v>5614</v>
      </c>
      <c r="D1490" s="0" t="s">
        <v>5615</v>
      </c>
      <c r="F1490" s="0" t="s">
        <v>5616</v>
      </c>
      <c r="G1490" s="0" t="n">
        <v>0</v>
      </c>
      <c r="H1490" s="0" t="s">
        <v>5617</v>
      </c>
      <c r="J1490" s="0" t="s">
        <v>40</v>
      </c>
      <c r="K1490" s="0" t="str">
        <f aca="false">"4.32 %"</f>
        <v>4.32 %</v>
      </c>
      <c r="O1490" s="0" t="s">
        <v>5618</v>
      </c>
    </row>
    <row r="1491" customFormat="false" ht="13.8" hidden="false" customHeight="false" outlineLevel="0" collapsed="false">
      <c r="A1491" s="0" t="s">
        <v>5619</v>
      </c>
      <c r="B1491" s="0" t="n">
        <v>1</v>
      </c>
      <c r="D1491" s="0" t="s">
        <v>85</v>
      </c>
      <c r="E1491" s="0" t="s">
        <v>86</v>
      </c>
      <c r="F1491" s="0" t="s">
        <v>87</v>
      </c>
      <c r="G1491" s="0" t="n">
        <v>1</v>
      </c>
      <c r="H1491" s="0" t="s">
        <v>27</v>
      </c>
      <c r="J1491" s="0" t="s">
        <v>28</v>
      </c>
      <c r="K1491" s="0" t="str">
        <f aca="false">"8.84 %"</f>
        <v>8.84 %</v>
      </c>
      <c r="O1491" s="0" t="s">
        <v>5620</v>
      </c>
    </row>
    <row r="1492" customFormat="false" ht="13.8" hidden="false" customHeight="false" outlineLevel="0" collapsed="false">
      <c r="A1492" s="0" t="s">
        <v>5621</v>
      </c>
      <c r="D1492" s="0" t="s">
        <v>128</v>
      </c>
      <c r="F1492" s="0" t="s">
        <v>130</v>
      </c>
      <c r="G1492" s="0" t="n">
        <v>1</v>
      </c>
      <c r="H1492" s="0" t="s">
        <v>27</v>
      </c>
      <c r="J1492" s="0" t="s">
        <v>28</v>
      </c>
      <c r="K1492" s="0" t="str">
        <f aca="false">"6.93 %"</f>
        <v>6.93 %</v>
      </c>
      <c r="O1492" s="0" t="s">
        <v>5622</v>
      </c>
    </row>
    <row r="1493" customFormat="false" ht="13.8" hidden="false" customHeight="false" outlineLevel="0" collapsed="false">
      <c r="A1493" s="0" t="s">
        <v>5623</v>
      </c>
      <c r="B1493" s="0" t="n">
        <v>1</v>
      </c>
      <c r="D1493" s="0" t="s">
        <v>109</v>
      </c>
      <c r="E1493" s="0" t="s">
        <v>110</v>
      </c>
      <c r="F1493" s="0" t="s">
        <v>111</v>
      </c>
      <c r="G1493" s="0" t="n">
        <v>1</v>
      </c>
      <c r="H1493" s="0" t="s">
        <v>27</v>
      </c>
      <c r="J1493" s="0" t="s">
        <v>28</v>
      </c>
      <c r="K1493" s="0" t="str">
        <f aca="false">"4 %"</f>
        <v>4 %</v>
      </c>
      <c r="O1493" s="0" t="s">
        <v>5624</v>
      </c>
    </row>
    <row r="1494" customFormat="false" ht="13.8" hidden="false" customHeight="false" outlineLevel="0" collapsed="false">
      <c r="A1494" s="0" t="s">
        <v>5625</v>
      </c>
      <c r="B1494" s="0" t="n">
        <v>1</v>
      </c>
      <c r="D1494" s="0" t="s">
        <v>208</v>
      </c>
      <c r="E1494" s="0" t="s">
        <v>17</v>
      </c>
      <c r="F1494" s="0" t="s">
        <v>18</v>
      </c>
      <c r="G1494" s="0" t="n">
        <v>1</v>
      </c>
      <c r="H1494" s="0" t="s">
        <v>117</v>
      </c>
      <c r="J1494" s="0" t="s">
        <v>40</v>
      </c>
      <c r="K1494" s="0" t="str">
        <f aca="false">"5.2 %"</f>
        <v>5.2 %</v>
      </c>
      <c r="L1494" s="0" t="str">
        <f aca="false">"0.88 V"</f>
        <v>0.88 V</v>
      </c>
      <c r="N1494" s="0" t="str">
        <f aca="false">"68.71 %"</f>
        <v>68.71 %</v>
      </c>
      <c r="O1494" s="0" t="s">
        <v>5626</v>
      </c>
    </row>
    <row r="1495" customFormat="false" ht="13.8" hidden="false" customHeight="false" outlineLevel="0" collapsed="false">
      <c r="A1495" s="0" t="s">
        <v>5627</v>
      </c>
      <c r="C1495" s="0" t="n">
        <v>1</v>
      </c>
      <c r="D1495" s="0" t="s">
        <v>208</v>
      </c>
      <c r="E1495" s="0" t="s">
        <v>17</v>
      </c>
      <c r="F1495" s="0" t="s">
        <v>209</v>
      </c>
      <c r="G1495" s="0" t="n">
        <v>1</v>
      </c>
      <c r="H1495" s="0" t="s">
        <v>33</v>
      </c>
      <c r="J1495" s="0" t="s">
        <v>34</v>
      </c>
      <c r="K1495" s="0" t="str">
        <f aca="false">"3.12 %"</f>
        <v>3.12 %</v>
      </c>
      <c r="M1495" s="0" t="str">
        <f aca="false">"10.54 mA cm^{-2}"</f>
        <v>10.54 mA cm^{-2}</v>
      </c>
      <c r="O1495" s="0" t="s">
        <v>5628</v>
      </c>
    </row>
    <row r="1496" customFormat="false" ht="13.8" hidden="false" customHeight="false" outlineLevel="0" collapsed="false">
      <c r="A1496" s="0" t="s">
        <v>5629</v>
      </c>
      <c r="D1496" s="0" t="s">
        <v>5630</v>
      </c>
      <c r="F1496" s="0" t="s">
        <v>5631</v>
      </c>
      <c r="G1496" s="0" t="n">
        <v>1</v>
      </c>
      <c r="H1496" s="0" t="s">
        <v>27</v>
      </c>
      <c r="J1496" s="0" t="s">
        <v>28</v>
      </c>
      <c r="K1496" s="0" t="str">
        <f aca="false">"1.4 %"</f>
        <v>1.4 %</v>
      </c>
      <c r="O1496" s="0" t="s">
        <v>5632</v>
      </c>
    </row>
    <row r="1497" customFormat="false" ht="13.8" hidden="false" customHeight="false" outlineLevel="0" collapsed="false">
      <c r="A1497" s="0" t="s">
        <v>5633</v>
      </c>
      <c r="D1497" s="0" t="s">
        <v>5634</v>
      </c>
      <c r="F1497" s="0" t="s">
        <v>5635</v>
      </c>
      <c r="G1497" s="0" t="n">
        <v>1</v>
      </c>
      <c r="H1497" s="0" t="s">
        <v>27</v>
      </c>
      <c r="J1497" s="0" t="s">
        <v>28</v>
      </c>
      <c r="K1497" s="0" t="str">
        <f aca="false">"9.25 %"</f>
        <v>9.25 %</v>
      </c>
      <c r="O1497" s="0" t="s">
        <v>5636</v>
      </c>
    </row>
    <row r="1498" customFormat="false" ht="13.8" hidden="false" customHeight="false" outlineLevel="0" collapsed="false">
      <c r="A1498" s="0" t="s">
        <v>5637</v>
      </c>
      <c r="D1498" s="0" t="s">
        <v>85</v>
      </c>
      <c r="E1498" s="0" t="s">
        <v>86</v>
      </c>
      <c r="F1498" s="0" t="s">
        <v>87</v>
      </c>
      <c r="G1498" s="0" t="n">
        <v>1</v>
      </c>
      <c r="H1498" s="0" t="s">
        <v>27</v>
      </c>
      <c r="J1498" s="0" t="s">
        <v>28</v>
      </c>
      <c r="K1498" s="0" t="str">
        <f aca="false">"6.86 %"</f>
        <v>6.86 %</v>
      </c>
      <c r="O1498" s="0" t="s">
        <v>5638</v>
      </c>
    </row>
    <row r="1499" customFormat="false" ht="13.8" hidden="false" customHeight="false" outlineLevel="0" collapsed="false">
      <c r="A1499" s="0" t="s">
        <v>5639</v>
      </c>
      <c r="D1499" s="0" t="s">
        <v>201</v>
      </c>
      <c r="E1499" s="0" t="s">
        <v>202</v>
      </c>
      <c r="F1499" s="0" t="s">
        <v>422</v>
      </c>
      <c r="G1499" s="0" t="n">
        <v>0</v>
      </c>
      <c r="H1499" s="0" t="s">
        <v>5640</v>
      </c>
      <c r="J1499" s="0" t="s">
        <v>40</v>
      </c>
      <c r="K1499" s="0" t="str">
        <f aca="false">"4.31 %"</f>
        <v>4.31 %</v>
      </c>
      <c r="L1499" s="0" t="str">
        <f aca="false">"0.81 V"</f>
        <v>0.81 V</v>
      </c>
      <c r="N1499" s="0" t="str">
        <f aca="false">"44.49 %"</f>
        <v>44.49 %</v>
      </c>
      <c r="O1499" s="0" t="s">
        <v>5641</v>
      </c>
    </row>
    <row r="1500" customFormat="false" ht="13.8" hidden="false" customHeight="false" outlineLevel="0" collapsed="false">
      <c r="A1500" s="0" t="s">
        <v>5639</v>
      </c>
      <c r="D1500" s="0" t="s">
        <v>1154</v>
      </c>
      <c r="F1500" s="0" t="s">
        <v>40</v>
      </c>
      <c r="G1500" s="0" t="n">
        <v>0</v>
      </c>
      <c r="H1500" s="0" t="s">
        <v>5640</v>
      </c>
      <c r="J1500" s="0" t="s">
        <v>40</v>
      </c>
      <c r="K1500" s="0" t="str">
        <f aca="false">"3.58 %"</f>
        <v>3.58 %</v>
      </c>
      <c r="L1500" s="0" t="str">
        <f aca="false">"0.79 V"</f>
        <v>0.79 V</v>
      </c>
      <c r="M1500" s="0" t="str">
        <f aca="false">"11.36 mA cm^{-2}"</f>
        <v>11.36 mA cm^{-2}</v>
      </c>
      <c r="N1500" s="0" t="str">
        <f aca="false">"40.00 %"</f>
        <v>40.00 %</v>
      </c>
      <c r="O1500" s="0" t="s">
        <v>5642</v>
      </c>
    </row>
    <row r="1501" customFormat="false" ht="13.8" hidden="false" customHeight="false" outlineLevel="0" collapsed="false">
      <c r="A1501" s="0" t="s">
        <v>5643</v>
      </c>
      <c r="B1501" s="0" t="n">
        <v>1</v>
      </c>
      <c r="D1501" s="0" t="s">
        <v>1437</v>
      </c>
      <c r="E1501" s="0" t="s">
        <v>1438</v>
      </c>
      <c r="F1501" s="0" t="s">
        <v>2236</v>
      </c>
      <c r="G1501" s="0" t="n">
        <v>1</v>
      </c>
      <c r="H1501" s="0" t="s">
        <v>27</v>
      </c>
      <c r="J1501" s="0" t="s">
        <v>28</v>
      </c>
      <c r="K1501" s="0" t="str">
        <f aca="false">"3.8 %"</f>
        <v>3.8 %</v>
      </c>
      <c r="O1501" s="0" t="s">
        <v>5644</v>
      </c>
    </row>
    <row r="1502" customFormat="false" ht="13.8" hidden="false" customHeight="false" outlineLevel="0" collapsed="false">
      <c r="A1502" s="0" t="s">
        <v>5645</v>
      </c>
      <c r="D1502" s="0" t="s">
        <v>1437</v>
      </c>
      <c r="E1502" s="0" t="s">
        <v>1438</v>
      </c>
      <c r="F1502" s="0" t="s">
        <v>2236</v>
      </c>
      <c r="G1502" s="0" t="n">
        <v>1</v>
      </c>
      <c r="H1502" s="0" t="s">
        <v>33</v>
      </c>
      <c r="J1502" s="0" t="s">
        <v>34</v>
      </c>
      <c r="L1502" s="0" t="str">
        <f aca="false">"0.74 and 0.70 V"</f>
        <v>0.74 and 0.70 V</v>
      </c>
      <c r="M1502" s="0" t="str">
        <f aca="false">"-12.09 and -12.06 mA/cm^{2}"</f>
        <v>-12.09 and -12.06 mA/cm^{2}</v>
      </c>
      <c r="N1502" s="0" t="str">
        <f aca="false">"60.03 %"</f>
        <v>60.03 %</v>
      </c>
      <c r="O1502" s="0" t="s">
        <v>5646</v>
      </c>
    </row>
    <row r="1503" customFormat="false" ht="13.8" hidden="false" customHeight="false" outlineLevel="0" collapsed="false">
      <c r="A1503" s="0" t="s">
        <v>5647</v>
      </c>
      <c r="D1503" s="0" t="s">
        <v>16</v>
      </c>
      <c r="E1503" s="0" t="s">
        <v>17</v>
      </c>
      <c r="F1503" s="0" t="s">
        <v>1351</v>
      </c>
      <c r="G1503" s="0" t="n">
        <v>1</v>
      </c>
      <c r="H1503" s="0" t="s">
        <v>33</v>
      </c>
      <c r="J1503" s="0" t="s">
        <v>34</v>
      </c>
      <c r="K1503" s="0" t="str">
        <f aca="false">"5.7 x 10^{-1} %"</f>
        <v>5.7 x 10^{-1} %</v>
      </c>
      <c r="L1503" s="0" t="str">
        <f aca="false">"0.60 V"</f>
        <v>0.60 V</v>
      </c>
      <c r="M1503" s="0" t="str">
        <f aca="false">"4.61 mA/cm^{2}"</f>
        <v>4.61 mA/cm^{2}</v>
      </c>
      <c r="N1503" s="0" t="str">
        <f aca="false">"0.21"</f>
        <v>0.21</v>
      </c>
      <c r="O1503" s="0" t="s">
        <v>5648</v>
      </c>
    </row>
    <row r="1504" customFormat="false" ht="13.8" hidden="false" customHeight="false" outlineLevel="0" collapsed="false">
      <c r="A1504" s="0" t="s">
        <v>5649</v>
      </c>
      <c r="D1504" s="0" t="s">
        <v>5650</v>
      </c>
      <c r="F1504" s="0" t="s">
        <v>40</v>
      </c>
      <c r="G1504" s="0" t="n">
        <v>1</v>
      </c>
      <c r="H1504" s="0" t="s">
        <v>27</v>
      </c>
      <c r="J1504" s="0" t="s">
        <v>28</v>
      </c>
      <c r="K1504" s="0" t="str">
        <f aca="false">"9.4 %"</f>
        <v>9.4 %</v>
      </c>
      <c r="O1504" s="0" t="s">
        <v>5651</v>
      </c>
    </row>
    <row r="1505" customFormat="false" ht="13.8" hidden="false" customHeight="false" outlineLevel="0" collapsed="false">
      <c r="A1505" s="0" t="s">
        <v>5652</v>
      </c>
      <c r="D1505" s="0" t="s">
        <v>541</v>
      </c>
      <c r="E1505" s="0" t="s">
        <v>17</v>
      </c>
      <c r="F1505" s="0" t="s">
        <v>5653</v>
      </c>
      <c r="G1505" s="0" t="n">
        <v>1</v>
      </c>
      <c r="H1505" s="0" t="s">
        <v>33</v>
      </c>
      <c r="J1505" s="0" t="s">
        <v>34</v>
      </c>
      <c r="K1505" s="0" t="str">
        <f aca="false">"3.45 %"</f>
        <v>3.45 %</v>
      </c>
      <c r="O1505" s="0" t="s">
        <v>5654</v>
      </c>
    </row>
    <row r="1506" customFormat="false" ht="13.8" hidden="false" customHeight="false" outlineLevel="0" collapsed="false">
      <c r="A1506" s="0" t="s">
        <v>5655</v>
      </c>
      <c r="D1506" s="0" t="s">
        <v>85</v>
      </c>
      <c r="E1506" s="0" t="s">
        <v>86</v>
      </c>
      <c r="F1506" s="0" t="s">
        <v>5656</v>
      </c>
      <c r="G1506" s="0" t="n">
        <v>1</v>
      </c>
      <c r="H1506" s="0" t="s">
        <v>27</v>
      </c>
      <c r="J1506" s="0" t="s">
        <v>28</v>
      </c>
      <c r="K1506" s="0" t="str">
        <f aca="false">"11.74 %"</f>
        <v>11.74 %</v>
      </c>
      <c r="O1506" s="0" t="s">
        <v>5657</v>
      </c>
    </row>
    <row r="1507" customFormat="false" ht="13.8" hidden="false" customHeight="false" outlineLevel="0" collapsed="false">
      <c r="A1507" s="0" t="s">
        <v>5658</v>
      </c>
      <c r="D1507" s="0" t="s">
        <v>85</v>
      </c>
      <c r="E1507" s="0" t="s">
        <v>86</v>
      </c>
      <c r="F1507" s="0" t="s">
        <v>87</v>
      </c>
      <c r="G1507" s="0" t="n">
        <v>1</v>
      </c>
      <c r="H1507" s="0" t="s">
        <v>33</v>
      </c>
      <c r="J1507" s="0" t="s">
        <v>34</v>
      </c>
      <c r="K1507" s="0" t="str">
        <f aca="false">"9.036 %"</f>
        <v>9.036 %</v>
      </c>
      <c r="N1507" s="0" t="str">
        <f aca="false">"69.83 %"</f>
        <v>69.83 %</v>
      </c>
      <c r="O1507" s="0" t="s">
        <v>5659</v>
      </c>
    </row>
    <row r="1508" customFormat="false" ht="13.8" hidden="false" customHeight="false" outlineLevel="0" collapsed="false">
      <c r="A1508" s="0" t="s">
        <v>5660</v>
      </c>
      <c r="D1508" s="0" t="s">
        <v>16</v>
      </c>
      <c r="E1508" s="0" t="s">
        <v>17</v>
      </c>
      <c r="F1508" s="0" t="s">
        <v>116</v>
      </c>
      <c r="G1508" s="0" t="n">
        <v>1</v>
      </c>
      <c r="H1508" s="0" t="s">
        <v>117</v>
      </c>
      <c r="J1508" s="0" t="s">
        <v>40</v>
      </c>
      <c r="K1508" s="0" t="str">
        <f aca="false">"4.27 %"</f>
        <v>4.27 %</v>
      </c>
      <c r="L1508" s="0" t="str">
        <f aca="false">"0.82 V"</f>
        <v>0.82 V</v>
      </c>
      <c r="O1508" s="0" t="s">
        <v>5661</v>
      </c>
    </row>
    <row r="1509" customFormat="false" ht="13.8" hidden="false" customHeight="false" outlineLevel="0" collapsed="false">
      <c r="A1509" s="0" t="s">
        <v>5662</v>
      </c>
      <c r="D1509" s="0" t="s">
        <v>599</v>
      </c>
      <c r="E1509" s="0" t="s">
        <v>600</v>
      </c>
      <c r="F1509" s="0" t="s">
        <v>601</v>
      </c>
      <c r="G1509" s="0" t="n">
        <v>0</v>
      </c>
      <c r="H1509" s="0" t="s">
        <v>5663</v>
      </c>
      <c r="J1509" s="0" t="s">
        <v>5664</v>
      </c>
      <c r="K1509" s="0" t="str">
        <f aca="false">"2.73 %"</f>
        <v>2.73 %</v>
      </c>
      <c r="O1509" s="0" t="s">
        <v>5665</v>
      </c>
    </row>
    <row r="1510" customFormat="false" ht="13.8" hidden="false" customHeight="false" outlineLevel="0" collapsed="false">
      <c r="A1510" s="0" t="s">
        <v>5666</v>
      </c>
      <c r="D1510" s="0" t="s">
        <v>5667</v>
      </c>
      <c r="F1510" s="0" t="s">
        <v>5668</v>
      </c>
      <c r="G1510" s="0" t="n">
        <v>1</v>
      </c>
      <c r="H1510" s="0" t="s">
        <v>33</v>
      </c>
      <c r="J1510" s="0" t="s">
        <v>34</v>
      </c>
      <c r="K1510" s="0" t="str">
        <f aca="false">"4.9 %"</f>
        <v>4.9 %</v>
      </c>
      <c r="O1510" s="0" t="s">
        <v>5669</v>
      </c>
    </row>
    <row r="1511" customFormat="false" ht="13.8" hidden="false" customHeight="false" outlineLevel="0" collapsed="false">
      <c r="A1511" s="0" t="s">
        <v>5670</v>
      </c>
      <c r="D1511" s="0" t="s">
        <v>208</v>
      </c>
      <c r="E1511" s="0" t="s">
        <v>17</v>
      </c>
      <c r="F1511" s="0" t="s">
        <v>18</v>
      </c>
      <c r="G1511" s="0" t="n">
        <v>1</v>
      </c>
      <c r="H1511" s="0" t="s">
        <v>33</v>
      </c>
      <c r="J1511" s="0" t="s">
        <v>34</v>
      </c>
      <c r="K1511" s="0" t="str">
        <f aca="false">"0.5 %"</f>
        <v>0.5 %</v>
      </c>
      <c r="O1511" s="0" t="s">
        <v>5671</v>
      </c>
    </row>
    <row r="1512" customFormat="false" ht="13.8" hidden="false" customHeight="false" outlineLevel="0" collapsed="false">
      <c r="A1512" s="0" t="s">
        <v>5672</v>
      </c>
      <c r="D1512" s="0" t="s">
        <v>5673</v>
      </c>
      <c r="F1512" s="0" t="s">
        <v>40</v>
      </c>
      <c r="G1512" s="0" t="n">
        <v>0</v>
      </c>
      <c r="H1512" s="0" t="s">
        <v>5674</v>
      </c>
      <c r="J1512" s="0" t="s">
        <v>40</v>
      </c>
      <c r="K1512" s="0" t="str">
        <f aca="false">"5.11 %"</f>
        <v>5.11 %</v>
      </c>
      <c r="O1512" s="0" t="s">
        <v>5675</v>
      </c>
    </row>
    <row r="1513" customFormat="false" ht="13.8" hidden="false" customHeight="false" outlineLevel="0" collapsed="false">
      <c r="A1513" s="0" t="s">
        <v>5676</v>
      </c>
      <c r="D1513" s="0" t="s">
        <v>85</v>
      </c>
      <c r="E1513" s="0" t="s">
        <v>86</v>
      </c>
      <c r="F1513" s="0" t="s">
        <v>87</v>
      </c>
      <c r="G1513" s="0" t="n">
        <v>1</v>
      </c>
      <c r="H1513" s="0" t="s">
        <v>27</v>
      </c>
      <c r="J1513" s="0" t="s">
        <v>28</v>
      </c>
      <c r="K1513" s="0" t="str">
        <f aca="false">"8.18 %"</f>
        <v>8.18 %</v>
      </c>
      <c r="O1513" s="0" t="s">
        <v>5677</v>
      </c>
    </row>
    <row r="1514" customFormat="false" ht="13.8" hidden="false" customHeight="false" outlineLevel="0" collapsed="false">
      <c r="A1514" s="0" t="s">
        <v>5678</v>
      </c>
      <c r="D1514" s="0" t="s">
        <v>16</v>
      </c>
      <c r="E1514" s="0" t="s">
        <v>17</v>
      </c>
      <c r="F1514" s="0" t="s">
        <v>18</v>
      </c>
      <c r="G1514" s="0" t="n">
        <v>1</v>
      </c>
      <c r="H1514" s="0" t="s">
        <v>575</v>
      </c>
      <c r="J1514" s="0" t="s">
        <v>576</v>
      </c>
      <c r="K1514" s="0" t="str">
        <f aca="false">"2.4 %"</f>
        <v>2.4 %</v>
      </c>
      <c r="O1514" s="0" t="s">
        <v>5679</v>
      </c>
    </row>
    <row r="1515" customFormat="false" ht="13.8" hidden="false" customHeight="false" outlineLevel="0" collapsed="false">
      <c r="A1515" s="0" t="s">
        <v>5680</v>
      </c>
      <c r="D1515" s="0" t="s">
        <v>16</v>
      </c>
      <c r="E1515" s="0" t="s">
        <v>17</v>
      </c>
      <c r="F1515" s="0" t="s">
        <v>5681</v>
      </c>
      <c r="G1515" s="0" t="n">
        <v>1</v>
      </c>
      <c r="H1515" s="0" t="s">
        <v>33</v>
      </c>
      <c r="J1515" s="0" t="s">
        <v>60</v>
      </c>
      <c r="K1515" s="0" t="str">
        <f aca="false">"4.22 %"</f>
        <v>4.22 %</v>
      </c>
      <c r="O1515" s="0" t="s">
        <v>5682</v>
      </c>
    </row>
    <row r="1516" customFormat="false" ht="13.8" hidden="false" customHeight="false" outlineLevel="0" collapsed="false">
      <c r="A1516" s="0" t="s">
        <v>5680</v>
      </c>
      <c r="D1516" s="0" t="s">
        <v>5683</v>
      </c>
      <c r="E1516" s="0" t="s">
        <v>17</v>
      </c>
      <c r="F1516" s="0" t="s">
        <v>5681</v>
      </c>
      <c r="G1516" s="0" t="n">
        <v>1</v>
      </c>
      <c r="H1516" s="0" t="s">
        <v>33</v>
      </c>
      <c r="J1516" s="0" t="s">
        <v>60</v>
      </c>
      <c r="K1516" s="0" t="str">
        <f aca="false">"3.68 %"</f>
        <v>3.68 %</v>
      </c>
      <c r="O1516" s="0" t="s">
        <v>5684</v>
      </c>
    </row>
    <row r="1517" customFormat="false" ht="13.8" hidden="false" customHeight="false" outlineLevel="0" collapsed="false">
      <c r="A1517" s="0" t="s">
        <v>5685</v>
      </c>
      <c r="D1517" s="0" t="s">
        <v>5686</v>
      </c>
      <c r="E1517" s="0" t="s">
        <v>110</v>
      </c>
      <c r="F1517" s="0" t="s">
        <v>734</v>
      </c>
      <c r="G1517" s="0" t="n">
        <v>1</v>
      </c>
      <c r="H1517" s="0" t="s">
        <v>33</v>
      </c>
      <c r="J1517" s="0" t="s">
        <v>40</v>
      </c>
      <c r="K1517" s="0" t="str">
        <f aca="false">"5.1 %"</f>
        <v>5.1 %</v>
      </c>
      <c r="O1517" s="0" t="s">
        <v>5687</v>
      </c>
    </row>
    <row r="1518" customFormat="false" ht="13.8" hidden="false" customHeight="false" outlineLevel="0" collapsed="false">
      <c r="A1518" s="0" t="s">
        <v>5688</v>
      </c>
      <c r="D1518" s="0" t="s">
        <v>5689</v>
      </c>
      <c r="F1518" s="0" t="s">
        <v>5690</v>
      </c>
      <c r="G1518" s="0" t="n">
        <v>1</v>
      </c>
      <c r="H1518" s="0" t="s">
        <v>76</v>
      </c>
      <c r="J1518" s="0" t="s">
        <v>77</v>
      </c>
      <c r="K1518" s="0" t="str">
        <f aca="false">"4.36 %"</f>
        <v>4.36 %</v>
      </c>
      <c r="L1518" s="0" t="str">
        <f aca="false">"0.78 V"</f>
        <v>0.78 V</v>
      </c>
      <c r="M1518" s="0" t="str">
        <f aca="false">"10.47 mA cm^{-2}"</f>
        <v>10.47 mA cm^{-2}</v>
      </c>
      <c r="N1518" s="0" t="str">
        <f aca="false">"53.0 %"</f>
        <v>53.0 %</v>
      </c>
      <c r="O1518" s="0" t="s">
        <v>5691</v>
      </c>
    </row>
    <row r="1519" customFormat="false" ht="13.8" hidden="false" customHeight="false" outlineLevel="0" collapsed="false">
      <c r="A1519" s="0" t="s">
        <v>5692</v>
      </c>
      <c r="D1519" s="0" t="s">
        <v>5693</v>
      </c>
      <c r="F1519" s="0" t="s">
        <v>5694</v>
      </c>
      <c r="G1519" s="0" t="n">
        <v>1</v>
      </c>
      <c r="H1519" s="0" t="s">
        <v>758</v>
      </c>
      <c r="J1519" s="0" t="s">
        <v>759</v>
      </c>
      <c r="K1519" s="0" t="str">
        <f aca="false">"2.6 %"</f>
        <v>2.6 %</v>
      </c>
      <c r="O1519" s="0" t="s">
        <v>5695</v>
      </c>
    </row>
    <row r="1520" customFormat="false" ht="13.8" hidden="false" customHeight="false" outlineLevel="0" collapsed="false">
      <c r="A1520" s="0" t="s">
        <v>5696</v>
      </c>
      <c r="D1520" s="0" t="s">
        <v>16</v>
      </c>
      <c r="E1520" s="0" t="s">
        <v>17</v>
      </c>
      <c r="F1520" s="0" t="s">
        <v>116</v>
      </c>
      <c r="G1520" s="0" t="n">
        <v>1</v>
      </c>
      <c r="H1520" s="0" t="s">
        <v>33</v>
      </c>
      <c r="J1520" s="0" t="s">
        <v>34</v>
      </c>
      <c r="K1520" s="0" t="str">
        <f aca="false">"4.42 %"</f>
        <v>4.42 %</v>
      </c>
      <c r="O1520" s="0" t="s">
        <v>5697</v>
      </c>
    </row>
    <row r="1521" customFormat="false" ht="13.8" hidden="false" customHeight="false" outlineLevel="0" collapsed="false">
      <c r="A1521" s="0" t="s">
        <v>5698</v>
      </c>
      <c r="D1521" s="0" t="s">
        <v>5699</v>
      </c>
      <c r="F1521" s="0" t="s">
        <v>5700</v>
      </c>
      <c r="G1521" s="0" t="n">
        <v>1</v>
      </c>
      <c r="H1521" s="0" t="s">
        <v>27</v>
      </c>
      <c r="J1521" s="0" t="s">
        <v>28</v>
      </c>
      <c r="K1521" s="0" t="str">
        <f aca="false">"6.40 %"</f>
        <v>6.40 %</v>
      </c>
      <c r="O1521" s="0" t="s">
        <v>5701</v>
      </c>
    </row>
    <row r="1522" customFormat="false" ht="13.8" hidden="false" customHeight="false" outlineLevel="0" collapsed="false">
      <c r="A1522" s="0" t="s">
        <v>5702</v>
      </c>
      <c r="D1522" s="0" t="s">
        <v>5703</v>
      </c>
      <c r="F1522" s="0" t="s">
        <v>5704</v>
      </c>
      <c r="G1522" s="0" t="n">
        <v>1</v>
      </c>
      <c r="H1522" s="0" t="s">
        <v>33</v>
      </c>
      <c r="J1522" s="0" t="s">
        <v>34</v>
      </c>
      <c r="K1522" s="0" t="str">
        <f aca="false">"3.71 %"</f>
        <v>3.71 %</v>
      </c>
      <c r="O1522" s="0" t="s">
        <v>5705</v>
      </c>
    </row>
    <row r="1523" customFormat="false" ht="13.8" hidden="false" customHeight="false" outlineLevel="0" collapsed="false">
      <c r="A1523" s="0" t="s">
        <v>5706</v>
      </c>
      <c r="D1523" s="0" t="s">
        <v>1056</v>
      </c>
      <c r="E1523" s="0" t="s">
        <v>17</v>
      </c>
      <c r="F1523" s="0" t="s">
        <v>5707</v>
      </c>
      <c r="G1523" s="0" t="n">
        <v>1</v>
      </c>
      <c r="H1523" s="0" t="s">
        <v>76</v>
      </c>
      <c r="J1523" s="0" t="s">
        <v>77</v>
      </c>
      <c r="K1523" s="0" t="str">
        <f aca="false">"3.5 %"</f>
        <v>3.5 %</v>
      </c>
      <c r="O1523" s="0" t="s">
        <v>5708</v>
      </c>
    </row>
    <row r="1524" customFormat="false" ht="13.8" hidden="false" customHeight="false" outlineLevel="0" collapsed="false">
      <c r="A1524" s="0" t="s">
        <v>5709</v>
      </c>
      <c r="D1524" s="0" t="s">
        <v>85</v>
      </c>
      <c r="E1524" s="0" t="s">
        <v>86</v>
      </c>
      <c r="F1524" s="0" t="s">
        <v>87</v>
      </c>
      <c r="G1524" s="0" t="n">
        <v>0</v>
      </c>
      <c r="H1524" s="0" t="s">
        <v>5710</v>
      </c>
      <c r="J1524" s="0" t="s">
        <v>40</v>
      </c>
      <c r="K1524" s="0" t="str">
        <f aca="false">"2.4 %"</f>
        <v>2.4 %</v>
      </c>
      <c r="O1524" s="0" t="s">
        <v>5711</v>
      </c>
    </row>
    <row r="1525" customFormat="false" ht="13.8" hidden="false" customHeight="false" outlineLevel="0" collapsed="false">
      <c r="A1525" s="0" t="s">
        <v>5712</v>
      </c>
      <c r="D1525" s="0" t="s">
        <v>5713</v>
      </c>
      <c r="F1525" s="0" t="s">
        <v>40</v>
      </c>
      <c r="G1525" s="0" t="n">
        <v>0</v>
      </c>
      <c r="H1525" s="0" t="s">
        <v>5714</v>
      </c>
      <c r="J1525" s="0" t="s">
        <v>5715</v>
      </c>
      <c r="K1525" s="0" t="str">
        <f aca="false">"9.0 %"</f>
        <v>9.0 %</v>
      </c>
      <c r="O1525" s="0" t="s">
        <v>5716</v>
      </c>
    </row>
    <row r="1526" customFormat="false" ht="13.8" hidden="false" customHeight="false" outlineLevel="0" collapsed="false">
      <c r="A1526" s="0" t="s">
        <v>5712</v>
      </c>
      <c r="D1526" s="0" t="s">
        <v>5714</v>
      </c>
      <c r="F1526" s="0" t="s">
        <v>5715</v>
      </c>
      <c r="G1526" s="0" t="n">
        <v>0</v>
      </c>
      <c r="J1526" s="0" t="s">
        <v>40</v>
      </c>
      <c r="K1526" s="0" t="str">
        <f aca="false">"2.33 %"</f>
        <v>2.33 %</v>
      </c>
      <c r="O1526" s="0" t="s">
        <v>5717</v>
      </c>
    </row>
    <row r="1527" customFormat="false" ht="13.8" hidden="false" customHeight="false" outlineLevel="0" collapsed="false">
      <c r="A1527" s="0" t="s">
        <v>5718</v>
      </c>
      <c r="D1527" s="0" t="s">
        <v>85</v>
      </c>
      <c r="E1527" s="0" t="s">
        <v>86</v>
      </c>
      <c r="F1527" s="0" t="s">
        <v>87</v>
      </c>
      <c r="G1527" s="0" t="n">
        <v>1</v>
      </c>
      <c r="H1527" s="0" t="s">
        <v>27</v>
      </c>
      <c r="J1527" s="0" t="s">
        <v>28</v>
      </c>
      <c r="K1527" s="0" t="str">
        <f aca="false">"7.61 %"</f>
        <v>7.61 %</v>
      </c>
      <c r="O1527" s="0" t="s">
        <v>5719</v>
      </c>
    </row>
    <row r="1528" customFormat="false" ht="13.8" hidden="false" customHeight="false" outlineLevel="0" collapsed="false">
      <c r="A1528" s="0" t="s">
        <v>5720</v>
      </c>
      <c r="D1528" s="0" t="s">
        <v>599</v>
      </c>
      <c r="E1528" s="0" t="s">
        <v>600</v>
      </c>
      <c r="F1528" s="0" t="s">
        <v>5721</v>
      </c>
      <c r="G1528" s="0" t="n">
        <v>0</v>
      </c>
      <c r="H1528" s="0" t="s">
        <v>5722</v>
      </c>
      <c r="J1528" s="0" t="s">
        <v>5723</v>
      </c>
      <c r="K1528" s="0" t="str">
        <f aca="false">"9.34 %"</f>
        <v>9.34 %</v>
      </c>
      <c r="O1528" s="0" t="s">
        <v>5724</v>
      </c>
    </row>
    <row r="1529" customFormat="false" ht="13.8" hidden="false" customHeight="false" outlineLevel="0" collapsed="false">
      <c r="A1529" s="0" t="s">
        <v>5725</v>
      </c>
      <c r="D1529" s="0" t="s">
        <v>16</v>
      </c>
      <c r="E1529" s="0" t="s">
        <v>17</v>
      </c>
      <c r="F1529" s="0" t="s">
        <v>116</v>
      </c>
      <c r="G1529" s="0" t="n">
        <v>0</v>
      </c>
      <c r="H1529" s="0" t="s">
        <v>5726</v>
      </c>
      <c r="J1529" s="0" t="s">
        <v>5727</v>
      </c>
      <c r="K1529" s="0" t="str">
        <f aca="false">"4.19 %"</f>
        <v>4.19 %</v>
      </c>
      <c r="O1529" s="0" t="s">
        <v>5728</v>
      </c>
    </row>
    <row r="1530" customFormat="false" ht="13.8" hidden="false" customHeight="false" outlineLevel="0" collapsed="false">
      <c r="A1530" s="0" t="s">
        <v>5729</v>
      </c>
      <c r="D1530" s="0" t="s">
        <v>16</v>
      </c>
      <c r="E1530" s="0" t="s">
        <v>17</v>
      </c>
      <c r="F1530" s="0" t="s">
        <v>18</v>
      </c>
      <c r="G1530" s="0" t="n">
        <v>1</v>
      </c>
      <c r="H1530" s="0" t="s">
        <v>33</v>
      </c>
      <c r="J1530" s="0" t="s">
        <v>398</v>
      </c>
      <c r="K1530" s="0" t="str">
        <f aca="false">"3.4 %"</f>
        <v>3.4 %</v>
      </c>
      <c r="O1530" s="0" t="s">
        <v>5730</v>
      </c>
    </row>
    <row r="1531" customFormat="false" ht="13.8" hidden="false" customHeight="false" outlineLevel="0" collapsed="false">
      <c r="A1531" s="0" t="s">
        <v>5731</v>
      </c>
      <c r="D1531" s="0" t="s">
        <v>5732</v>
      </c>
      <c r="F1531" s="0" t="s">
        <v>5733</v>
      </c>
      <c r="G1531" s="0" t="n">
        <v>1</v>
      </c>
      <c r="H1531" s="0" t="s">
        <v>406</v>
      </c>
      <c r="J1531" s="0" t="s">
        <v>407</v>
      </c>
      <c r="K1531" s="0" t="str">
        <f aca="false">"~1.7 %"</f>
        <v>~1.7 %</v>
      </c>
      <c r="L1531" s="0" t="str">
        <f aca="false">"~0.85 V"</f>
        <v>~0.85 V</v>
      </c>
      <c r="O1531" s="0" t="s">
        <v>5734</v>
      </c>
    </row>
    <row r="1532" customFormat="false" ht="13.8" hidden="false" customHeight="false" outlineLevel="0" collapsed="false">
      <c r="A1532" s="0" t="s">
        <v>5735</v>
      </c>
      <c r="D1532" s="0" t="s">
        <v>599</v>
      </c>
      <c r="E1532" s="0" t="s">
        <v>600</v>
      </c>
      <c r="F1532" s="0" t="s">
        <v>601</v>
      </c>
      <c r="G1532" s="0" t="n">
        <v>0</v>
      </c>
      <c r="H1532" s="0" t="s">
        <v>5736</v>
      </c>
      <c r="J1532" s="0" t="s">
        <v>5737</v>
      </c>
      <c r="K1532" s="0" t="str">
        <f aca="false">"5.89 %"</f>
        <v>5.89 %</v>
      </c>
      <c r="L1532" s="0" t="str">
        <f aca="false">"0.97 V"</f>
        <v>0.97 V</v>
      </c>
      <c r="O1532" s="0" t="s">
        <v>5738</v>
      </c>
    </row>
    <row r="1533" customFormat="false" ht="13.8" hidden="false" customHeight="false" outlineLevel="0" collapsed="false">
      <c r="A1533" s="0" t="s">
        <v>5739</v>
      </c>
      <c r="D1533" s="0" t="s">
        <v>1550</v>
      </c>
      <c r="F1533" s="0" t="s">
        <v>5740</v>
      </c>
      <c r="G1533" s="0" t="n">
        <v>1</v>
      </c>
      <c r="H1533" s="0" t="s">
        <v>27</v>
      </c>
      <c r="J1533" s="0" t="s">
        <v>40</v>
      </c>
      <c r="K1533" s="0" t="str">
        <f aca="false">"3.42 %"</f>
        <v>3.42 %</v>
      </c>
      <c r="M1533" s="0" t="str">
        <f aca="false">"9.2 mA/cm^{2}"</f>
        <v>9.2 mA/cm^{2}</v>
      </c>
      <c r="O1533" s="0" t="s">
        <v>5741</v>
      </c>
    </row>
    <row r="1534" customFormat="false" ht="13.8" hidden="false" customHeight="false" outlineLevel="0" collapsed="false">
      <c r="A1534" s="0" t="s">
        <v>5742</v>
      </c>
      <c r="D1534" s="0" t="s">
        <v>5743</v>
      </c>
      <c r="E1534" s="0" t="s">
        <v>17</v>
      </c>
      <c r="F1534" s="0" t="s">
        <v>5744</v>
      </c>
      <c r="G1534" s="0" t="n">
        <v>1</v>
      </c>
      <c r="H1534" s="0" t="s">
        <v>526</v>
      </c>
      <c r="J1534" s="0" t="s">
        <v>40</v>
      </c>
      <c r="K1534" s="0" t="str">
        <f aca="false">"3.4 %"</f>
        <v>3.4 %</v>
      </c>
      <c r="O1534" s="0" t="s">
        <v>5745</v>
      </c>
    </row>
    <row r="1535" customFormat="false" ht="13.8" hidden="false" customHeight="false" outlineLevel="0" collapsed="false">
      <c r="A1535" s="0" t="s">
        <v>5746</v>
      </c>
      <c r="D1535" s="0" t="s">
        <v>5747</v>
      </c>
      <c r="F1535" s="0" t="s">
        <v>5748</v>
      </c>
      <c r="G1535" s="0" t="n">
        <v>1</v>
      </c>
      <c r="H1535" s="0" t="s">
        <v>1829</v>
      </c>
      <c r="J1535" s="0" t="s">
        <v>40</v>
      </c>
      <c r="K1535" s="0" t="str">
        <f aca="false">"5.9 %"</f>
        <v>5.9 %</v>
      </c>
      <c r="M1535" s="0" t="str">
        <f aca="false">"13.7 mA/cm^{2}"</f>
        <v>13.7 mA/cm^{2}</v>
      </c>
      <c r="N1535" s="0" t="str">
        <f aca="false">"0.56"</f>
        <v>0.56</v>
      </c>
      <c r="O1535" s="0" t="s">
        <v>5749</v>
      </c>
    </row>
    <row r="1536" customFormat="false" ht="13.8" hidden="false" customHeight="false" outlineLevel="0" collapsed="false">
      <c r="A1536" s="0" t="s">
        <v>5750</v>
      </c>
      <c r="D1536" s="0" t="s">
        <v>31</v>
      </c>
      <c r="E1536" s="0" t="s">
        <v>17</v>
      </c>
      <c r="F1536" s="0" t="s">
        <v>32</v>
      </c>
      <c r="G1536" s="0" t="n">
        <v>1</v>
      </c>
      <c r="H1536" s="0" t="s">
        <v>33</v>
      </c>
      <c r="J1536" s="0" t="s">
        <v>34</v>
      </c>
      <c r="K1536" s="0" t="str">
        <f aca="false">"3.17 %"</f>
        <v>3.17 %</v>
      </c>
      <c r="O1536" s="0" t="s">
        <v>5751</v>
      </c>
    </row>
    <row r="1537" customFormat="false" ht="13.8" hidden="false" customHeight="false" outlineLevel="0" collapsed="false">
      <c r="A1537" s="0" t="s">
        <v>5752</v>
      </c>
      <c r="D1537" s="0" t="s">
        <v>5753</v>
      </c>
      <c r="E1537" s="0" t="s">
        <v>110</v>
      </c>
      <c r="F1537" s="0" t="s">
        <v>4481</v>
      </c>
      <c r="G1537" s="0" t="n">
        <v>0</v>
      </c>
      <c r="H1537" s="0" t="s">
        <v>5754</v>
      </c>
      <c r="J1537" s="0" t="s">
        <v>5755</v>
      </c>
      <c r="K1537" s="0" t="str">
        <f aca="false">"5.98 %"</f>
        <v>5.98 %</v>
      </c>
      <c r="O1537" s="0" t="s">
        <v>5756</v>
      </c>
    </row>
    <row r="1538" customFormat="false" ht="13.8" hidden="false" customHeight="false" outlineLevel="0" collapsed="false">
      <c r="A1538" s="0" t="s">
        <v>5757</v>
      </c>
      <c r="D1538" s="0" t="s">
        <v>5758</v>
      </c>
      <c r="F1538" s="0" t="s">
        <v>5759</v>
      </c>
      <c r="G1538" s="0" t="n">
        <v>1</v>
      </c>
      <c r="H1538" s="0" t="s">
        <v>27</v>
      </c>
      <c r="J1538" s="0" t="s">
        <v>28</v>
      </c>
      <c r="K1538" s="0" t="str">
        <f aca="false">"6.31 %"</f>
        <v>6.31 %</v>
      </c>
      <c r="L1538" s="0" t="str">
        <f aca="false">"0.95 V"</f>
        <v>0.95 V</v>
      </c>
      <c r="M1538" s="0" t="str">
        <f aca="false">"10.82 mA cm^{-2}"</f>
        <v>10.82 mA cm^{-2}</v>
      </c>
      <c r="N1538" s="0" t="str">
        <f aca="false">"61.4 %"</f>
        <v>61.4 %</v>
      </c>
      <c r="O1538" s="0" t="s">
        <v>5760</v>
      </c>
    </row>
    <row r="1539" customFormat="false" ht="13.8" hidden="false" customHeight="false" outlineLevel="0" collapsed="false">
      <c r="A1539" s="0" t="s">
        <v>5761</v>
      </c>
      <c r="D1539" s="0" t="s">
        <v>16</v>
      </c>
      <c r="E1539" s="0" t="s">
        <v>17</v>
      </c>
      <c r="F1539" s="0" t="s">
        <v>116</v>
      </c>
      <c r="G1539" s="0" t="n">
        <v>1</v>
      </c>
      <c r="H1539" s="0" t="s">
        <v>117</v>
      </c>
      <c r="J1539" s="0" t="s">
        <v>118</v>
      </c>
      <c r="K1539" s="0" t="str">
        <f aca="false">"2.4 ± 0.4 %"</f>
        <v>2.4 ± 0.4 %</v>
      </c>
      <c r="L1539" s="0" t="str">
        <f aca="false">"808 ± 5 mV"</f>
        <v>808 ± 5 mV</v>
      </c>
      <c r="N1539" s="0" t="str">
        <f aca="false">"0.53 ± 0.06"</f>
        <v>0.53 ± 0.06</v>
      </c>
      <c r="O1539" s="0" t="s">
        <v>5762</v>
      </c>
    </row>
    <row r="1540" customFormat="false" ht="13.8" hidden="false" customHeight="false" outlineLevel="0" collapsed="false">
      <c r="A1540" s="0" t="s">
        <v>5763</v>
      </c>
      <c r="D1540" s="0" t="s">
        <v>208</v>
      </c>
      <c r="E1540" s="0" t="s">
        <v>17</v>
      </c>
      <c r="F1540" s="0" t="s">
        <v>209</v>
      </c>
      <c r="G1540" s="0" t="n">
        <v>1</v>
      </c>
      <c r="H1540" s="0" t="s">
        <v>152</v>
      </c>
      <c r="J1540" s="0" t="s">
        <v>40</v>
      </c>
      <c r="K1540" s="0" t="str">
        <f aca="false">"2.9 %"</f>
        <v>2.9 %</v>
      </c>
      <c r="O1540" s="0" t="s">
        <v>5764</v>
      </c>
    </row>
    <row r="1541" customFormat="false" ht="13.8" hidden="false" customHeight="false" outlineLevel="0" collapsed="false">
      <c r="A1541" s="0" t="s">
        <v>5765</v>
      </c>
      <c r="D1541" s="0" t="s">
        <v>5766</v>
      </c>
      <c r="F1541" s="0" t="s">
        <v>40</v>
      </c>
      <c r="G1541" s="0" t="n">
        <v>1</v>
      </c>
      <c r="H1541" s="0" t="s">
        <v>27</v>
      </c>
      <c r="J1541" s="0" t="s">
        <v>28</v>
      </c>
      <c r="K1541" s="0" t="str">
        <f aca="false">"3.92 %"</f>
        <v>3.92 %</v>
      </c>
      <c r="N1541" s="0" t="str">
        <f aca="false">"58.8 %"</f>
        <v>58.8 %</v>
      </c>
      <c r="O1541" s="0" t="s">
        <v>5767</v>
      </c>
    </row>
    <row r="1542" customFormat="false" ht="13.8" hidden="false" customHeight="false" outlineLevel="0" collapsed="false">
      <c r="A1542" s="0" t="s">
        <v>5768</v>
      </c>
      <c r="D1542" s="0" t="s">
        <v>5769</v>
      </c>
      <c r="F1542" s="0" t="s">
        <v>5770</v>
      </c>
      <c r="G1542" s="0" t="n">
        <v>1</v>
      </c>
      <c r="H1542" s="0" t="s">
        <v>27</v>
      </c>
      <c r="J1542" s="0" t="s">
        <v>40</v>
      </c>
      <c r="K1542" s="0" t="str">
        <f aca="false">"8.61 %"</f>
        <v>8.61 %</v>
      </c>
      <c r="M1542" s="0" t="str">
        <f aca="false">"16.61 mA cm^{-2}"</f>
        <v>16.61 mA cm^{-2}</v>
      </c>
      <c r="O1542" s="0" t="s">
        <v>5771</v>
      </c>
    </row>
    <row r="1543" customFormat="false" ht="13.8" hidden="false" customHeight="false" outlineLevel="0" collapsed="false">
      <c r="A1543" s="0" t="s">
        <v>5772</v>
      </c>
      <c r="D1543" s="0" t="s">
        <v>5773</v>
      </c>
      <c r="F1543" s="0" t="s">
        <v>5774</v>
      </c>
      <c r="G1543" s="0" t="n">
        <v>1</v>
      </c>
      <c r="H1543" s="0" t="s">
        <v>27</v>
      </c>
      <c r="J1543" s="0" t="s">
        <v>28</v>
      </c>
      <c r="K1543" s="0" t="str">
        <f aca="false">"4.45 %"</f>
        <v>4.45 %</v>
      </c>
      <c r="O1543" s="0" t="s">
        <v>5775</v>
      </c>
    </row>
    <row r="1544" customFormat="false" ht="13.8" hidden="false" customHeight="false" outlineLevel="0" collapsed="false">
      <c r="A1544" s="0" t="s">
        <v>5772</v>
      </c>
      <c r="D1544" s="0" t="s">
        <v>5667</v>
      </c>
      <c r="F1544" s="0" t="s">
        <v>40</v>
      </c>
      <c r="G1544" s="0" t="n">
        <v>1</v>
      </c>
      <c r="H1544" s="0" t="s">
        <v>27</v>
      </c>
      <c r="J1544" s="0" t="s">
        <v>28</v>
      </c>
      <c r="O1544" s="0" t="s">
        <v>5776</v>
      </c>
    </row>
    <row r="1545" customFormat="false" ht="13.8" hidden="false" customHeight="false" outlineLevel="0" collapsed="false">
      <c r="A1545" s="0" t="s">
        <v>5777</v>
      </c>
      <c r="D1545" s="0" t="s">
        <v>16</v>
      </c>
      <c r="E1545" s="0" t="s">
        <v>17</v>
      </c>
      <c r="F1545" s="0" t="s">
        <v>18</v>
      </c>
      <c r="G1545" s="0" t="n">
        <v>1</v>
      </c>
      <c r="H1545" s="0" t="s">
        <v>76</v>
      </c>
      <c r="J1545" s="0" t="s">
        <v>77</v>
      </c>
      <c r="K1545" s="0" t="str">
        <f aca="false">"4.37 %"</f>
        <v>4.37 %</v>
      </c>
      <c r="O1545" s="0" t="s">
        <v>5778</v>
      </c>
    </row>
    <row r="1546" customFormat="false" ht="13.8" hidden="false" customHeight="false" outlineLevel="0" collapsed="false">
      <c r="A1546" s="0" t="s">
        <v>5779</v>
      </c>
      <c r="D1546" s="0" t="s">
        <v>16</v>
      </c>
      <c r="E1546" s="0" t="s">
        <v>17</v>
      </c>
      <c r="F1546" s="0" t="s">
        <v>4831</v>
      </c>
      <c r="G1546" s="0" t="n">
        <v>1</v>
      </c>
      <c r="H1546" s="0" t="s">
        <v>76</v>
      </c>
      <c r="J1546" s="0" t="s">
        <v>77</v>
      </c>
      <c r="K1546" s="0" t="str">
        <f aca="false">"4.8 %"</f>
        <v>4.8 %</v>
      </c>
      <c r="O1546" s="0" t="s">
        <v>5780</v>
      </c>
    </row>
    <row r="1547" customFormat="false" ht="13.8" hidden="false" customHeight="false" outlineLevel="0" collapsed="false">
      <c r="A1547" s="0" t="s">
        <v>5781</v>
      </c>
      <c r="D1547" s="0" t="s">
        <v>5782</v>
      </c>
      <c r="E1547" s="0" t="s">
        <v>1169</v>
      </c>
      <c r="F1547" s="0" t="s">
        <v>5783</v>
      </c>
      <c r="G1547" s="0" t="n">
        <v>1</v>
      </c>
      <c r="H1547" s="0" t="s">
        <v>33</v>
      </c>
      <c r="J1547" s="0" t="s">
        <v>40</v>
      </c>
      <c r="K1547" s="0" t="str">
        <f aca="false">"2.33 %"</f>
        <v>2.33 %</v>
      </c>
      <c r="O1547" s="0" t="s">
        <v>5784</v>
      </c>
    </row>
    <row r="1548" customFormat="false" ht="13.8" hidden="false" customHeight="false" outlineLevel="0" collapsed="false">
      <c r="A1548" s="0" t="s">
        <v>5785</v>
      </c>
      <c r="D1548" s="0" t="s">
        <v>5786</v>
      </c>
      <c r="F1548" s="0" t="s">
        <v>5787</v>
      </c>
      <c r="G1548" s="0" t="n">
        <v>1</v>
      </c>
      <c r="H1548" s="0" t="s">
        <v>66</v>
      </c>
      <c r="J1548" s="0" t="s">
        <v>67</v>
      </c>
      <c r="K1548" s="0" t="str">
        <f aca="false">"3.63 %"</f>
        <v>3.63 %</v>
      </c>
      <c r="O1548" s="0" t="s">
        <v>5788</v>
      </c>
    </row>
    <row r="1549" customFormat="false" ht="13.8" hidden="false" customHeight="false" outlineLevel="0" collapsed="false">
      <c r="A1549" s="0" t="s">
        <v>5789</v>
      </c>
      <c r="D1549" s="0" t="s">
        <v>208</v>
      </c>
      <c r="E1549" s="0" t="s">
        <v>17</v>
      </c>
      <c r="F1549" s="0" t="s">
        <v>18</v>
      </c>
      <c r="G1549" s="0" t="n">
        <v>1</v>
      </c>
      <c r="H1549" s="0" t="s">
        <v>33</v>
      </c>
      <c r="J1549" s="0" t="s">
        <v>504</v>
      </c>
      <c r="K1549" s="0" t="str">
        <f aca="false">"2.6 %"</f>
        <v>2.6 %</v>
      </c>
      <c r="O1549" s="0" t="s">
        <v>5790</v>
      </c>
    </row>
    <row r="1550" customFormat="false" ht="13.8" hidden="false" customHeight="false" outlineLevel="0" collapsed="false">
      <c r="A1550" s="0" t="s">
        <v>5791</v>
      </c>
      <c r="D1550" s="0" t="s">
        <v>5792</v>
      </c>
      <c r="F1550" s="0" t="s">
        <v>5793</v>
      </c>
      <c r="G1550" s="0" t="n">
        <v>1</v>
      </c>
      <c r="H1550" s="0" t="s">
        <v>33</v>
      </c>
      <c r="J1550" s="0" t="s">
        <v>34</v>
      </c>
      <c r="K1550" s="0" t="str">
        <f aca="false">"~0.93 %"</f>
        <v>~0.93 %</v>
      </c>
      <c r="O1550" s="0" t="s">
        <v>5794</v>
      </c>
    </row>
    <row r="1551" customFormat="false" ht="13.8" hidden="false" customHeight="false" outlineLevel="0" collapsed="false">
      <c r="A1551" s="0" t="s">
        <v>5795</v>
      </c>
      <c r="D1551" s="0" t="s">
        <v>5796</v>
      </c>
      <c r="F1551" s="0" t="s">
        <v>5797</v>
      </c>
      <c r="G1551" s="0" t="n">
        <v>1</v>
      </c>
      <c r="H1551" s="0" t="s">
        <v>33</v>
      </c>
      <c r="J1551" s="0" t="s">
        <v>398</v>
      </c>
      <c r="K1551" s="0" t="str">
        <f aca="false">"1.85 %"</f>
        <v>1.85 %</v>
      </c>
      <c r="L1551" s="0" t="str">
        <f aca="false">"0.80 V"</f>
        <v>0.80 V</v>
      </c>
      <c r="M1551" s="0" t="str">
        <f aca="false">"5.37 mA/cm^{2}"</f>
        <v>5.37 mA/cm^{2}</v>
      </c>
      <c r="N1551" s="0" t="str">
        <f aca="false">"43.0 %"</f>
        <v>43.0 %</v>
      </c>
      <c r="O1551" s="0" t="s">
        <v>5798</v>
      </c>
    </row>
    <row r="1552" customFormat="false" ht="13.8" hidden="false" customHeight="false" outlineLevel="0" collapsed="false">
      <c r="A1552" s="0" t="s">
        <v>5799</v>
      </c>
      <c r="D1552" s="0" t="s">
        <v>85</v>
      </c>
      <c r="E1552" s="0" t="s">
        <v>86</v>
      </c>
      <c r="F1552" s="0" t="s">
        <v>5800</v>
      </c>
      <c r="G1552" s="0" t="n">
        <v>1</v>
      </c>
      <c r="H1552" s="0" t="s">
        <v>27</v>
      </c>
      <c r="J1552" s="0" t="s">
        <v>28</v>
      </c>
      <c r="K1552" s="0" t="str">
        <f aca="false">"8.51 %"</f>
        <v>8.51 %</v>
      </c>
      <c r="O1552" s="0" t="s">
        <v>5801</v>
      </c>
    </row>
    <row r="1553" customFormat="false" ht="13.8" hidden="false" customHeight="false" outlineLevel="0" collapsed="false">
      <c r="A1553" s="0" t="s">
        <v>5799</v>
      </c>
      <c r="D1553" s="0" t="s">
        <v>201</v>
      </c>
      <c r="E1553" s="0" t="s">
        <v>202</v>
      </c>
      <c r="F1553" s="0" t="s">
        <v>422</v>
      </c>
      <c r="G1553" s="0" t="n">
        <v>1</v>
      </c>
      <c r="H1553" s="0" t="s">
        <v>27</v>
      </c>
      <c r="J1553" s="0" t="s">
        <v>28</v>
      </c>
      <c r="K1553" s="0" t="str">
        <f aca="false">"9.66 %"</f>
        <v>9.66 %</v>
      </c>
      <c r="O1553" s="0" t="s">
        <v>5802</v>
      </c>
    </row>
    <row r="1554" customFormat="false" ht="13.8" hidden="false" customHeight="false" outlineLevel="0" collapsed="false">
      <c r="A1554" s="0" t="s">
        <v>5799</v>
      </c>
      <c r="D1554" s="0" t="s">
        <v>243</v>
      </c>
      <c r="E1554" s="0" t="s">
        <v>244</v>
      </c>
      <c r="F1554" s="0" t="s">
        <v>5803</v>
      </c>
      <c r="G1554" s="0" t="n">
        <v>1</v>
      </c>
      <c r="H1554" s="0" t="s">
        <v>27</v>
      </c>
      <c r="J1554" s="0" t="s">
        <v>28</v>
      </c>
      <c r="K1554" s="0" t="str">
        <f aca="false">"7.19 %"</f>
        <v>7.19 %</v>
      </c>
      <c r="O1554" s="0" t="s">
        <v>5804</v>
      </c>
    </row>
    <row r="1555" customFormat="false" ht="13.8" hidden="false" customHeight="false" outlineLevel="0" collapsed="false">
      <c r="A1555" s="0" t="s">
        <v>5805</v>
      </c>
      <c r="D1555" s="0" t="s">
        <v>5806</v>
      </c>
      <c r="E1555" s="0" t="s">
        <v>110</v>
      </c>
      <c r="F1555" s="0" t="s">
        <v>5807</v>
      </c>
      <c r="G1555" s="0" t="n">
        <v>1</v>
      </c>
      <c r="H1555" s="0" t="s">
        <v>27</v>
      </c>
      <c r="J1555" s="0" t="s">
        <v>28</v>
      </c>
      <c r="K1555" s="0" t="str">
        <f aca="false">"7.07 %"</f>
        <v>7.07 %</v>
      </c>
      <c r="O1555" s="0" t="s">
        <v>5808</v>
      </c>
    </row>
    <row r="1556" customFormat="false" ht="13.8" hidden="false" customHeight="false" outlineLevel="0" collapsed="false">
      <c r="A1556" s="0" t="s">
        <v>5809</v>
      </c>
      <c r="D1556" s="0" t="s">
        <v>5810</v>
      </c>
      <c r="F1556" s="0" t="s">
        <v>40</v>
      </c>
      <c r="G1556" s="0" t="n">
        <v>1</v>
      </c>
      <c r="H1556" s="0" t="s">
        <v>66</v>
      </c>
      <c r="J1556" s="0" t="s">
        <v>67</v>
      </c>
      <c r="K1556" s="0" t="str">
        <f aca="false">"3.2 %"</f>
        <v>3.2 %</v>
      </c>
      <c r="O1556" s="0" t="s">
        <v>5811</v>
      </c>
    </row>
    <row r="1557" customFormat="false" ht="13.8" hidden="false" customHeight="false" outlineLevel="0" collapsed="false">
      <c r="A1557" s="0" t="s">
        <v>5812</v>
      </c>
      <c r="D1557" s="0" t="s">
        <v>5813</v>
      </c>
      <c r="F1557" s="0" t="s">
        <v>5814</v>
      </c>
      <c r="G1557" s="0" t="n">
        <v>1</v>
      </c>
      <c r="H1557" s="0" t="s">
        <v>33</v>
      </c>
      <c r="J1557" s="0" t="s">
        <v>34</v>
      </c>
      <c r="K1557" s="0" t="str">
        <f aca="false">"1.4 %"</f>
        <v>1.4 %</v>
      </c>
      <c r="N1557" s="0" t="str">
        <f aca="false">"47 %"</f>
        <v>47 %</v>
      </c>
      <c r="O1557" s="0" t="s">
        <v>5815</v>
      </c>
    </row>
    <row r="1558" customFormat="false" ht="13.8" hidden="false" customHeight="false" outlineLevel="0" collapsed="false">
      <c r="A1558" s="0" t="s">
        <v>5812</v>
      </c>
      <c r="D1558" s="0" t="s">
        <v>5816</v>
      </c>
      <c r="F1558" s="0" t="s">
        <v>5817</v>
      </c>
      <c r="G1558" s="0" t="n">
        <v>1</v>
      </c>
      <c r="H1558" s="0" t="s">
        <v>33</v>
      </c>
      <c r="J1558" s="0" t="s">
        <v>34</v>
      </c>
      <c r="L1558" s="0" t="str">
        <f aca="false">"0.69 V"</f>
        <v>0.69 V</v>
      </c>
      <c r="M1558" s="0" t="str">
        <f aca="false">"4.3 mA cm^{-2}"</f>
        <v>4.3 mA cm^{-2}</v>
      </c>
      <c r="O1558" s="0" t="s">
        <v>5818</v>
      </c>
    </row>
    <row r="1559" customFormat="false" ht="13.8" hidden="false" customHeight="false" outlineLevel="0" collapsed="false">
      <c r="A1559" s="0" t="s">
        <v>5819</v>
      </c>
      <c r="D1559" s="0" t="s">
        <v>5820</v>
      </c>
      <c r="F1559" s="0" t="s">
        <v>5821</v>
      </c>
      <c r="G1559" s="0" t="n">
        <v>0</v>
      </c>
      <c r="H1559" s="0" t="s">
        <v>5822</v>
      </c>
      <c r="J1559" s="0" t="s">
        <v>5823</v>
      </c>
      <c r="K1559" s="0" t="str">
        <f aca="false">"1.0 %"</f>
        <v>1.0 %</v>
      </c>
      <c r="O1559" s="0" t="s">
        <v>5824</v>
      </c>
    </row>
    <row r="1560" customFormat="false" ht="13.8" hidden="false" customHeight="false" outlineLevel="0" collapsed="false">
      <c r="A1560" s="0" t="s">
        <v>5825</v>
      </c>
      <c r="D1560" s="0" t="s">
        <v>1277</v>
      </c>
      <c r="E1560" s="0" t="s">
        <v>5826</v>
      </c>
      <c r="F1560" s="0" t="s">
        <v>5827</v>
      </c>
      <c r="G1560" s="0" t="n">
        <v>1</v>
      </c>
      <c r="H1560" s="0" t="s">
        <v>33</v>
      </c>
      <c r="J1560" s="0" t="s">
        <v>5828</v>
      </c>
      <c r="K1560" s="0" t="str">
        <f aca="false">"4.5 %"</f>
        <v>4.5 %</v>
      </c>
      <c r="O1560" s="0" t="s">
        <v>5829</v>
      </c>
    </row>
    <row r="1561" customFormat="false" ht="13.8" hidden="false" customHeight="false" outlineLevel="0" collapsed="false">
      <c r="A1561" s="0" t="s">
        <v>5830</v>
      </c>
      <c r="D1561" s="0" t="s">
        <v>208</v>
      </c>
      <c r="E1561" s="0" t="s">
        <v>17</v>
      </c>
      <c r="F1561" s="0" t="s">
        <v>209</v>
      </c>
      <c r="G1561" s="0" t="n">
        <v>1</v>
      </c>
      <c r="H1561" s="0" t="s">
        <v>33</v>
      </c>
      <c r="J1561" s="0" t="s">
        <v>34</v>
      </c>
      <c r="K1561" s="0" t="str">
        <f aca="false">"3.7 %"</f>
        <v>3.7 %</v>
      </c>
      <c r="O1561" s="0" t="s">
        <v>5831</v>
      </c>
    </row>
    <row r="1562" customFormat="false" ht="13.8" hidden="false" customHeight="false" outlineLevel="0" collapsed="false">
      <c r="A1562" s="0" t="s">
        <v>5832</v>
      </c>
      <c r="D1562" s="0" t="s">
        <v>5833</v>
      </c>
      <c r="F1562" s="0" t="s">
        <v>5834</v>
      </c>
      <c r="G1562" s="0" t="n">
        <v>1</v>
      </c>
      <c r="H1562" s="0" t="s">
        <v>33</v>
      </c>
      <c r="J1562" s="0" t="s">
        <v>34</v>
      </c>
      <c r="K1562" s="0" t="str">
        <f aca="false">"~1.54 %"</f>
        <v>~1.54 %</v>
      </c>
      <c r="O1562" s="0" t="s">
        <v>5835</v>
      </c>
    </row>
    <row r="1563" customFormat="false" ht="13.8" hidden="false" customHeight="false" outlineLevel="0" collapsed="false">
      <c r="A1563" s="0" t="s">
        <v>5836</v>
      </c>
      <c r="D1563" s="0" t="s">
        <v>85</v>
      </c>
      <c r="E1563" s="0" t="s">
        <v>202</v>
      </c>
      <c r="F1563" s="0" t="s">
        <v>87</v>
      </c>
      <c r="G1563" s="0" t="n">
        <v>1</v>
      </c>
      <c r="H1563" s="0" t="s">
        <v>27</v>
      </c>
      <c r="J1563" s="0" t="s">
        <v>28</v>
      </c>
      <c r="K1563" s="0" t="str">
        <f aca="false">"9.37 %"</f>
        <v>9.37 %</v>
      </c>
      <c r="O1563" s="0" t="s">
        <v>5837</v>
      </c>
    </row>
    <row r="1564" customFormat="false" ht="13.8" hidden="false" customHeight="false" outlineLevel="0" collapsed="false">
      <c r="A1564" s="0" t="s">
        <v>5838</v>
      </c>
      <c r="D1564" s="0" t="s">
        <v>599</v>
      </c>
      <c r="E1564" s="0" t="s">
        <v>600</v>
      </c>
      <c r="F1564" s="0" t="s">
        <v>601</v>
      </c>
      <c r="G1564" s="0" t="n">
        <v>0</v>
      </c>
      <c r="H1564" s="0" t="s">
        <v>5839</v>
      </c>
      <c r="J1564" s="0" t="s">
        <v>5840</v>
      </c>
      <c r="K1564" s="0" t="str">
        <f aca="false">"7.08 %"</f>
        <v>7.08 %</v>
      </c>
      <c r="O1564" s="0" t="s">
        <v>5841</v>
      </c>
    </row>
    <row r="1565" customFormat="false" ht="15" hidden="false" customHeight="false" outlineLevel="0" collapsed="false">
      <c r="A1565" s="0" t="s">
        <v>5842</v>
      </c>
      <c r="B1565" s="0" t="n">
        <v>1</v>
      </c>
      <c r="D1565" s="0" t="s">
        <v>678</v>
      </c>
      <c r="E1565" s="0" t="s">
        <v>679</v>
      </c>
      <c r="F1565" s="0" t="s">
        <v>680</v>
      </c>
      <c r="G1565" s="0" t="n">
        <v>0</v>
      </c>
      <c r="H1565" s="0" t="s">
        <v>5843</v>
      </c>
      <c r="I1565" s="16" t="s">
        <v>5844</v>
      </c>
      <c r="J1565" s="0" t="s">
        <v>5845</v>
      </c>
      <c r="K1565" s="0" t="str">
        <f aca="false">"15.1 %"</f>
        <v>15.1 %</v>
      </c>
      <c r="L1565" s="0" t="str">
        <f aca="false">"0.885 V"</f>
        <v>0.885 V</v>
      </c>
      <c r="O1565" s="0" t="s">
        <v>5846</v>
      </c>
    </row>
    <row r="1566" customFormat="false" ht="15" hidden="false" customHeight="false" outlineLevel="0" collapsed="false">
      <c r="A1566" s="0" t="s">
        <v>5842</v>
      </c>
      <c r="B1566" s="0" t="n">
        <v>1</v>
      </c>
      <c r="D1566" s="0" t="s">
        <v>1116</v>
      </c>
      <c r="E1566" s="0" t="s">
        <v>1117</v>
      </c>
      <c r="F1566" s="0" t="s">
        <v>1118</v>
      </c>
      <c r="G1566" s="0" t="n">
        <v>0</v>
      </c>
      <c r="H1566" s="0" t="s">
        <v>5843</v>
      </c>
      <c r="I1566" s="16" t="s">
        <v>5844</v>
      </c>
      <c r="J1566" s="0" t="s">
        <v>5845</v>
      </c>
      <c r="K1566" s="0" t="str">
        <f aca="false">"14.4 %"</f>
        <v>14.4 %</v>
      </c>
      <c r="L1566" s="0" t="str">
        <f aca="false">"0.855 V"</f>
        <v>0.855 V</v>
      </c>
      <c r="O1566" s="0" t="s">
        <v>5847</v>
      </c>
    </row>
    <row r="1567" customFormat="false" ht="13.8" hidden="false" customHeight="false" outlineLevel="0" collapsed="false">
      <c r="A1567" s="0" t="s">
        <v>5848</v>
      </c>
      <c r="D1567" s="0" t="s">
        <v>85</v>
      </c>
      <c r="E1567" s="0" t="s">
        <v>86</v>
      </c>
      <c r="F1567" s="0" t="s">
        <v>87</v>
      </c>
      <c r="G1567" s="0" t="n">
        <v>0</v>
      </c>
      <c r="H1567" s="0" t="s">
        <v>5849</v>
      </c>
      <c r="J1567" s="0" t="s">
        <v>5850</v>
      </c>
      <c r="K1567" s="0" t="str">
        <f aca="false">"3.2 %"</f>
        <v>3.2 %</v>
      </c>
      <c r="L1567" s="0" t="str">
        <f aca="false">"0.9 V"</f>
        <v>0.9 V</v>
      </c>
      <c r="O1567" s="0" t="s">
        <v>5851</v>
      </c>
    </row>
    <row r="1568" customFormat="false" ht="13.8" hidden="false" customHeight="false" outlineLevel="0" collapsed="false">
      <c r="A1568" s="0" t="s">
        <v>5852</v>
      </c>
      <c r="D1568" s="0" t="s">
        <v>85</v>
      </c>
      <c r="E1568" s="0" t="s">
        <v>86</v>
      </c>
      <c r="F1568" s="0" t="s">
        <v>87</v>
      </c>
      <c r="G1568" s="0" t="n">
        <v>1</v>
      </c>
      <c r="H1568" s="0" t="s">
        <v>27</v>
      </c>
      <c r="J1568" s="0" t="s">
        <v>28</v>
      </c>
      <c r="K1568" s="0" t="str">
        <f aca="false">"7.31 %"</f>
        <v>7.31 %</v>
      </c>
      <c r="O1568" s="0" t="s">
        <v>5853</v>
      </c>
    </row>
    <row r="1569" customFormat="false" ht="13.8" hidden="false" customHeight="false" outlineLevel="0" collapsed="false">
      <c r="A1569" s="0" t="s">
        <v>5854</v>
      </c>
      <c r="D1569" s="0" t="s">
        <v>16</v>
      </c>
      <c r="E1569" s="0" t="s">
        <v>17</v>
      </c>
      <c r="F1569" s="0" t="s">
        <v>18</v>
      </c>
      <c r="G1569" s="0" t="n">
        <v>0</v>
      </c>
      <c r="H1569" s="0" t="s">
        <v>208</v>
      </c>
      <c r="I1569" s="0" t="s">
        <v>17</v>
      </c>
      <c r="J1569" s="0" t="s">
        <v>18</v>
      </c>
      <c r="K1569" s="0" t="str">
        <f aca="false">"7.1 %"</f>
        <v>7.1 %</v>
      </c>
      <c r="N1569" s="0" t="str">
        <f aca="false">"75.09 %"</f>
        <v>75.09 %</v>
      </c>
      <c r="O1569" s="0" t="s">
        <v>5855</v>
      </c>
    </row>
    <row r="1570" customFormat="false" ht="13.8" hidden="false" customHeight="false" outlineLevel="0" collapsed="false">
      <c r="A1570" s="0" t="s">
        <v>5856</v>
      </c>
      <c r="D1570" s="0" t="s">
        <v>16</v>
      </c>
      <c r="E1570" s="0" t="s">
        <v>17</v>
      </c>
      <c r="F1570" s="0" t="s">
        <v>116</v>
      </c>
      <c r="G1570" s="0" t="n">
        <v>1</v>
      </c>
      <c r="H1570" s="0" t="s">
        <v>33</v>
      </c>
      <c r="J1570" s="0" t="s">
        <v>34</v>
      </c>
      <c r="K1570" s="0" t="str">
        <f aca="false">"4.97 %"</f>
        <v>4.97 %</v>
      </c>
      <c r="O1570" s="0" t="s">
        <v>5857</v>
      </c>
    </row>
    <row r="1571" customFormat="false" ht="13.8" hidden="false" customHeight="false" outlineLevel="0" collapsed="false">
      <c r="A1571" s="0" t="s">
        <v>5858</v>
      </c>
      <c r="D1571" s="0" t="s">
        <v>85</v>
      </c>
      <c r="E1571" s="0" t="s">
        <v>86</v>
      </c>
      <c r="F1571" s="0" t="s">
        <v>87</v>
      </c>
      <c r="G1571" s="0" t="n">
        <v>1</v>
      </c>
      <c r="H1571" s="0" t="s">
        <v>27</v>
      </c>
      <c r="J1571" s="0" t="s">
        <v>28</v>
      </c>
      <c r="K1571" s="0" t="str">
        <f aca="false">"6.55 %"</f>
        <v>6.55 %</v>
      </c>
      <c r="O1571" s="0" t="s">
        <v>5859</v>
      </c>
    </row>
    <row r="1572" customFormat="false" ht="13.8" hidden="false" customHeight="false" outlineLevel="0" collapsed="false">
      <c r="A1572" s="0" t="s">
        <v>5860</v>
      </c>
      <c r="D1572" s="0" t="s">
        <v>16</v>
      </c>
      <c r="E1572" s="0" t="s">
        <v>17</v>
      </c>
      <c r="F1572" s="0" t="s">
        <v>116</v>
      </c>
      <c r="G1572" s="0" t="n">
        <v>1</v>
      </c>
      <c r="H1572" s="0" t="s">
        <v>33</v>
      </c>
      <c r="J1572" s="0" t="s">
        <v>34</v>
      </c>
      <c r="K1572" s="0" t="str">
        <f aca="false">"3.83 %"</f>
        <v>3.83 %</v>
      </c>
      <c r="O1572" s="0" t="s">
        <v>5861</v>
      </c>
    </row>
    <row r="1573" customFormat="false" ht="13.8" hidden="false" customHeight="false" outlineLevel="0" collapsed="false">
      <c r="A1573" s="0" t="s">
        <v>5862</v>
      </c>
      <c r="D1573" s="0" t="s">
        <v>201</v>
      </c>
      <c r="E1573" s="0" t="s">
        <v>202</v>
      </c>
      <c r="F1573" s="0" t="s">
        <v>5863</v>
      </c>
      <c r="G1573" s="0" t="n">
        <v>1</v>
      </c>
      <c r="H1573" s="0" t="s">
        <v>27</v>
      </c>
      <c r="J1573" s="0" t="s">
        <v>28</v>
      </c>
      <c r="K1573" s="0" t="str">
        <f aca="false">"8.61 %"</f>
        <v>8.61 %</v>
      </c>
      <c r="O1573" s="0" t="s">
        <v>5864</v>
      </c>
    </row>
    <row r="1574" customFormat="false" ht="13.8" hidden="false" customHeight="false" outlineLevel="0" collapsed="false">
      <c r="A1574" s="0" t="s">
        <v>5865</v>
      </c>
      <c r="D1574" s="0" t="s">
        <v>5866</v>
      </c>
      <c r="E1574" s="0" t="s">
        <v>17</v>
      </c>
      <c r="F1574" s="0" t="s">
        <v>5867</v>
      </c>
      <c r="G1574" s="0" t="n">
        <v>1</v>
      </c>
      <c r="H1574" s="0" t="s">
        <v>33</v>
      </c>
      <c r="J1574" s="0" t="s">
        <v>34</v>
      </c>
      <c r="K1574" s="0" t="str">
        <f aca="false">"2.46 %"</f>
        <v>2.46 %</v>
      </c>
      <c r="O1574" s="0" t="s">
        <v>5868</v>
      </c>
    </row>
    <row r="1575" customFormat="false" ht="13.8" hidden="false" customHeight="false" outlineLevel="0" collapsed="false">
      <c r="A1575" s="0" t="s">
        <v>5869</v>
      </c>
      <c r="D1575" s="0" t="s">
        <v>16</v>
      </c>
      <c r="E1575" s="0" t="s">
        <v>17</v>
      </c>
      <c r="F1575" s="0" t="s">
        <v>5870</v>
      </c>
      <c r="G1575" s="0" t="n">
        <v>1</v>
      </c>
      <c r="H1575" s="0" t="s">
        <v>33</v>
      </c>
      <c r="J1575" s="0" t="s">
        <v>34</v>
      </c>
      <c r="K1575" s="0" t="str">
        <f aca="false">"4.44 %"</f>
        <v>4.44 %</v>
      </c>
      <c r="O1575" s="0" t="s">
        <v>5871</v>
      </c>
    </row>
    <row r="1576" customFormat="false" ht="13.8" hidden="false" customHeight="false" outlineLevel="0" collapsed="false">
      <c r="A1576" s="0" t="s">
        <v>5872</v>
      </c>
      <c r="D1576" s="0" t="s">
        <v>201</v>
      </c>
      <c r="E1576" s="0" t="s">
        <v>202</v>
      </c>
      <c r="F1576" s="0" t="s">
        <v>422</v>
      </c>
      <c r="G1576" s="0" t="n">
        <v>1</v>
      </c>
      <c r="H1576" s="0" t="s">
        <v>66</v>
      </c>
      <c r="J1576" s="0" t="s">
        <v>67</v>
      </c>
      <c r="K1576" s="0" t="str">
        <f aca="false">"9.12 %"</f>
        <v>9.12 %</v>
      </c>
      <c r="O1576" s="0" t="s">
        <v>5873</v>
      </c>
    </row>
    <row r="1577" customFormat="false" ht="13.8" hidden="false" customHeight="false" outlineLevel="0" collapsed="false">
      <c r="A1577" s="0" t="s">
        <v>5874</v>
      </c>
      <c r="D1577" s="0" t="s">
        <v>5875</v>
      </c>
      <c r="F1577" s="0" t="s">
        <v>5876</v>
      </c>
      <c r="G1577" s="0" t="n">
        <v>1</v>
      </c>
      <c r="H1577" s="0" t="s">
        <v>33</v>
      </c>
      <c r="J1577" s="0" t="s">
        <v>40</v>
      </c>
      <c r="K1577" s="0" t="str">
        <f aca="false">"6.2 %"</f>
        <v>6.2 %</v>
      </c>
      <c r="O1577" s="0" t="s">
        <v>5877</v>
      </c>
    </row>
    <row r="1578" customFormat="false" ht="13.8" hidden="false" customHeight="false" outlineLevel="0" collapsed="false">
      <c r="A1578" s="0" t="s">
        <v>5878</v>
      </c>
      <c r="D1578" s="0" t="s">
        <v>5879</v>
      </c>
      <c r="F1578" s="0" t="s">
        <v>5880</v>
      </c>
      <c r="G1578" s="0" t="n">
        <v>0</v>
      </c>
      <c r="H1578" s="0" t="s">
        <v>5881</v>
      </c>
      <c r="J1578" s="0" t="s">
        <v>40</v>
      </c>
      <c r="K1578" s="0" t="str">
        <f aca="false">"3.64 %"</f>
        <v>3.64 %</v>
      </c>
      <c r="O1578" s="0" t="s">
        <v>5882</v>
      </c>
    </row>
    <row r="1579" customFormat="false" ht="13.8" hidden="false" customHeight="false" outlineLevel="0" collapsed="false">
      <c r="A1579" s="0" t="s">
        <v>5883</v>
      </c>
      <c r="D1579" s="0" t="s">
        <v>85</v>
      </c>
      <c r="E1579" s="0" t="s">
        <v>86</v>
      </c>
      <c r="F1579" s="0" t="s">
        <v>87</v>
      </c>
      <c r="G1579" s="0" t="n">
        <v>1</v>
      </c>
      <c r="H1579" s="0" t="s">
        <v>27</v>
      </c>
      <c r="J1579" s="0" t="s">
        <v>28</v>
      </c>
      <c r="K1579" s="0" t="str">
        <f aca="false">"8.13 %"</f>
        <v>8.13 %</v>
      </c>
      <c r="O1579" s="0" t="s">
        <v>5884</v>
      </c>
    </row>
    <row r="1580" customFormat="false" ht="13.8" hidden="false" customHeight="false" outlineLevel="0" collapsed="false">
      <c r="A1580" s="0" t="s">
        <v>5885</v>
      </c>
      <c r="D1580" s="0" t="s">
        <v>208</v>
      </c>
      <c r="E1580" s="0" t="s">
        <v>17</v>
      </c>
      <c r="F1580" s="0" t="s">
        <v>18</v>
      </c>
      <c r="G1580" s="0" t="n">
        <v>1</v>
      </c>
      <c r="H1580" s="0" t="s">
        <v>33</v>
      </c>
      <c r="J1580" s="0" t="s">
        <v>504</v>
      </c>
      <c r="K1580" s="0" t="str">
        <f aca="false">"3.8 %"</f>
        <v>3.8 %</v>
      </c>
      <c r="O1580" s="0" t="s">
        <v>5886</v>
      </c>
    </row>
    <row r="1581" customFormat="false" ht="13.8" hidden="false" customHeight="false" outlineLevel="0" collapsed="false">
      <c r="A1581" s="0" t="s">
        <v>5887</v>
      </c>
      <c r="D1581" s="0" t="s">
        <v>5888</v>
      </c>
      <c r="F1581" s="0" t="s">
        <v>5889</v>
      </c>
      <c r="G1581" s="0" t="n">
        <v>1</v>
      </c>
      <c r="H1581" s="0" t="s">
        <v>27</v>
      </c>
      <c r="J1581" s="0" t="s">
        <v>1799</v>
      </c>
      <c r="K1581" s="0" t="str">
        <f aca="false">"2.66 %"</f>
        <v>2.66 %</v>
      </c>
      <c r="O1581" s="0" t="s">
        <v>5890</v>
      </c>
    </row>
    <row r="1582" customFormat="false" ht="13.8" hidden="false" customHeight="false" outlineLevel="0" collapsed="false">
      <c r="A1582" s="0" t="s">
        <v>5887</v>
      </c>
      <c r="D1582" s="0" t="s">
        <v>16</v>
      </c>
      <c r="E1582" s="0" t="s">
        <v>17</v>
      </c>
      <c r="F1582" s="0" t="s">
        <v>116</v>
      </c>
      <c r="G1582" s="0" t="n">
        <v>1</v>
      </c>
      <c r="H1582" s="0" t="s">
        <v>27</v>
      </c>
      <c r="J1582" s="0" t="s">
        <v>1799</v>
      </c>
      <c r="K1582" s="0" t="str">
        <f aca="false">"3.64 %"</f>
        <v>3.64 %</v>
      </c>
      <c r="O1582" s="0" t="s">
        <v>5891</v>
      </c>
    </row>
    <row r="1583" customFormat="false" ht="13.8" hidden="false" customHeight="false" outlineLevel="0" collapsed="false">
      <c r="A1583" s="0" t="s">
        <v>5892</v>
      </c>
      <c r="D1583" s="0" t="s">
        <v>16</v>
      </c>
      <c r="E1583" s="0" t="s">
        <v>17</v>
      </c>
      <c r="F1583" s="0" t="s">
        <v>4831</v>
      </c>
      <c r="G1583" s="0" t="n">
        <v>0</v>
      </c>
      <c r="H1583" s="0" t="s">
        <v>5893</v>
      </c>
      <c r="J1583" s="0" t="s">
        <v>40</v>
      </c>
      <c r="K1583" s="0" t="str">
        <f aca="false">"2.30 %"</f>
        <v>2.30 %</v>
      </c>
      <c r="O1583" s="0" t="s">
        <v>5894</v>
      </c>
    </row>
    <row r="1584" customFormat="false" ht="13.8" hidden="false" customHeight="false" outlineLevel="0" collapsed="false">
      <c r="A1584" s="0" t="s">
        <v>5892</v>
      </c>
      <c r="D1584" s="0" t="s">
        <v>645</v>
      </c>
      <c r="F1584" s="0" t="s">
        <v>647</v>
      </c>
      <c r="G1584" s="0" t="n">
        <v>0</v>
      </c>
      <c r="H1584" s="0" t="s">
        <v>5893</v>
      </c>
      <c r="J1584" s="0" t="s">
        <v>40</v>
      </c>
      <c r="L1584" s="0" t="str">
        <f aca="false">"0.98 V"</f>
        <v>0.98 V</v>
      </c>
      <c r="O1584" s="0" t="s">
        <v>5895</v>
      </c>
    </row>
    <row r="1585" customFormat="false" ht="13.8" hidden="false" customHeight="false" outlineLevel="0" collapsed="false">
      <c r="A1585" s="0" t="s">
        <v>5896</v>
      </c>
      <c r="D1585" s="0" t="s">
        <v>208</v>
      </c>
      <c r="E1585" s="0" t="s">
        <v>17</v>
      </c>
      <c r="F1585" s="0" t="s">
        <v>18</v>
      </c>
      <c r="G1585" s="0" t="n">
        <v>1</v>
      </c>
      <c r="H1585" s="0" t="s">
        <v>33</v>
      </c>
      <c r="J1585" s="0" t="s">
        <v>34</v>
      </c>
      <c r="K1585" s="0" t="str">
        <f aca="false">"2.5 %"</f>
        <v>2.5 %</v>
      </c>
      <c r="O1585" s="0" t="s">
        <v>5897</v>
      </c>
    </row>
    <row r="1586" customFormat="false" ht="13.8" hidden="false" customHeight="false" outlineLevel="0" collapsed="false">
      <c r="A1586" s="0" t="s">
        <v>5898</v>
      </c>
      <c r="D1586" s="0" t="s">
        <v>16</v>
      </c>
      <c r="E1586" s="0" t="s">
        <v>17</v>
      </c>
      <c r="F1586" s="0" t="s">
        <v>116</v>
      </c>
      <c r="G1586" s="0" t="n">
        <v>1</v>
      </c>
      <c r="H1586" s="0" t="s">
        <v>76</v>
      </c>
      <c r="J1586" s="0" t="s">
        <v>77</v>
      </c>
      <c r="K1586" s="0" t="str">
        <f aca="false">"3.1 %"</f>
        <v>3.1 %</v>
      </c>
      <c r="O1586" s="0" t="s">
        <v>5899</v>
      </c>
    </row>
    <row r="1587" customFormat="false" ht="13.8" hidden="false" customHeight="false" outlineLevel="0" collapsed="false">
      <c r="A1587" s="0" t="s">
        <v>5900</v>
      </c>
      <c r="D1587" s="0" t="s">
        <v>5901</v>
      </c>
      <c r="F1587" s="0" t="s">
        <v>5902</v>
      </c>
      <c r="G1587" s="0" t="n">
        <v>1</v>
      </c>
      <c r="H1587" s="0" t="s">
        <v>76</v>
      </c>
      <c r="J1587" s="0" t="s">
        <v>77</v>
      </c>
      <c r="K1587" s="0" t="str">
        <f aca="false">"1.37 %"</f>
        <v>1.37 %</v>
      </c>
      <c r="L1587" s="0" t="str">
        <f aca="false">"0.62 V"</f>
        <v>0.62 V</v>
      </c>
      <c r="M1587" s="0" t="str">
        <f aca="false">"-5.37 mA/cm^{2}"</f>
        <v>-5.37 mA/cm^{2}</v>
      </c>
      <c r="N1587" s="0" t="str">
        <f aca="false">"0.41"</f>
        <v>0.41</v>
      </c>
      <c r="O1587" s="0" t="s">
        <v>5903</v>
      </c>
    </row>
    <row r="1588" customFormat="false" ht="13.8" hidden="false" customHeight="false" outlineLevel="0" collapsed="false">
      <c r="A1588" s="0" t="s">
        <v>5904</v>
      </c>
      <c r="D1588" s="0" t="s">
        <v>201</v>
      </c>
      <c r="E1588" s="0" t="s">
        <v>202</v>
      </c>
      <c r="F1588" s="0" t="s">
        <v>422</v>
      </c>
      <c r="G1588" s="0" t="n">
        <v>1</v>
      </c>
      <c r="H1588" s="0" t="s">
        <v>27</v>
      </c>
      <c r="J1588" s="0" t="s">
        <v>40</v>
      </c>
      <c r="K1588" s="0" t="str">
        <f aca="false">"7.9 %"</f>
        <v>7.9 %</v>
      </c>
      <c r="O1588" s="0" t="s">
        <v>5905</v>
      </c>
    </row>
    <row r="1589" customFormat="false" ht="13.8" hidden="false" customHeight="false" outlineLevel="0" collapsed="false">
      <c r="A1589" s="0" t="s">
        <v>5906</v>
      </c>
      <c r="D1589" s="0" t="s">
        <v>16</v>
      </c>
      <c r="E1589" s="0" t="s">
        <v>17</v>
      </c>
      <c r="F1589" s="0" t="s">
        <v>5907</v>
      </c>
      <c r="G1589" s="0" t="n">
        <v>1</v>
      </c>
      <c r="H1589" s="0" t="s">
        <v>33</v>
      </c>
      <c r="J1589" s="0" t="s">
        <v>34</v>
      </c>
      <c r="K1589" s="0" t="str">
        <f aca="false">"4.07 %"</f>
        <v>4.07 %</v>
      </c>
      <c r="O1589" s="0" t="s">
        <v>5908</v>
      </c>
    </row>
    <row r="1590" customFormat="false" ht="13.8" hidden="false" customHeight="false" outlineLevel="0" collapsed="false">
      <c r="A1590" s="0" t="s">
        <v>5909</v>
      </c>
      <c r="D1590" s="0" t="s">
        <v>85</v>
      </c>
      <c r="E1590" s="0" t="s">
        <v>86</v>
      </c>
      <c r="F1590" s="0" t="s">
        <v>1794</v>
      </c>
      <c r="G1590" s="0" t="n">
        <v>1</v>
      </c>
      <c r="H1590" s="0" t="s">
        <v>27</v>
      </c>
      <c r="J1590" s="0" t="s">
        <v>40</v>
      </c>
      <c r="K1590" s="0" t="str">
        <f aca="false">"7.4 %"</f>
        <v>7.4 %</v>
      </c>
      <c r="O1590" s="0" t="s">
        <v>5910</v>
      </c>
    </row>
    <row r="1591" customFormat="false" ht="13.8" hidden="false" customHeight="false" outlineLevel="0" collapsed="false">
      <c r="A1591" s="0" t="s">
        <v>5911</v>
      </c>
      <c r="D1591" s="0" t="s">
        <v>5912</v>
      </c>
      <c r="F1591" s="0" t="s">
        <v>40</v>
      </c>
      <c r="G1591" s="0" t="n">
        <v>0</v>
      </c>
      <c r="H1591" s="0" t="s">
        <v>5913</v>
      </c>
      <c r="J1591" s="0" t="s">
        <v>40</v>
      </c>
      <c r="K1591" s="0" t="str">
        <f aca="false">"7.48 %"</f>
        <v>7.48 %</v>
      </c>
      <c r="O1591" s="0" t="s">
        <v>5914</v>
      </c>
    </row>
    <row r="1592" customFormat="false" ht="13.8" hidden="false" customHeight="false" outlineLevel="0" collapsed="false">
      <c r="A1592" s="0" t="s">
        <v>5915</v>
      </c>
      <c r="B1592" s="0" t="n">
        <v>1</v>
      </c>
      <c r="D1592" s="0" t="s">
        <v>599</v>
      </c>
      <c r="E1592" s="0" t="s">
        <v>600</v>
      </c>
      <c r="F1592" s="0" t="s">
        <v>601</v>
      </c>
      <c r="G1592" s="0" t="n">
        <v>0</v>
      </c>
      <c r="H1592" s="0" t="s">
        <v>1472</v>
      </c>
      <c r="I1592" s="0" t="s">
        <v>1473</v>
      </c>
      <c r="J1592" s="0" t="s">
        <v>5341</v>
      </c>
      <c r="K1592" s="0" t="str">
        <f aca="false">"10.81 %"</f>
        <v>10.81 %</v>
      </c>
      <c r="O1592" s="0" t="s">
        <v>5916</v>
      </c>
    </row>
    <row r="1593" customFormat="false" ht="13.8" hidden="false" customHeight="false" outlineLevel="0" collapsed="false">
      <c r="A1593" s="0" t="s">
        <v>5917</v>
      </c>
      <c r="D1593" s="0" t="s">
        <v>5918</v>
      </c>
      <c r="E1593" s="0" t="s">
        <v>1169</v>
      </c>
      <c r="F1593" s="0" t="s">
        <v>5919</v>
      </c>
      <c r="G1593" s="0" t="n">
        <v>1</v>
      </c>
      <c r="H1593" s="0" t="s">
        <v>117</v>
      </c>
      <c r="J1593" s="0" t="s">
        <v>40</v>
      </c>
      <c r="K1593" s="0" t="str">
        <f aca="false">"5.88 ± 0.05 %"</f>
        <v>5.88 ± 0.05 %</v>
      </c>
      <c r="O1593" s="0" t="s">
        <v>5920</v>
      </c>
    </row>
    <row r="1594" customFormat="false" ht="13.8" hidden="false" customHeight="false" outlineLevel="0" collapsed="false">
      <c r="A1594" s="0" t="s">
        <v>5921</v>
      </c>
      <c r="D1594" s="0" t="s">
        <v>5922</v>
      </c>
      <c r="F1594" s="0" t="s">
        <v>5923</v>
      </c>
      <c r="G1594" s="0" t="n">
        <v>1</v>
      </c>
      <c r="H1594" s="0" t="s">
        <v>66</v>
      </c>
      <c r="J1594" s="0" t="s">
        <v>67</v>
      </c>
      <c r="O1594" s="0" t="s">
        <v>5924</v>
      </c>
    </row>
    <row r="1595" customFormat="false" ht="13.8" hidden="false" customHeight="false" outlineLevel="0" collapsed="false">
      <c r="A1595" s="0" t="s">
        <v>5921</v>
      </c>
      <c r="D1595" s="0" t="s">
        <v>5925</v>
      </c>
      <c r="F1595" s="0" t="s">
        <v>5923</v>
      </c>
      <c r="G1595" s="0" t="n">
        <v>1</v>
      </c>
      <c r="H1595" s="0" t="s">
        <v>66</v>
      </c>
      <c r="J1595" s="0" t="s">
        <v>67</v>
      </c>
      <c r="K1595" s="0" t="str">
        <f aca="false">"4.71 %"</f>
        <v>4.71 %</v>
      </c>
      <c r="O1595" s="0" t="s">
        <v>5926</v>
      </c>
    </row>
    <row r="1596" customFormat="false" ht="13.8" hidden="false" customHeight="false" outlineLevel="0" collapsed="false">
      <c r="A1596" s="0" t="s">
        <v>5927</v>
      </c>
      <c r="D1596" s="0" t="s">
        <v>5928</v>
      </c>
      <c r="F1596" s="0" t="s">
        <v>5929</v>
      </c>
      <c r="G1596" s="0" t="n">
        <v>1</v>
      </c>
      <c r="H1596" s="0" t="s">
        <v>27</v>
      </c>
      <c r="J1596" s="0" t="s">
        <v>5930</v>
      </c>
      <c r="K1596" s="0" t="str">
        <f aca="false">"2.54 %"</f>
        <v>2.54 %</v>
      </c>
      <c r="L1596" s="0" t="str">
        <f aca="false">"1.15 V"</f>
        <v>1.15 V</v>
      </c>
      <c r="N1596" s="0" t="str">
        <f aca="false">"61 %"</f>
        <v>61 %</v>
      </c>
      <c r="O1596" s="0" t="s">
        <v>5931</v>
      </c>
    </row>
    <row r="1597" customFormat="false" ht="13.8" hidden="false" customHeight="false" outlineLevel="0" collapsed="false">
      <c r="A1597" s="0" t="s">
        <v>5932</v>
      </c>
      <c r="D1597" s="0" t="s">
        <v>224</v>
      </c>
      <c r="E1597" s="0" t="s">
        <v>225</v>
      </c>
      <c r="F1597" s="0" t="s">
        <v>5933</v>
      </c>
      <c r="G1597" s="0" t="n">
        <v>0</v>
      </c>
      <c r="H1597" s="0" t="s">
        <v>5934</v>
      </c>
      <c r="J1597" s="0" t="s">
        <v>40</v>
      </c>
      <c r="K1597" s="0" t="str">
        <f aca="false">"7.0 %"</f>
        <v>7.0 %</v>
      </c>
      <c r="O1597" s="0" t="s">
        <v>5935</v>
      </c>
    </row>
    <row r="1598" customFormat="false" ht="13.8" hidden="false" customHeight="false" outlineLevel="0" collapsed="false">
      <c r="A1598" s="0" t="s">
        <v>5936</v>
      </c>
      <c r="D1598" s="0" t="s">
        <v>5937</v>
      </c>
      <c r="F1598" s="0" t="s">
        <v>5938</v>
      </c>
      <c r="G1598" s="0" t="n">
        <v>1</v>
      </c>
      <c r="H1598" s="0" t="s">
        <v>33</v>
      </c>
      <c r="J1598" s="0" t="s">
        <v>40</v>
      </c>
      <c r="K1598" s="0" t="str">
        <f aca="false">"2.4 %"</f>
        <v>2.4 %</v>
      </c>
      <c r="O1598" s="0" t="s">
        <v>5939</v>
      </c>
    </row>
    <row r="1599" customFormat="false" ht="13.8" hidden="false" customHeight="false" outlineLevel="0" collapsed="false">
      <c r="A1599" s="0" t="s">
        <v>5936</v>
      </c>
      <c r="D1599" s="0" t="s">
        <v>5940</v>
      </c>
      <c r="F1599" s="0" t="s">
        <v>5941</v>
      </c>
      <c r="G1599" s="0" t="n">
        <v>1</v>
      </c>
      <c r="H1599" s="0" t="s">
        <v>33</v>
      </c>
      <c r="J1599" s="0" t="s">
        <v>40</v>
      </c>
      <c r="N1599" s="0" t="str">
        <f aca="false">"0.64"</f>
        <v>0.64</v>
      </c>
      <c r="O1599" s="0" t="s">
        <v>5942</v>
      </c>
    </row>
    <row r="1600" customFormat="false" ht="13.8" hidden="false" customHeight="false" outlineLevel="0" collapsed="false">
      <c r="A1600" s="0" t="s">
        <v>5943</v>
      </c>
      <c r="D1600" s="0" t="s">
        <v>85</v>
      </c>
      <c r="E1600" s="0" t="s">
        <v>86</v>
      </c>
      <c r="F1600" s="0" t="s">
        <v>87</v>
      </c>
      <c r="G1600" s="0" t="n">
        <v>1</v>
      </c>
      <c r="H1600" s="0" t="s">
        <v>27</v>
      </c>
      <c r="J1600" s="0" t="s">
        <v>1799</v>
      </c>
      <c r="K1600" s="0" t="str">
        <f aca="false">"5.35 %"</f>
        <v>5.35 %</v>
      </c>
      <c r="O1600" s="0" t="s">
        <v>5944</v>
      </c>
    </row>
    <row r="1601" customFormat="false" ht="13.8" hidden="false" customHeight="false" outlineLevel="0" collapsed="false">
      <c r="A1601" s="0" t="s">
        <v>5943</v>
      </c>
      <c r="D1601" s="0" t="s">
        <v>243</v>
      </c>
      <c r="E1601" s="0" t="s">
        <v>244</v>
      </c>
      <c r="F1601" s="0" t="s">
        <v>245</v>
      </c>
      <c r="G1601" s="0" t="n">
        <v>1</v>
      </c>
      <c r="H1601" s="0" t="s">
        <v>27</v>
      </c>
      <c r="J1601" s="0" t="s">
        <v>1799</v>
      </c>
      <c r="K1601" s="0" t="str">
        <f aca="false">"8.58 %"</f>
        <v>8.58 %</v>
      </c>
      <c r="O1601" s="0" t="s">
        <v>5945</v>
      </c>
    </row>
    <row r="1602" customFormat="false" ht="13.8" hidden="false" customHeight="false" outlineLevel="0" collapsed="false">
      <c r="A1602" s="0" t="s">
        <v>5946</v>
      </c>
      <c r="D1602" s="0" t="s">
        <v>16</v>
      </c>
      <c r="E1602" s="0" t="s">
        <v>17</v>
      </c>
      <c r="F1602" s="0" t="s">
        <v>18</v>
      </c>
      <c r="G1602" s="0" t="n">
        <v>1</v>
      </c>
      <c r="H1602" s="0" t="s">
        <v>27</v>
      </c>
      <c r="J1602" s="0" t="s">
        <v>1799</v>
      </c>
      <c r="K1602" s="0" t="str">
        <f aca="false">"7.53 %"</f>
        <v>7.53 %</v>
      </c>
      <c r="O1602" s="0" t="s">
        <v>5947</v>
      </c>
    </row>
    <row r="1603" customFormat="false" ht="13.8" hidden="false" customHeight="false" outlineLevel="0" collapsed="false">
      <c r="A1603" s="0" t="s">
        <v>5946</v>
      </c>
      <c r="D1603" s="0" t="s">
        <v>5948</v>
      </c>
      <c r="E1603" s="0" t="s">
        <v>202</v>
      </c>
      <c r="F1603" s="0" t="s">
        <v>5949</v>
      </c>
      <c r="G1603" s="0" t="n">
        <v>1</v>
      </c>
      <c r="H1603" s="0" t="s">
        <v>27</v>
      </c>
      <c r="J1603" s="0" t="s">
        <v>1799</v>
      </c>
      <c r="K1603" s="0" t="str">
        <f aca="false">"6.51 %"</f>
        <v>6.51 %</v>
      </c>
      <c r="O1603" s="0" t="s">
        <v>5950</v>
      </c>
    </row>
    <row r="1604" customFormat="false" ht="13.8" hidden="false" customHeight="false" outlineLevel="0" collapsed="false">
      <c r="A1604" s="0" t="s">
        <v>5946</v>
      </c>
      <c r="D1604" s="0" t="s">
        <v>302</v>
      </c>
      <c r="E1604" s="0" t="s">
        <v>202</v>
      </c>
      <c r="F1604" s="0" t="s">
        <v>5949</v>
      </c>
      <c r="G1604" s="0" t="n">
        <v>1</v>
      </c>
      <c r="H1604" s="0" t="s">
        <v>27</v>
      </c>
      <c r="J1604" s="0" t="s">
        <v>1799</v>
      </c>
      <c r="K1604" s="0" t="str">
        <f aca="false">"8.48 %"</f>
        <v>8.48 %</v>
      </c>
      <c r="O1604" s="0" t="s">
        <v>5951</v>
      </c>
    </row>
    <row r="1605" customFormat="false" ht="13.8" hidden="false" customHeight="false" outlineLevel="0" collapsed="false">
      <c r="A1605" s="0" t="s">
        <v>5952</v>
      </c>
      <c r="B1605" s="0" t="n">
        <v>1</v>
      </c>
      <c r="D1605" s="0" t="s">
        <v>403</v>
      </c>
      <c r="E1605" s="0" t="s">
        <v>404</v>
      </c>
      <c r="F1605" s="0" t="s">
        <v>5953</v>
      </c>
      <c r="G1605" s="0" t="n">
        <v>1</v>
      </c>
      <c r="H1605" s="0" t="s">
        <v>27</v>
      </c>
      <c r="J1605" s="0" t="s">
        <v>4482</v>
      </c>
      <c r="K1605" s="0" t="str">
        <f aca="false">"11.09 %"</f>
        <v>11.09 %</v>
      </c>
      <c r="O1605" s="0" t="s">
        <v>5954</v>
      </c>
    </row>
    <row r="1606" customFormat="false" ht="13.8" hidden="false" customHeight="false" outlineLevel="0" collapsed="false">
      <c r="A1606" s="0" t="s">
        <v>5955</v>
      </c>
      <c r="D1606" s="0" t="s">
        <v>201</v>
      </c>
      <c r="E1606" s="0" t="s">
        <v>202</v>
      </c>
      <c r="F1606" s="0" t="s">
        <v>5956</v>
      </c>
      <c r="G1606" s="0" t="n">
        <v>1</v>
      </c>
      <c r="H1606" s="0" t="s">
        <v>27</v>
      </c>
      <c r="J1606" s="0" t="s">
        <v>40</v>
      </c>
      <c r="K1606" s="0" t="str">
        <f aca="false">"10.31 %"</f>
        <v>10.31 %</v>
      </c>
      <c r="M1606" s="0" t="str">
        <f aca="false">"17.9 mA cm^{-2}"</f>
        <v>17.9 mA cm^{-2}</v>
      </c>
      <c r="O1606" s="0" t="s">
        <v>5957</v>
      </c>
    </row>
    <row r="1607" customFormat="false" ht="13.8" hidden="false" customHeight="false" outlineLevel="0" collapsed="false">
      <c r="A1607" s="0" t="s">
        <v>5958</v>
      </c>
      <c r="D1607" s="0" t="s">
        <v>109</v>
      </c>
      <c r="E1607" s="0" t="s">
        <v>110</v>
      </c>
      <c r="F1607" s="0" t="s">
        <v>734</v>
      </c>
      <c r="G1607" s="0" t="n">
        <v>1</v>
      </c>
      <c r="H1607" s="0" t="s">
        <v>66</v>
      </c>
      <c r="J1607" s="0" t="s">
        <v>67</v>
      </c>
      <c r="K1607" s="0" t="str">
        <f aca="false">"6.1 %"</f>
        <v>6.1 %</v>
      </c>
      <c r="O1607" s="0" t="s">
        <v>5959</v>
      </c>
    </row>
    <row r="1608" customFormat="false" ht="13.8" hidden="false" customHeight="false" outlineLevel="0" collapsed="false">
      <c r="A1608" s="0" t="s">
        <v>5960</v>
      </c>
      <c r="D1608" s="0" t="s">
        <v>208</v>
      </c>
      <c r="E1608" s="0" t="s">
        <v>17</v>
      </c>
      <c r="F1608" s="0" t="s">
        <v>18</v>
      </c>
      <c r="G1608" s="0" t="n">
        <v>1</v>
      </c>
      <c r="H1608" s="0" t="s">
        <v>33</v>
      </c>
      <c r="J1608" s="0" t="s">
        <v>40</v>
      </c>
      <c r="K1608" s="0" t="str">
        <f aca="false">"3.1 %"</f>
        <v>3.1 %</v>
      </c>
      <c r="N1608" s="0" t="str">
        <f aca="false">"0.70"</f>
        <v>0.70</v>
      </c>
      <c r="O1608" s="0" t="s">
        <v>5961</v>
      </c>
    </row>
    <row r="1609" customFormat="false" ht="13.8" hidden="false" customHeight="false" outlineLevel="0" collapsed="false">
      <c r="A1609" s="0" t="s">
        <v>5962</v>
      </c>
      <c r="D1609" s="0" t="s">
        <v>253</v>
      </c>
      <c r="F1609" s="0" t="s">
        <v>258</v>
      </c>
      <c r="G1609" s="0" t="n">
        <v>1</v>
      </c>
      <c r="H1609" s="0" t="s">
        <v>76</v>
      </c>
      <c r="J1609" s="0" t="s">
        <v>77</v>
      </c>
      <c r="K1609" s="0" t="str">
        <f aca="false">"1.56 %"</f>
        <v>1.56 %</v>
      </c>
      <c r="L1609" s="0" t="str">
        <f aca="false">"0.79 V"</f>
        <v>0.79 V</v>
      </c>
      <c r="M1609" s="0" t="str">
        <f aca="false">"4.50 mA cm^{-2}"</f>
        <v>4.50 mA cm^{-2}</v>
      </c>
      <c r="N1609" s="0" t="str">
        <f aca="false">"0.44"</f>
        <v>0.44</v>
      </c>
      <c r="O1609" s="0" t="s">
        <v>5963</v>
      </c>
    </row>
    <row r="1610" customFormat="false" ht="13.8" hidden="false" customHeight="false" outlineLevel="0" collapsed="false">
      <c r="A1610" s="0" t="s">
        <v>5964</v>
      </c>
      <c r="D1610" s="0" t="s">
        <v>16</v>
      </c>
      <c r="E1610" s="0" t="s">
        <v>17</v>
      </c>
      <c r="F1610" s="0" t="s">
        <v>18</v>
      </c>
      <c r="G1610" s="0" t="n">
        <v>1</v>
      </c>
      <c r="H1610" s="0" t="s">
        <v>27</v>
      </c>
      <c r="J1610" s="0" t="s">
        <v>28</v>
      </c>
      <c r="K1610" s="0" t="str">
        <f aca="false">"4.44 %"</f>
        <v>4.44 %</v>
      </c>
      <c r="O1610" s="0" t="s">
        <v>5965</v>
      </c>
    </row>
    <row r="1611" customFormat="false" ht="13.8" hidden="false" customHeight="false" outlineLevel="0" collapsed="false">
      <c r="A1611" s="0" t="s">
        <v>5966</v>
      </c>
      <c r="D1611" s="0" t="s">
        <v>5967</v>
      </c>
      <c r="F1611" s="0" t="s">
        <v>5968</v>
      </c>
      <c r="G1611" s="0" t="n">
        <v>1</v>
      </c>
      <c r="H1611" s="0" t="s">
        <v>33</v>
      </c>
      <c r="J1611" s="0" t="s">
        <v>398</v>
      </c>
      <c r="K1611" s="0" t="str">
        <f aca="false">"3.88 %"</f>
        <v>3.88 %</v>
      </c>
      <c r="O1611" s="0" t="s">
        <v>5969</v>
      </c>
    </row>
    <row r="1612" customFormat="false" ht="13.8" hidden="false" customHeight="false" outlineLevel="0" collapsed="false">
      <c r="A1612" s="0" t="s">
        <v>5970</v>
      </c>
      <c r="D1612" s="0" t="s">
        <v>5971</v>
      </c>
      <c r="E1612" s="0" t="s">
        <v>110</v>
      </c>
      <c r="F1612" s="0" t="s">
        <v>5972</v>
      </c>
      <c r="G1612" s="0" t="n">
        <v>1</v>
      </c>
      <c r="H1612" s="0" t="s">
        <v>27</v>
      </c>
      <c r="J1612" s="0" t="s">
        <v>28</v>
      </c>
      <c r="K1612" s="0" t="str">
        <f aca="false">"7.13 %"</f>
        <v>7.13 %</v>
      </c>
      <c r="O1612" s="0" t="s">
        <v>5973</v>
      </c>
    </row>
    <row r="1613" customFormat="false" ht="13.8" hidden="false" customHeight="false" outlineLevel="0" collapsed="false">
      <c r="A1613" s="0" t="s">
        <v>5974</v>
      </c>
      <c r="D1613" s="0" t="s">
        <v>5975</v>
      </c>
      <c r="F1613" s="0" t="s">
        <v>5976</v>
      </c>
      <c r="G1613" s="0" t="n">
        <v>1</v>
      </c>
      <c r="H1613" s="0" t="s">
        <v>76</v>
      </c>
      <c r="J1613" s="0" t="s">
        <v>77</v>
      </c>
      <c r="K1613" s="0" t="str">
        <f aca="false">"0.52 %"</f>
        <v>0.52 %</v>
      </c>
      <c r="L1613" s="0" t="str">
        <f aca="false">"0.81 V"</f>
        <v>0.81 V</v>
      </c>
      <c r="M1613" s="0" t="str">
        <f aca="false">"1.32 mA cm^{-2}"</f>
        <v>1.32 mA cm^{-2}</v>
      </c>
      <c r="N1613" s="0" t="str">
        <f aca="false">"35 %"</f>
        <v>35 %</v>
      </c>
      <c r="O1613" s="0" t="s">
        <v>5977</v>
      </c>
    </row>
    <row r="1614" customFormat="false" ht="13.8" hidden="false" customHeight="false" outlineLevel="0" collapsed="false">
      <c r="A1614" s="0" t="s">
        <v>5978</v>
      </c>
      <c r="D1614" s="0" t="s">
        <v>85</v>
      </c>
      <c r="E1614" s="0" t="s">
        <v>86</v>
      </c>
      <c r="F1614" s="0" t="s">
        <v>87</v>
      </c>
      <c r="G1614" s="0" t="n">
        <v>1</v>
      </c>
      <c r="H1614" s="0" t="s">
        <v>66</v>
      </c>
      <c r="J1614" s="0" t="s">
        <v>67</v>
      </c>
      <c r="K1614" s="0" t="str">
        <f aca="false">"6.73 %"</f>
        <v>6.73 %</v>
      </c>
      <c r="O1614" s="0" t="s">
        <v>5979</v>
      </c>
    </row>
    <row r="1615" customFormat="false" ht="13.8" hidden="false" customHeight="false" outlineLevel="0" collapsed="false">
      <c r="A1615" s="0" t="s">
        <v>5980</v>
      </c>
      <c r="D1615" s="0" t="s">
        <v>16</v>
      </c>
      <c r="E1615" s="0" t="s">
        <v>17</v>
      </c>
      <c r="F1615" s="0" t="s">
        <v>116</v>
      </c>
      <c r="G1615" s="0" t="n">
        <v>1</v>
      </c>
      <c r="H1615" s="0" t="s">
        <v>76</v>
      </c>
      <c r="J1615" s="0" t="s">
        <v>40</v>
      </c>
      <c r="K1615" s="0" t="str">
        <f aca="false">"0.12 %"</f>
        <v>0.12 %</v>
      </c>
      <c r="O1615" s="0" t="s">
        <v>5981</v>
      </c>
    </row>
    <row r="1616" customFormat="false" ht="13.8" hidden="false" customHeight="false" outlineLevel="0" collapsed="false">
      <c r="A1616" s="0" t="s">
        <v>5982</v>
      </c>
      <c r="D1616" s="0" t="s">
        <v>128</v>
      </c>
      <c r="F1616" s="0" t="s">
        <v>5436</v>
      </c>
      <c r="G1616" s="0" t="n">
        <v>1</v>
      </c>
      <c r="H1616" s="0" t="s">
        <v>33</v>
      </c>
      <c r="J1616" s="0" t="s">
        <v>40</v>
      </c>
      <c r="K1616" s="0" t="str">
        <f aca="false">"5.07 %"</f>
        <v>5.07 %</v>
      </c>
      <c r="O1616" s="0" t="s">
        <v>5983</v>
      </c>
    </row>
    <row r="1617" customFormat="false" ht="13.8" hidden="false" customHeight="false" outlineLevel="0" collapsed="false">
      <c r="A1617" s="0" t="s">
        <v>5982</v>
      </c>
      <c r="D1617" s="0" t="s">
        <v>124</v>
      </c>
      <c r="F1617" s="0" t="s">
        <v>5436</v>
      </c>
      <c r="G1617" s="0" t="n">
        <v>1</v>
      </c>
      <c r="H1617" s="0" t="s">
        <v>33</v>
      </c>
      <c r="J1617" s="0" t="s">
        <v>40</v>
      </c>
      <c r="K1617" s="0" t="str">
        <f aca="false">"2.34 %"</f>
        <v>2.34 %</v>
      </c>
      <c r="O1617" s="0" t="s">
        <v>5984</v>
      </c>
    </row>
    <row r="1618" customFormat="false" ht="13.8" hidden="false" customHeight="false" outlineLevel="0" collapsed="false">
      <c r="A1618" s="0" t="s">
        <v>5985</v>
      </c>
      <c r="D1618" s="0" t="s">
        <v>5667</v>
      </c>
      <c r="F1618" s="0" t="s">
        <v>5986</v>
      </c>
      <c r="G1618" s="0" t="n">
        <v>1</v>
      </c>
      <c r="H1618" s="0" t="s">
        <v>27</v>
      </c>
      <c r="J1618" s="0" t="s">
        <v>28</v>
      </c>
      <c r="K1618" s="0" t="str">
        <f aca="false">"0.9 %"</f>
        <v>0.9 %</v>
      </c>
      <c r="O1618" s="0" t="s">
        <v>5987</v>
      </c>
    </row>
    <row r="1619" customFormat="false" ht="13.8" hidden="false" customHeight="false" outlineLevel="0" collapsed="false">
      <c r="A1619" s="0" t="s">
        <v>5985</v>
      </c>
      <c r="D1619" s="0" t="s">
        <v>5988</v>
      </c>
      <c r="F1619" s="0" t="s">
        <v>5989</v>
      </c>
      <c r="G1619" s="0" t="n">
        <v>1</v>
      </c>
      <c r="H1619" s="0" t="s">
        <v>27</v>
      </c>
      <c r="J1619" s="0" t="s">
        <v>28</v>
      </c>
      <c r="K1619" s="0" t="str">
        <f aca="false">"1.1 %"</f>
        <v>1.1 %</v>
      </c>
      <c r="O1619" s="0" t="s">
        <v>5990</v>
      </c>
    </row>
    <row r="1620" customFormat="false" ht="13.8" hidden="false" customHeight="false" outlineLevel="0" collapsed="false">
      <c r="A1620" s="0" t="s">
        <v>5991</v>
      </c>
      <c r="D1620" s="0" t="s">
        <v>5992</v>
      </c>
      <c r="F1620" s="0" t="s">
        <v>5993</v>
      </c>
      <c r="G1620" s="0" t="n">
        <v>0</v>
      </c>
      <c r="H1620" s="0" t="s">
        <v>5994</v>
      </c>
      <c r="J1620" s="0" t="s">
        <v>5995</v>
      </c>
      <c r="K1620" s="0" t="str">
        <f aca="false">"5 %"</f>
        <v>5 %</v>
      </c>
      <c r="O1620" s="0" t="s">
        <v>5996</v>
      </c>
    </row>
    <row r="1621" customFormat="false" ht="13.8" hidden="false" customHeight="false" outlineLevel="0" collapsed="false">
      <c r="A1621" s="0" t="s">
        <v>5997</v>
      </c>
      <c r="D1621" s="0" t="s">
        <v>201</v>
      </c>
      <c r="E1621" s="0" t="s">
        <v>202</v>
      </c>
      <c r="F1621" s="0" t="s">
        <v>5998</v>
      </c>
      <c r="G1621" s="0" t="n">
        <v>0</v>
      </c>
      <c r="H1621" s="0" t="s">
        <v>5999</v>
      </c>
      <c r="J1621" s="0" t="s">
        <v>6000</v>
      </c>
      <c r="K1621" s="0" t="str">
        <f aca="false">"5.75 %"</f>
        <v>5.75 %</v>
      </c>
      <c r="O1621" s="0" t="s">
        <v>6001</v>
      </c>
    </row>
    <row r="1622" customFormat="false" ht="13.8" hidden="false" customHeight="false" outlineLevel="0" collapsed="false">
      <c r="A1622" s="0" t="s">
        <v>6002</v>
      </c>
      <c r="D1622" s="0" t="s">
        <v>6003</v>
      </c>
      <c r="F1622" s="0" t="s">
        <v>40</v>
      </c>
      <c r="G1622" s="0" t="n">
        <v>1</v>
      </c>
      <c r="H1622" s="0" t="s">
        <v>27</v>
      </c>
      <c r="J1622" s="0" t="s">
        <v>28</v>
      </c>
      <c r="K1622" s="0" t="str">
        <f aca="false">"8.65 %"</f>
        <v>8.65 %</v>
      </c>
      <c r="L1622" s="0" t="str">
        <f aca="false">"0.968 V"</f>
        <v>0.968 V</v>
      </c>
      <c r="M1622" s="0" t="str">
        <f aca="false">"8.12 mA cm^{-2}"</f>
        <v>8.12 mA cm^{-2}</v>
      </c>
      <c r="N1622" s="0" t="str">
        <f aca="false">"0.35"</f>
        <v>0.35</v>
      </c>
      <c r="O1622" s="0" t="s">
        <v>6004</v>
      </c>
    </row>
    <row r="1623" customFormat="false" ht="13.8" hidden="false" customHeight="false" outlineLevel="0" collapsed="false">
      <c r="A1623" s="0" t="s">
        <v>6005</v>
      </c>
      <c r="D1623" s="0" t="s">
        <v>6006</v>
      </c>
      <c r="F1623" s="0" t="s">
        <v>40</v>
      </c>
      <c r="G1623" s="0" t="n">
        <v>0</v>
      </c>
      <c r="H1623" s="0" t="s">
        <v>6007</v>
      </c>
      <c r="J1623" s="0" t="s">
        <v>40</v>
      </c>
      <c r="K1623" s="0" t="str">
        <f aca="false">"4.52 %"</f>
        <v>4.52 %</v>
      </c>
      <c r="O1623" s="0" t="s">
        <v>6008</v>
      </c>
    </row>
    <row r="1624" customFormat="false" ht="13.8" hidden="false" customHeight="false" outlineLevel="0" collapsed="false">
      <c r="A1624" s="0" t="s">
        <v>6009</v>
      </c>
      <c r="D1624" s="0" t="s">
        <v>1341</v>
      </c>
      <c r="E1624" s="0" t="s">
        <v>1342</v>
      </c>
      <c r="F1624" s="0" t="s">
        <v>6010</v>
      </c>
      <c r="G1624" s="0" t="n">
        <v>0</v>
      </c>
      <c r="H1624" s="0" t="s">
        <v>6011</v>
      </c>
      <c r="J1624" s="0" t="s">
        <v>6012</v>
      </c>
      <c r="K1624" s="0" t="str">
        <f aca="false">"6.15 %"</f>
        <v>6.15 %</v>
      </c>
      <c r="O1624" s="0" t="s">
        <v>6013</v>
      </c>
    </row>
    <row r="1625" customFormat="false" ht="13.8" hidden="false" customHeight="false" outlineLevel="0" collapsed="false">
      <c r="A1625" s="0" t="s">
        <v>6014</v>
      </c>
      <c r="D1625" s="0" t="s">
        <v>6015</v>
      </c>
      <c r="F1625" s="0" t="s">
        <v>40</v>
      </c>
      <c r="G1625" s="0" t="n">
        <v>1</v>
      </c>
      <c r="H1625" s="0" t="s">
        <v>66</v>
      </c>
      <c r="J1625" s="0" t="s">
        <v>67</v>
      </c>
      <c r="K1625" s="0" t="str">
        <f aca="false">"3.60 %"</f>
        <v>3.60 %</v>
      </c>
      <c r="O1625" s="0" t="s">
        <v>6016</v>
      </c>
    </row>
    <row r="1626" customFormat="false" ht="13.8" hidden="false" customHeight="false" outlineLevel="0" collapsed="false">
      <c r="A1626" s="0" t="s">
        <v>6017</v>
      </c>
      <c r="D1626" s="0" t="s">
        <v>1154</v>
      </c>
      <c r="F1626" s="0" t="s">
        <v>40</v>
      </c>
      <c r="G1626" s="0" t="n">
        <v>0</v>
      </c>
      <c r="H1626" s="0" t="s">
        <v>6018</v>
      </c>
      <c r="J1626" s="0" t="s">
        <v>40</v>
      </c>
      <c r="K1626" s="0" t="str">
        <f aca="false">"8 %"</f>
        <v>8 %</v>
      </c>
      <c r="O1626" s="0" t="s">
        <v>6019</v>
      </c>
    </row>
    <row r="1627" customFormat="false" ht="13.8" hidden="false" customHeight="false" outlineLevel="0" collapsed="false">
      <c r="A1627" s="0" t="s">
        <v>6020</v>
      </c>
      <c r="D1627" s="0" t="s">
        <v>6021</v>
      </c>
      <c r="F1627" s="0" t="s">
        <v>6022</v>
      </c>
      <c r="G1627" s="0" t="n">
        <v>1</v>
      </c>
      <c r="H1627" s="0" t="s">
        <v>27</v>
      </c>
      <c r="J1627" s="0" t="s">
        <v>28</v>
      </c>
      <c r="K1627" s="0" t="str">
        <f aca="false">"5.50 %"</f>
        <v>5.50 %</v>
      </c>
      <c r="O1627" s="0" t="s">
        <v>6023</v>
      </c>
    </row>
    <row r="1628" customFormat="false" ht="13.8" hidden="false" customHeight="false" outlineLevel="0" collapsed="false">
      <c r="A1628" s="0" t="s">
        <v>6024</v>
      </c>
      <c r="D1628" s="0" t="s">
        <v>6025</v>
      </c>
      <c r="F1628" s="0" t="s">
        <v>6026</v>
      </c>
      <c r="G1628" s="0" t="n">
        <v>0</v>
      </c>
      <c r="H1628" s="0" t="s">
        <v>1712</v>
      </c>
      <c r="I1628" s="0" t="s">
        <v>1713</v>
      </c>
      <c r="J1628" s="0" t="s">
        <v>1714</v>
      </c>
      <c r="K1628" s="0" t="str">
        <f aca="false">"5.12 %"</f>
        <v>5.12 %</v>
      </c>
      <c r="L1628" s="0" t="str">
        <f aca="false">"0.975 V"</f>
        <v>0.975 V</v>
      </c>
      <c r="O1628" s="0" t="s">
        <v>6027</v>
      </c>
    </row>
    <row r="1629" customFormat="false" ht="13.8" hidden="false" customHeight="false" outlineLevel="0" collapsed="false">
      <c r="A1629" s="0" t="s">
        <v>6024</v>
      </c>
      <c r="D1629" s="0" t="s">
        <v>6028</v>
      </c>
      <c r="F1629" s="0" t="s">
        <v>6029</v>
      </c>
      <c r="G1629" s="0" t="n">
        <v>0</v>
      </c>
      <c r="H1629" s="0" t="s">
        <v>1712</v>
      </c>
      <c r="I1629" s="0" t="s">
        <v>1713</v>
      </c>
      <c r="J1629" s="0" t="s">
        <v>1714</v>
      </c>
      <c r="L1629" s="0" t="str">
        <f aca="false">"0.951 V"</f>
        <v>0.951 V</v>
      </c>
      <c r="M1629" s="0" t="str">
        <f aca="false">"11.56 mA cm^{-2}"</f>
        <v>11.56 mA cm^{-2}</v>
      </c>
      <c r="N1629" s="0" t="str">
        <f aca="false">"60.65 %"</f>
        <v>60.65 %</v>
      </c>
      <c r="O1629" s="0" t="s">
        <v>6030</v>
      </c>
    </row>
    <row r="1630" customFormat="false" ht="13.8" hidden="false" customHeight="false" outlineLevel="0" collapsed="false">
      <c r="A1630" s="0" t="s">
        <v>6031</v>
      </c>
      <c r="D1630" s="0" t="s">
        <v>6032</v>
      </c>
      <c r="F1630" s="0" t="s">
        <v>6033</v>
      </c>
      <c r="G1630" s="0" t="n">
        <v>0</v>
      </c>
      <c r="H1630" s="0" t="s">
        <v>6034</v>
      </c>
      <c r="J1630" s="0" t="s">
        <v>6035</v>
      </c>
      <c r="K1630" s="0" t="str">
        <f aca="false">"8.77 %"</f>
        <v>8.77 %</v>
      </c>
      <c r="L1630" s="0" t="str">
        <f aca="false">"0.96 V"</f>
        <v>0.96 V</v>
      </c>
      <c r="O1630" s="0" t="s">
        <v>6036</v>
      </c>
    </row>
    <row r="1631" customFormat="false" ht="13.8" hidden="false" customHeight="false" outlineLevel="0" collapsed="false">
      <c r="A1631" s="0" t="s">
        <v>6037</v>
      </c>
      <c r="D1631" s="0" t="s">
        <v>6038</v>
      </c>
      <c r="F1631" s="0" t="s">
        <v>40</v>
      </c>
      <c r="G1631" s="0" t="n">
        <v>1</v>
      </c>
      <c r="H1631" s="0" t="s">
        <v>27</v>
      </c>
      <c r="J1631" s="0" t="s">
        <v>1274</v>
      </c>
      <c r="K1631" s="0" t="str">
        <f aca="false">"7.04 %"</f>
        <v>7.04 %</v>
      </c>
      <c r="M1631" s="0" t="str">
        <f aca="false">"12.52 mA cm^{-2}"</f>
        <v>12.52 mA cm^{-2}</v>
      </c>
      <c r="O1631" s="0" t="s">
        <v>6039</v>
      </c>
    </row>
    <row r="1632" customFormat="false" ht="13.8" hidden="false" customHeight="false" outlineLevel="0" collapsed="false">
      <c r="A1632" s="0" t="s">
        <v>6037</v>
      </c>
      <c r="D1632" s="0" t="s">
        <v>6040</v>
      </c>
      <c r="F1632" s="0" t="s">
        <v>6041</v>
      </c>
      <c r="G1632" s="0" t="n">
        <v>1</v>
      </c>
      <c r="H1632" s="0" t="s">
        <v>27</v>
      </c>
      <c r="J1632" s="0" t="s">
        <v>1274</v>
      </c>
      <c r="L1632" s="0" t="str">
        <f aca="false">"0.77 V"</f>
        <v>0.77 V</v>
      </c>
      <c r="M1632" s="0" t="str">
        <f aca="false">"13.79 mA cm^{-2}"</f>
        <v>13.79 mA cm^{-2}</v>
      </c>
      <c r="O1632" s="0" t="s">
        <v>6042</v>
      </c>
    </row>
    <row r="1633" customFormat="false" ht="13.8" hidden="false" customHeight="false" outlineLevel="0" collapsed="false">
      <c r="A1633" s="0" t="s">
        <v>6043</v>
      </c>
      <c r="D1633" s="0" t="s">
        <v>6044</v>
      </c>
      <c r="F1633" s="0" t="s">
        <v>6045</v>
      </c>
      <c r="G1633" s="0" t="n">
        <v>0</v>
      </c>
      <c r="H1633" s="0" t="s">
        <v>6046</v>
      </c>
      <c r="J1633" s="0" t="s">
        <v>40</v>
      </c>
      <c r="K1633" s="0" t="str">
        <f aca="false">"5.84 %"</f>
        <v>5.84 %</v>
      </c>
      <c r="L1633" s="0" t="str">
        <f aca="false">"0.96 V"</f>
        <v>0.96 V</v>
      </c>
      <c r="M1633" s="0" t="str">
        <f aca="false">"14.22 mA cm^{-2}"</f>
        <v>14.22 mA cm^{-2}</v>
      </c>
      <c r="O1633" s="0" t="s">
        <v>6047</v>
      </c>
    </row>
    <row r="1634" customFormat="false" ht="13.8" hidden="false" customHeight="false" outlineLevel="0" collapsed="false">
      <c r="A1634" s="0" t="s">
        <v>6048</v>
      </c>
      <c r="D1634" s="0" t="s">
        <v>6049</v>
      </c>
      <c r="F1634" s="0" t="s">
        <v>6050</v>
      </c>
      <c r="G1634" s="0" t="n">
        <v>1</v>
      </c>
      <c r="H1634" s="0" t="s">
        <v>27</v>
      </c>
      <c r="J1634" s="0" t="s">
        <v>28</v>
      </c>
      <c r="K1634" s="0" t="str">
        <f aca="false">"6.94 %"</f>
        <v>6.94 %</v>
      </c>
      <c r="O1634" s="0" t="s">
        <v>6051</v>
      </c>
    </row>
    <row r="1635" customFormat="false" ht="13.8" hidden="false" customHeight="false" outlineLevel="0" collapsed="false">
      <c r="A1635" s="0" t="s">
        <v>6052</v>
      </c>
      <c r="D1635" s="0" t="s">
        <v>599</v>
      </c>
      <c r="E1635" s="0" t="s">
        <v>600</v>
      </c>
      <c r="F1635" s="0" t="s">
        <v>601</v>
      </c>
      <c r="G1635" s="0" t="n">
        <v>0</v>
      </c>
      <c r="H1635" s="0" t="s">
        <v>6053</v>
      </c>
      <c r="J1635" s="0" t="s">
        <v>6054</v>
      </c>
      <c r="K1635" s="0" t="str">
        <f aca="false">"6.23 %"</f>
        <v>6.23 %</v>
      </c>
      <c r="L1635" s="0" t="str">
        <f aca="false">"0.84 V"</f>
        <v>0.84 V</v>
      </c>
      <c r="M1635" s="0" t="str">
        <f aca="false">"11.76 mA/cm^{2}"</f>
        <v>11.76 mA/cm^{2}</v>
      </c>
      <c r="N1635" s="0" t="str">
        <f aca="false">"0.63"</f>
        <v>0.63</v>
      </c>
      <c r="O1635" s="0" t="s">
        <v>6055</v>
      </c>
    </row>
    <row r="1636" customFormat="false" ht="13.8" hidden="false" customHeight="false" outlineLevel="0" collapsed="false">
      <c r="A1636" s="0" t="s">
        <v>6056</v>
      </c>
      <c r="D1636" s="0" t="s">
        <v>6057</v>
      </c>
      <c r="F1636" s="0" t="s">
        <v>6058</v>
      </c>
      <c r="G1636" s="0" t="n">
        <v>0</v>
      </c>
      <c r="H1636" s="0" t="s">
        <v>6059</v>
      </c>
      <c r="J1636" s="0" t="s">
        <v>6060</v>
      </c>
      <c r="K1636" s="0" t="str">
        <f aca="false">"8.35 %"</f>
        <v>8.35 %</v>
      </c>
      <c r="N1636" s="0" t="str">
        <f aca="false">"64.89 %"</f>
        <v>64.89 %</v>
      </c>
      <c r="O1636" s="0" t="s">
        <v>6061</v>
      </c>
    </row>
    <row r="1637" customFormat="false" ht="13.8" hidden="false" customHeight="false" outlineLevel="0" collapsed="false">
      <c r="A1637" s="0" t="s">
        <v>6056</v>
      </c>
      <c r="D1637" s="0" t="s">
        <v>6062</v>
      </c>
      <c r="F1637" s="0" t="s">
        <v>6063</v>
      </c>
      <c r="G1637" s="0" t="n">
        <v>0</v>
      </c>
      <c r="H1637" s="0" t="s">
        <v>6059</v>
      </c>
      <c r="J1637" s="0" t="s">
        <v>6060</v>
      </c>
      <c r="M1637" s="0" t="str">
        <f aca="false">"16.77 mA cm^{-2}"</f>
        <v>16.77 mA cm^{-2}</v>
      </c>
      <c r="O1637" s="0" t="s">
        <v>6064</v>
      </c>
    </row>
    <row r="1638" customFormat="false" ht="13.8" hidden="false" customHeight="false" outlineLevel="0" collapsed="false">
      <c r="A1638" s="0" t="s">
        <v>6065</v>
      </c>
      <c r="D1638" s="0" t="s">
        <v>6066</v>
      </c>
      <c r="F1638" s="0" t="s">
        <v>40</v>
      </c>
      <c r="G1638" s="0" t="n">
        <v>1</v>
      </c>
      <c r="H1638" s="0" t="s">
        <v>27</v>
      </c>
      <c r="J1638" s="0" t="s">
        <v>28</v>
      </c>
      <c r="K1638" s="0" t="str">
        <f aca="false">"2.86 %"</f>
        <v>2.86 %</v>
      </c>
      <c r="O1638" s="0" t="s">
        <v>6067</v>
      </c>
    </row>
    <row r="1639" customFormat="false" ht="13.8" hidden="false" customHeight="false" outlineLevel="0" collapsed="false">
      <c r="A1639" s="0" t="s">
        <v>6065</v>
      </c>
      <c r="D1639" s="0" t="s">
        <v>128</v>
      </c>
      <c r="F1639" s="0" t="s">
        <v>130</v>
      </c>
      <c r="G1639" s="0" t="n">
        <v>1</v>
      </c>
      <c r="H1639" s="0" t="s">
        <v>27</v>
      </c>
      <c r="J1639" s="0" t="s">
        <v>28</v>
      </c>
      <c r="O1639" s="0" t="s">
        <v>6068</v>
      </c>
    </row>
    <row r="1640" customFormat="false" ht="13.8" hidden="false" customHeight="false" outlineLevel="0" collapsed="false">
      <c r="A1640" s="0" t="s">
        <v>6069</v>
      </c>
      <c r="D1640" s="0" t="s">
        <v>208</v>
      </c>
      <c r="E1640" s="0" t="s">
        <v>17</v>
      </c>
      <c r="F1640" s="0" t="s">
        <v>209</v>
      </c>
      <c r="G1640" s="0" t="n">
        <v>0</v>
      </c>
      <c r="H1640" s="0" t="s">
        <v>6070</v>
      </c>
      <c r="J1640" s="0" t="s">
        <v>40</v>
      </c>
      <c r="K1640" s="0" t="str">
        <f aca="false">"3.84 %"</f>
        <v>3.84 %</v>
      </c>
      <c r="O1640" s="0" t="s">
        <v>6071</v>
      </c>
    </row>
    <row r="1641" customFormat="false" ht="13.8" hidden="false" customHeight="false" outlineLevel="0" collapsed="false">
      <c r="A1641" s="0" t="s">
        <v>6072</v>
      </c>
      <c r="D1641" s="0" t="s">
        <v>1154</v>
      </c>
      <c r="F1641" s="0" t="s">
        <v>40</v>
      </c>
      <c r="G1641" s="0" t="n">
        <v>1</v>
      </c>
      <c r="H1641" s="0" t="s">
        <v>27</v>
      </c>
      <c r="J1641" s="0" t="s">
        <v>28</v>
      </c>
      <c r="K1641" s="0" t="str">
        <f aca="false">"5.82 %"</f>
        <v>5.82 %</v>
      </c>
      <c r="L1641" s="0" t="str">
        <f aca="false">"0.92 V"</f>
        <v>0.92 V</v>
      </c>
      <c r="M1641" s="0" t="str">
        <f aca="false">"11.06 mA cm^{-2}"</f>
        <v>11.06 mA cm^{-2}</v>
      </c>
      <c r="N1641" s="0" t="str">
        <f aca="false">"57.2 %"</f>
        <v>57.2 %</v>
      </c>
      <c r="O1641" s="0" t="s">
        <v>6073</v>
      </c>
    </row>
    <row r="1642" customFormat="false" ht="13.8" hidden="false" customHeight="false" outlineLevel="0" collapsed="false">
      <c r="A1642" s="0" t="s">
        <v>6074</v>
      </c>
      <c r="D1642" s="0" t="s">
        <v>6075</v>
      </c>
      <c r="F1642" s="0" t="s">
        <v>6076</v>
      </c>
      <c r="G1642" s="0" t="n">
        <v>1</v>
      </c>
      <c r="H1642" s="0" t="s">
        <v>76</v>
      </c>
      <c r="J1642" s="0" t="s">
        <v>77</v>
      </c>
      <c r="K1642" s="0" t="str">
        <f aca="false">"2.66 %"</f>
        <v>2.66 %</v>
      </c>
      <c r="L1642" s="0" t="str">
        <f aca="false">"678 mV"</f>
        <v>678 mV</v>
      </c>
      <c r="M1642" s="0" t="str">
        <f aca="false">"7.711 mA/cm^{2}"</f>
        <v>7.711 mA/cm^{2}</v>
      </c>
      <c r="N1642" s="0" t="str">
        <f aca="false">"50 %"</f>
        <v>50 %</v>
      </c>
      <c r="O1642" s="0" t="s">
        <v>6077</v>
      </c>
    </row>
    <row r="1643" customFormat="false" ht="13.8" hidden="false" customHeight="false" outlineLevel="0" collapsed="false">
      <c r="A1643" s="0" t="s">
        <v>6078</v>
      </c>
      <c r="D1643" s="0" t="s">
        <v>6079</v>
      </c>
      <c r="F1643" s="0" t="s">
        <v>6080</v>
      </c>
      <c r="G1643" s="0" t="n">
        <v>1</v>
      </c>
      <c r="H1643" s="0" t="s">
        <v>27</v>
      </c>
      <c r="J1643" s="0" t="s">
        <v>28</v>
      </c>
      <c r="K1643" s="0" t="str">
        <f aca="false">"5.97 %"</f>
        <v>5.97 %</v>
      </c>
      <c r="O1643" s="0" t="s">
        <v>6081</v>
      </c>
    </row>
    <row r="1644" customFormat="false" ht="13.8" hidden="false" customHeight="false" outlineLevel="0" collapsed="false">
      <c r="A1644" s="0" t="s">
        <v>6082</v>
      </c>
      <c r="D1644" s="0" t="s">
        <v>201</v>
      </c>
      <c r="E1644" s="0" t="s">
        <v>202</v>
      </c>
      <c r="F1644" s="0" t="s">
        <v>6083</v>
      </c>
      <c r="G1644" s="0" t="n">
        <v>0</v>
      </c>
      <c r="H1644" s="0" t="s">
        <v>6084</v>
      </c>
      <c r="J1644" s="0" t="s">
        <v>6085</v>
      </c>
      <c r="K1644" s="0" t="str">
        <f aca="false">"4.50 %"</f>
        <v>4.50 %</v>
      </c>
      <c r="O1644" s="0" t="s">
        <v>6086</v>
      </c>
    </row>
    <row r="1645" customFormat="false" ht="13.8" hidden="false" customHeight="false" outlineLevel="0" collapsed="false">
      <c r="A1645" s="0" t="s">
        <v>6082</v>
      </c>
      <c r="D1645" s="0" t="s">
        <v>201</v>
      </c>
      <c r="E1645" s="0" t="s">
        <v>202</v>
      </c>
      <c r="F1645" s="0" t="s">
        <v>6083</v>
      </c>
      <c r="G1645" s="0" t="n">
        <v>0</v>
      </c>
      <c r="H1645" s="0" t="s">
        <v>6087</v>
      </c>
      <c r="J1645" s="0" t="s">
        <v>6088</v>
      </c>
      <c r="O1645" s="0" t="s">
        <v>6089</v>
      </c>
    </row>
    <row r="1646" customFormat="false" ht="13.8" hidden="false" customHeight="false" outlineLevel="0" collapsed="false">
      <c r="A1646" s="0" t="s">
        <v>6090</v>
      </c>
      <c r="D1646" s="0" t="s">
        <v>85</v>
      </c>
      <c r="E1646" s="0" t="s">
        <v>86</v>
      </c>
      <c r="F1646" s="0" t="s">
        <v>1038</v>
      </c>
      <c r="G1646" s="0" t="n">
        <v>1</v>
      </c>
      <c r="H1646" s="0" t="s">
        <v>27</v>
      </c>
      <c r="J1646" s="0" t="s">
        <v>28</v>
      </c>
      <c r="K1646" s="0" t="str">
        <f aca="false">"8.52 %"</f>
        <v>8.52 %</v>
      </c>
      <c r="O1646" s="0" t="s">
        <v>6091</v>
      </c>
    </row>
    <row r="1647" customFormat="false" ht="13.8" hidden="false" customHeight="false" outlineLevel="0" collapsed="false">
      <c r="A1647" s="0" t="s">
        <v>6092</v>
      </c>
      <c r="D1647" s="0" t="s">
        <v>1386</v>
      </c>
      <c r="E1647" s="0" t="s">
        <v>1387</v>
      </c>
      <c r="F1647" s="0" t="s">
        <v>1388</v>
      </c>
      <c r="G1647" s="0" t="n">
        <v>0</v>
      </c>
      <c r="H1647" s="0" t="s">
        <v>6093</v>
      </c>
      <c r="J1647" s="0" t="s">
        <v>40</v>
      </c>
      <c r="K1647" s="0" t="str">
        <f aca="false">"9.3 %"</f>
        <v>9.3 %</v>
      </c>
      <c r="L1647" s="0" t="str">
        <f aca="false">"1.02 V"</f>
        <v>1.02 V</v>
      </c>
      <c r="O1647" s="0" t="s">
        <v>6094</v>
      </c>
    </row>
    <row r="1648" customFormat="false" ht="13.8" hidden="false" customHeight="false" outlineLevel="0" collapsed="false">
      <c r="A1648" s="0" t="s">
        <v>6095</v>
      </c>
      <c r="D1648" s="0" t="s">
        <v>6096</v>
      </c>
      <c r="F1648" s="0" t="s">
        <v>6097</v>
      </c>
      <c r="G1648" s="0" t="n">
        <v>1</v>
      </c>
      <c r="H1648" s="0" t="s">
        <v>27</v>
      </c>
      <c r="J1648" s="0" t="s">
        <v>28</v>
      </c>
      <c r="K1648" s="0" t="str">
        <f aca="false">"3.05 %"</f>
        <v>3.05 %</v>
      </c>
      <c r="M1648" s="0" t="str">
        <f aca="false">"9.48 mA/cm^{2}"</f>
        <v>9.48 mA/cm^{2}</v>
      </c>
      <c r="N1648" s="0" t="str">
        <f aca="false">"48.6 %"</f>
        <v>48.6 %</v>
      </c>
      <c r="O1648" s="0" t="s">
        <v>6098</v>
      </c>
    </row>
    <row r="1649" customFormat="false" ht="13.8" hidden="false" customHeight="false" outlineLevel="0" collapsed="false">
      <c r="A1649" s="0" t="s">
        <v>6099</v>
      </c>
      <c r="D1649" s="0" t="s">
        <v>6100</v>
      </c>
      <c r="F1649" s="0" t="s">
        <v>6101</v>
      </c>
      <c r="G1649" s="0" t="n">
        <v>1</v>
      </c>
      <c r="H1649" s="0" t="s">
        <v>27</v>
      </c>
      <c r="J1649" s="0" t="s">
        <v>28</v>
      </c>
      <c r="K1649" s="0" t="str">
        <f aca="false">"8.25 %"</f>
        <v>8.25 %</v>
      </c>
      <c r="M1649" s="0" t="str">
        <f aca="false">"16.24 mA/cm^{2}"</f>
        <v>16.24 mA/cm^{2}</v>
      </c>
      <c r="N1649" s="0" t="str">
        <f aca="false">"0.674"</f>
        <v>0.674</v>
      </c>
      <c r="O1649" s="0" t="s">
        <v>6102</v>
      </c>
    </row>
    <row r="1650" customFormat="false" ht="13.8" hidden="false" customHeight="false" outlineLevel="0" collapsed="false">
      <c r="A1650" s="0" t="s">
        <v>6103</v>
      </c>
      <c r="D1650" s="0" t="s">
        <v>6104</v>
      </c>
      <c r="E1650" s="0" t="s">
        <v>202</v>
      </c>
      <c r="F1650" s="0" t="s">
        <v>6105</v>
      </c>
      <c r="G1650" s="0" t="n">
        <v>0</v>
      </c>
      <c r="H1650" s="0" t="s">
        <v>6106</v>
      </c>
      <c r="J1650" s="0" t="s">
        <v>40</v>
      </c>
      <c r="K1650" s="0" t="str">
        <f aca="false">"6.56 %"</f>
        <v>6.56 %</v>
      </c>
      <c r="L1650" s="0" t="str">
        <f aca="false">"0.92 V"</f>
        <v>0.92 V</v>
      </c>
      <c r="O1650" s="0" t="s">
        <v>6107</v>
      </c>
    </row>
    <row r="1651" customFormat="false" ht="13.8" hidden="false" customHeight="false" outlineLevel="0" collapsed="false">
      <c r="A1651" s="0" t="s">
        <v>6108</v>
      </c>
      <c r="D1651" s="0" t="s">
        <v>6109</v>
      </c>
      <c r="F1651" s="0" t="s">
        <v>6110</v>
      </c>
      <c r="G1651" s="0" t="n">
        <v>1</v>
      </c>
      <c r="H1651" s="0" t="s">
        <v>33</v>
      </c>
      <c r="J1651" s="0" t="s">
        <v>34</v>
      </c>
      <c r="O1651" s="0" t="s">
        <v>6111</v>
      </c>
    </row>
    <row r="1652" customFormat="false" ht="13.8" hidden="false" customHeight="false" outlineLevel="0" collapsed="false">
      <c r="A1652" s="0" t="s">
        <v>6108</v>
      </c>
      <c r="F1652" s="0" t="s">
        <v>40</v>
      </c>
      <c r="G1652" s="0" t="n">
        <v>1</v>
      </c>
      <c r="H1652" s="0" t="s">
        <v>33</v>
      </c>
      <c r="J1652" s="0" t="s">
        <v>34</v>
      </c>
      <c r="K1652" s="0" t="str">
        <f aca="false">"2.1 %"</f>
        <v>2.1 %</v>
      </c>
      <c r="O1652" s="0" t="s">
        <v>6112</v>
      </c>
    </row>
    <row r="1653" customFormat="false" ht="13.8" hidden="false" customHeight="false" outlineLevel="0" collapsed="false">
      <c r="A1653" s="0" t="s">
        <v>6113</v>
      </c>
      <c r="D1653" s="0" t="s">
        <v>599</v>
      </c>
      <c r="E1653" s="0" t="s">
        <v>600</v>
      </c>
      <c r="F1653" s="0" t="s">
        <v>601</v>
      </c>
      <c r="G1653" s="0" t="n">
        <v>0</v>
      </c>
      <c r="H1653" s="0" t="s">
        <v>6114</v>
      </c>
      <c r="J1653" s="0" t="s">
        <v>40</v>
      </c>
      <c r="K1653" s="0" t="str">
        <f aca="false">"3.63 %"</f>
        <v>3.63 %</v>
      </c>
      <c r="M1653" s="0" t="str">
        <f aca="false">"9.08 mA cm^{-2}"</f>
        <v>9.08 mA cm^{-2}</v>
      </c>
      <c r="O1653" s="0" t="s">
        <v>6115</v>
      </c>
    </row>
    <row r="1654" customFormat="false" ht="13.8" hidden="false" customHeight="false" outlineLevel="0" collapsed="false">
      <c r="A1654" s="0" t="s">
        <v>6116</v>
      </c>
      <c r="D1654" s="0" t="s">
        <v>1154</v>
      </c>
      <c r="F1654" s="0" t="s">
        <v>6117</v>
      </c>
      <c r="G1654" s="0" t="n">
        <v>1</v>
      </c>
      <c r="H1654" s="0" t="s">
        <v>27</v>
      </c>
      <c r="J1654" s="0" t="s">
        <v>40</v>
      </c>
      <c r="K1654" s="0" t="str">
        <f aca="false">"2.45 %"</f>
        <v>2.45 %</v>
      </c>
      <c r="O1654" s="0" t="s">
        <v>6118</v>
      </c>
    </row>
    <row r="1655" customFormat="false" ht="13.8" hidden="false" customHeight="false" outlineLevel="0" collapsed="false">
      <c r="A1655" s="0" t="s">
        <v>6119</v>
      </c>
      <c r="D1655" s="0" t="s">
        <v>6120</v>
      </c>
      <c r="F1655" s="0" t="s">
        <v>6121</v>
      </c>
      <c r="G1655" s="0" t="n">
        <v>0</v>
      </c>
      <c r="H1655" s="0" t="s">
        <v>599</v>
      </c>
      <c r="I1655" s="0" t="s">
        <v>600</v>
      </c>
      <c r="J1655" s="0" t="s">
        <v>601</v>
      </c>
      <c r="K1655" s="0" t="str">
        <f aca="false">"6.45 %"</f>
        <v>6.45 %</v>
      </c>
      <c r="O1655" s="0" t="s">
        <v>6122</v>
      </c>
    </row>
    <row r="1656" customFormat="false" ht="13.8" hidden="false" customHeight="false" outlineLevel="0" collapsed="false">
      <c r="A1656" s="0" t="s">
        <v>6123</v>
      </c>
      <c r="D1656" s="0" t="s">
        <v>1620</v>
      </c>
      <c r="E1656" s="0" t="s">
        <v>202</v>
      </c>
      <c r="F1656" s="0" t="s">
        <v>1621</v>
      </c>
      <c r="G1656" s="0" t="n">
        <v>0</v>
      </c>
      <c r="H1656" s="0" t="s">
        <v>6124</v>
      </c>
      <c r="J1656" s="0" t="s">
        <v>6125</v>
      </c>
      <c r="K1656" s="0" t="str">
        <f aca="false">"4.20 %"</f>
        <v>4.20 %</v>
      </c>
      <c r="O1656" s="0" t="s">
        <v>6126</v>
      </c>
    </row>
    <row r="1657" customFormat="false" ht="13.8" hidden="false" customHeight="false" outlineLevel="0" collapsed="false">
      <c r="A1657" s="0" t="s">
        <v>6123</v>
      </c>
      <c r="D1657" s="0" t="s">
        <v>1620</v>
      </c>
      <c r="E1657" s="0" t="s">
        <v>202</v>
      </c>
      <c r="F1657" s="0" t="s">
        <v>1621</v>
      </c>
      <c r="G1657" s="0" t="n">
        <v>0</v>
      </c>
      <c r="H1657" s="0" t="s">
        <v>6127</v>
      </c>
      <c r="J1657" s="0" t="s">
        <v>6128</v>
      </c>
      <c r="K1657" s="0" t="str">
        <f aca="false">"4.01 %"</f>
        <v>4.01 %</v>
      </c>
      <c r="O1657" s="0" t="s">
        <v>6129</v>
      </c>
    </row>
    <row r="1658" customFormat="false" ht="13.8" hidden="false" customHeight="false" outlineLevel="0" collapsed="false">
      <c r="A1658" s="0" t="s">
        <v>6130</v>
      </c>
      <c r="D1658" s="0" t="s">
        <v>16</v>
      </c>
      <c r="E1658" s="0" t="s">
        <v>17</v>
      </c>
      <c r="F1658" s="0" t="s">
        <v>116</v>
      </c>
      <c r="G1658" s="0" t="n">
        <v>0</v>
      </c>
      <c r="H1658" s="0" t="s">
        <v>6131</v>
      </c>
      <c r="J1658" s="0" t="s">
        <v>40</v>
      </c>
      <c r="O1658" s="0" t="s">
        <v>6132</v>
      </c>
    </row>
    <row r="1659" customFormat="false" ht="13.8" hidden="false" customHeight="false" outlineLevel="0" collapsed="false">
      <c r="A1659" s="0" t="s">
        <v>6130</v>
      </c>
      <c r="D1659" s="0" t="s">
        <v>6133</v>
      </c>
      <c r="F1659" s="0" t="s">
        <v>6134</v>
      </c>
      <c r="G1659" s="0" t="n">
        <v>0</v>
      </c>
      <c r="H1659" s="0" t="s">
        <v>6131</v>
      </c>
      <c r="J1659" s="0" t="s">
        <v>40</v>
      </c>
      <c r="K1659" s="0" t="str">
        <f aca="false">"1.25 %"</f>
        <v>1.25 %</v>
      </c>
      <c r="O1659" s="0" t="s">
        <v>6135</v>
      </c>
    </row>
    <row r="1660" customFormat="false" ht="13.8" hidden="false" customHeight="false" outlineLevel="0" collapsed="false">
      <c r="A1660" s="0" t="s">
        <v>6136</v>
      </c>
      <c r="D1660" s="0" t="s">
        <v>6137</v>
      </c>
      <c r="F1660" s="0" t="s">
        <v>6138</v>
      </c>
      <c r="G1660" s="0" t="n">
        <v>0</v>
      </c>
      <c r="H1660" s="0" t="s">
        <v>6139</v>
      </c>
      <c r="J1660" s="0" t="s">
        <v>40</v>
      </c>
      <c r="K1660" s="0" t="str">
        <f aca="false">"4.42 %"</f>
        <v>4.42 %</v>
      </c>
      <c r="O1660" s="0" t="s">
        <v>6140</v>
      </c>
    </row>
    <row r="1661" customFormat="false" ht="13.8" hidden="false" customHeight="false" outlineLevel="0" collapsed="false">
      <c r="A1661" s="0" t="s">
        <v>6136</v>
      </c>
      <c r="D1661" s="0" t="s">
        <v>4833</v>
      </c>
      <c r="F1661" s="0" t="s">
        <v>6138</v>
      </c>
      <c r="G1661" s="0" t="n">
        <v>0</v>
      </c>
      <c r="H1661" s="0" t="s">
        <v>6139</v>
      </c>
      <c r="J1661" s="0" t="s">
        <v>40</v>
      </c>
      <c r="M1661" s="0" t="str">
        <f aca="false">"8.48 mA cm^{-2}"</f>
        <v>8.48 mA cm^{-2}</v>
      </c>
      <c r="O1661" s="0" t="s">
        <v>6141</v>
      </c>
    </row>
    <row r="1662" customFormat="false" ht="13.8" hidden="false" customHeight="false" outlineLevel="0" collapsed="false">
      <c r="A1662" s="0" t="s">
        <v>6142</v>
      </c>
      <c r="D1662" s="0" t="s">
        <v>6143</v>
      </c>
      <c r="F1662" s="0" t="s">
        <v>6144</v>
      </c>
      <c r="G1662" s="0" t="n">
        <v>0</v>
      </c>
      <c r="H1662" s="0" t="s">
        <v>6145</v>
      </c>
      <c r="J1662" s="0" t="s">
        <v>6146</v>
      </c>
      <c r="K1662" s="0" t="str">
        <f aca="false">"4.91 %"</f>
        <v>4.91 %</v>
      </c>
      <c r="L1662" s="0" t="str">
        <f aca="false">"1.16 V"</f>
        <v>1.16 V</v>
      </c>
      <c r="O1662" s="0" t="s">
        <v>6147</v>
      </c>
    </row>
    <row r="1663" customFormat="false" ht="13.8" hidden="false" customHeight="false" outlineLevel="0" collapsed="false">
      <c r="A1663" s="0" t="s">
        <v>6148</v>
      </c>
      <c r="D1663" s="0" t="s">
        <v>6149</v>
      </c>
      <c r="F1663" s="0" t="s">
        <v>6150</v>
      </c>
      <c r="G1663" s="0" t="n">
        <v>0</v>
      </c>
      <c r="H1663" s="0" t="s">
        <v>6151</v>
      </c>
      <c r="J1663" s="0" t="s">
        <v>6152</v>
      </c>
      <c r="K1663" s="0" t="str">
        <f aca="false">"8.69 %"</f>
        <v>8.69 %</v>
      </c>
      <c r="L1663" s="0" t="str">
        <f aca="false">"0.93 V"</f>
        <v>0.93 V</v>
      </c>
      <c r="M1663" s="0" t="str">
        <f aca="false">"13.31 mA/cm^{2}"</f>
        <v>13.31 mA/cm^{2}</v>
      </c>
      <c r="N1663" s="0" t="str">
        <f aca="false">"0.702"</f>
        <v>0.702</v>
      </c>
      <c r="O1663" s="0" t="s">
        <v>6153</v>
      </c>
    </row>
    <row r="1664" customFormat="false" ht="13.8" hidden="false" customHeight="false" outlineLevel="0" collapsed="false">
      <c r="A1664" s="0" t="s">
        <v>6154</v>
      </c>
      <c r="D1664" s="0" t="s">
        <v>6155</v>
      </c>
      <c r="F1664" s="0" t="s">
        <v>6156</v>
      </c>
      <c r="G1664" s="0" t="n">
        <v>0</v>
      </c>
      <c r="H1664" s="0" t="s">
        <v>6157</v>
      </c>
      <c r="J1664" s="0" t="s">
        <v>40</v>
      </c>
      <c r="K1664" s="0" t="str">
        <f aca="false">"7.31 %"</f>
        <v>7.31 %</v>
      </c>
      <c r="L1664" s="0" t="str">
        <f aca="false">"0.804 V"</f>
        <v>0.804 V</v>
      </c>
      <c r="M1664" s="0" t="str">
        <f aca="false">"13.90 mA cm^{-2}"</f>
        <v>13.90 mA cm^{-2}</v>
      </c>
      <c r="N1664" s="0" t="str">
        <f aca="false">"65.42 %"</f>
        <v>65.42 %</v>
      </c>
      <c r="O1664" s="0" t="s">
        <v>6158</v>
      </c>
    </row>
    <row r="1665" customFormat="false" ht="13.8" hidden="false" customHeight="false" outlineLevel="0" collapsed="false">
      <c r="A1665" s="0" t="s">
        <v>6159</v>
      </c>
      <c r="D1665" s="0" t="s">
        <v>6160</v>
      </c>
      <c r="E1665" s="0" t="s">
        <v>6161</v>
      </c>
      <c r="F1665" s="0" t="s">
        <v>6162</v>
      </c>
      <c r="G1665" s="0" t="n">
        <v>0</v>
      </c>
      <c r="H1665" s="0" t="s">
        <v>6163</v>
      </c>
      <c r="J1665" s="0" t="s">
        <v>40</v>
      </c>
      <c r="K1665" s="0" t="str">
        <f aca="false">"9.70 %"</f>
        <v>9.70 %</v>
      </c>
      <c r="L1665" s="0" t="str">
        <f aca="false">"0.966 V"</f>
        <v>0.966 V</v>
      </c>
      <c r="O1665" s="0" t="s">
        <v>6164</v>
      </c>
    </row>
    <row r="1666" customFormat="false" ht="13.8" hidden="false" customHeight="false" outlineLevel="0" collapsed="false">
      <c r="A1666" s="0" t="s">
        <v>6159</v>
      </c>
      <c r="D1666" s="0" t="s">
        <v>6165</v>
      </c>
      <c r="F1666" s="0" t="s">
        <v>6166</v>
      </c>
      <c r="G1666" s="0" t="n">
        <v>0</v>
      </c>
      <c r="H1666" s="0" t="s">
        <v>6163</v>
      </c>
      <c r="J1666" s="0" t="s">
        <v>40</v>
      </c>
      <c r="L1666" s="0" t="str">
        <f aca="false">"0.859 V"</f>
        <v>0.859 V</v>
      </c>
      <c r="M1666" s="0" t="str">
        <f aca="false">"18.48 mA cm^{-2}"</f>
        <v>18.48 mA cm^{-2}</v>
      </c>
      <c r="N1666" s="0" t="str">
        <f aca="false">"66.1 %"</f>
        <v>66.1 %</v>
      </c>
      <c r="O1666" s="0" t="s">
        <v>6167</v>
      </c>
    </row>
    <row r="1667" customFormat="false" ht="13.8" hidden="false" customHeight="false" outlineLevel="0" collapsed="false">
      <c r="A1667" s="0" t="s">
        <v>6168</v>
      </c>
      <c r="D1667" s="0" t="s">
        <v>6169</v>
      </c>
      <c r="F1667" s="0" t="s">
        <v>40</v>
      </c>
      <c r="G1667" s="0" t="n">
        <v>1</v>
      </c>
      <c r="H1667" s="0" t="s">
        <v>76</v>
      </c>
      <c r="J1667" s="0" t="s">
        <v>40</v>
      </c>
      <c r="K1667" s="0" t="str">
        <f aca="false">"3.62 %"</f>
        <v>3.62 %</v>
      </c>
      <c r="L1667" s="0" t="str">
        <f aca="false">"0.79 V"</f>
        <v>0.79 V</v>
      </c>
      <c r="M1667" s="0" t="str">
        <f aca="false">"9.27 mA cm^{-2}"</f>
        <v>9.27 mA cm^{-2}</v>
      </c>
      <c r="N1667" s="0" t="str">
        <f aca="false">"49.7 %"</f>
        <v>49.7 %</v>
      </c>
      <c r="O1667" s="0" t="s">
        <v>6170</v>
      </c>
    </row>
    <row r="1668" customFormat="false" ht="13.8" hidden="false" customHeight="false" outlineLevel="0" collapsed="false">
      <c r="A1668" s="0" t="s">
        <v>6171</v>
      </c>
      <c r="D1668" s="0" t="s">
        <v>6172</v>
      </c>
      <c r="F1668" s="0" t="s">
        <v>6173</v>
      </c>
      <c r="G1668" s="0" t="n">
        <v>0</v>
      </c>
      <c r="H1668" s="0" t="s">
        <v>1472</v>
      </c>
      <c r="I1668" s="0" t="s">
        <v>6174</v>
      </c>
      <c r="J1668" s="0" t="s">
        <v>5341</v>
      </c>
      <c r="L1668" s="0" t="str">
        <f aca="false">"0.99 V"</f>
        <v>0.99 V</v>
      </c>
      <c r="O1668" s="0" t="s">
        <v>6175</v>
      </c>
    </row>
    <row r="1669" customFormat="false" ht="13.8" hidden="false" customHeight="false" outlineLevel="0" collapsed="false">
      <c r="A1669" s="0" t="s">
        <v>6171</v>
      </c>
      <c r="D1669" s="0" t="s">
        <v>6176</v>
      </c>
      <c r="F1669" s="0" t="s">
        <v>6177</v>
      </c>
      <c r="G1669" s="0" t="n">
        <v>0</v>
      </c>
      <c r="H1669" s="0" t="s">
        <v>1472</v>
      </c>
      <c r="I1669" s="0" t="s">
        <v>6174</v>
      </c>
      <c r="J1669" s="0" t="s">
        <v>5341</v>
      </c>
      <c r="K1669" s="0" t="str">
        <f aca="false">"7.18 %"</f>
        <v>7.18 %</v>
      </c>
      <c r="M1669" s="0" t="str">
        <f aca="false">"14.92 mA cm^{-2}"</f>
        <v>14.92 mA cm^{-2}</v>
      </c>
      <c r="O1669" s="0" t="s">
        <v>6178</v>
      </c>
    </row>
    <row r="1670" customFormat="false" ht="13.8" hidden="false" customHeight="false" outlineLevel="0" collapsed="false">
      <c r="A1670" s="0" t="s">
        <v>6179</v>
      </c>
      <c r="D1670" s="0" t="s">
        <v>6180</v>
      </c>
      <c r="F1670" s="0" t="s">
        <v>6181</v>
      </c>
      <c r="G1670" s="0" t="n">
        <v>1</v>
      </c>
      <c r="H1670" s="0" t="s">
        <v>27</v>
      </c>
      <c r="J1670" s="0" t="s">
        <v>28</v>
      </c>
      <c r="K1670" s="0" t="str">
        <f aca="false">"3.07 %"</f>
        <v>3.07 %</v>
      </c>
      <c r="O1670" s="0" t="s">
        <v>6182</v>
      </c>
    </row>
    <row r="1671" customFormat="false" ht="13.8" hidden="false" customHeight="false" outlineLevel="0" collapsed="false">
      <c r="A1671" s="0" t="s">
        <v>6183</v>
      </c>
      <c r="D1671" s="0" t="s">
        <v>6184</v>
      </c>
      <c r="F1671" s="0" t="s">
        <v>6185</v>
      </c>
      <c r="G1671" s="0" t="n">
        <v>0</v>
      </c>
      <c r="H1671" s="0" t="s">
        <v>6186</v>
      </c>
      <c r="J1671" s="0" t="s">
        <v>40</v>
      </c>
      <c r="K1671" s="0" t="str">
        <f aca="false">"2.33 %"</f>
        <v>2.33 %</v>
      </c>
      <c r="L1671" s="0" t="str">
        <f aca="false">"0.893 V"</f>
        <v>0.893 V</v>
      </c>
      <c r="N1671" s="0" t="str">
        <f aca="false">"45.18 %"</f>
        <v>45.18 %</v>
      </c>
      <c r="O1671" s="0" t="s">
        <v>6187</v>
      </c>
    </row>
    <row r="1672" customFormat="false" ht="13.8" hidden="false" customHeight="false" outlineLevel="0" collapsed="false">
      <c r="A1672" s="0" t="s">
        <v>6188</v>
      </c>
      <c r="D1672" s="0" t="s">
        <v>6189</v>
      </c>
      <c r="F1672" s="0" t="s">
        <v>6190</v>
      </c>
      <c r="G1672" s="0" t="n">
        <v>0</v>
      </c>
      <c r="H1672" s="0" t="s">
        <v>201</v>
      </c>
      <c r="I1672" s="0" t="s">
        <v>202</v>
      </c>
      <c r="J1672" s="0" t="s">
        <v>422</v>
      </c>
      <c r="K1672" s="0" t="str">
        <f aca="false">"5.20 %"</f>
        <v>5.20 %</v>
      </c>
      <c r="O1672" s="0" t="s">
        <v>6191</v>
      </c>
    </row>
    <row r="1673" customFormat="false" ht="13.8" hidden="false" customHeight="false" outlineLevel="0" collapsed="false">
      <c r="A1673" s="0" t="s">
        <v>6192</v>
      </c>
      <c r="D1673" s="0" t="s">
        <v>6193</v>
      </c>
      <c r="F1673" s="0" t="s">
        <v>6194</v>
      </c>
      <c r="G1673" s="0" t="n">
        <v>1</v>
      </c>
      <c r="H1673" s="0" t="s">
        <v>27</v>
      </c>
      <c r="J1673" s="0" t="s">
        <v>28</v>
      </c>
      <c r="K1673" s="0" t="str">
        <f aca="false">"9.79 %"</f>
        <v>9.79 %</v>
      </c>
      <c r="O1673" s="0" t="s">
        <v>6195</v>
      </c>
    </row>
    <row r="1674" customFormat="false" ht="13.8" hidden="false" customHeight="false" outlineLevel="0" collapsed="false">
      <c r="A1674" s="0" t="s">
        <v>6196</v>
      </c>
      <c r="D1674" s="0" t="s">
        <v>16</v>
      </c>
      <c r="E1674" s="0" t="s">
        <v>17</v>
      </c>
      <c r="F1674" s="0" t="s">
        <v>116</v>
      </c>
      <c r="G1674" s="0" t="n">
        <v>1</v>
      </c>
      <c r="H1674" s="0" t="s">
        <v>33</v>
      </c>
      <c r="J1674" s="0" t="s">
        <v>34</v>
      </c>
      <c r="K1674" s="0" t="str">
        <f aca="false">"3.21 %"</f>
        <v>3.21 %</v>
      </c>
      <c r="O1674" s="0" t="s">
        <v>6197</v>
      </c>
    </row>
    <row r="1675" customFormat="false" ht="13.8" hidden="false" customHeight="false" outlineLevel="0" collapsed="false">
      <c r="A1675" s="0" t="s">
        <v>6198</v>
      </c>
      <c r="D1675" s="0" t="s">
        <v>85</v>
      </c>
      <c r="E1675" s="0" t="s">
        <v>86</v>
      </c>
      <c r="F1675" s="0" t="s">
        <v>87</v>
      </c>
      <c r="G1675" s="0" t="n">
        <v>1</v>
      </c>
      <c r="H1675" s="0" t="s">
        <v>27</v>
      </c>
      <c r="J1675" s="0" t="s">
        <v>1799</v>
      </c>
      <c r="K1675" s="0" t="str">
        <f aca="false">"7.36 %"</f>
        <v>7.36 %</v>
      </c>
      <c r="O1675" s="0" t="s">
        <v>6199</v>
      </c>
    </row>
    <row r="1676" customFormat="false" ht="13.8" hidden="false" customHeight="false" outlineLevel="0" collapsed="false">
      <c r="A1676" s="0" t="s">
        <v>6200</v>
      </c>
      <c r="D1676" s="0" t="s">
        <v>6201</v>
      </c>
      <c r="F1676" s="0" t="s">
        <v>40</v>
      </c>
      <c r="G1676" s="0" t="n">
        <v>1</v>
      </c>
      <c r="H1676" s="0" t="s">
        <v>27</v>
      </c>
      <c r="J1676" s="0" t="s">
        <v>28</v>
      </c>
      <c r="K1676" s="0" t="str">
        <f aca="false">"7.11 %"</f>
        <v>7.11 %</v>
      </c>
      <c r="O1676" s="0" t="s">
        <v>6202</v>
      </c>
    </row>
    <row r="1677" customFormat="false" ht="13.8" hidden="false" customHeight="false" outlineLevel="0" collapsed="false">
      <c r="A1677" s="0" t="s">
        <v>6200</v>
      </c>
      <c r="D1677" s="0" t="s">
        <v>109</v>
      </c>
      <c r="E1677" s="0" t="s">
        <v>110</v>
      </c>
      <c r="F1677" s="0" t="s">
        <v>111</v>
      </c>
      <c r="G1677" s="0" t="n">
        <v>1</v>
      </c>
      <c r="H1677" s="0" t="s">
        <v>27</v>
      </c>
      <c r="J1677" s="0" t="s">
        <v>28</v>
      </c>
      <c r="K1677" s="0" t="str">
        <f aca="false">"5.50 %"</f>
        <v>5.50 %</v>
      </c>
      <c r="O1677" s="0" t="s">
        <v>6203</v>
      </c>
    </row>
    <row r="1678" customFormat="false" ht="13.8" hidden="false" customHeight="false" outlineLevel="0" collapsed="false">
      <c r="A1678" s="0" t="s">
        <v>6204</v>
      </c>
      <c r="D1678" s="0" t="s">
        <v>6205</v>
      </c>
      <c r="F1678" s="0" t="s">
        <v>6206</v>
      </c>
      <c r="G1678" s="0" t="n">
        <v>1</v>
      </c>
      <c r="H1678" s="0" t="s">
        <v>33</v>
      </c>
      <c r="J1678" s="0" t="s">
        <v>504</v>
      </c>
      <c r="K1678" s="0" t="str">
        <f aca="false">"0.32 %"</f>
        <v>0.32 %</v>
      </c>
      <c r="N1678" s="0" t="str">
        <f aca="false">"0.25"</f>
        <v>0.25</v>
      </c>
      <c r="O1678" s="0" t="s">
        <v>6207</v>
      </c>
    </row>
    <row r="1679" customFormat="false" ht="13.8" hidden="false" customHeight="false" outlineLevel="0" collapsed="false">
      <c r="A1679" s="0" t="s">
        <v>6208</v>
      </c>
      <c r="D1679" s="0" t="s">
        <v>6209</v>
      </c>
      <c r="F1679" s="0" t="s">
        <v>6210</v>
      </c>
      <c r="G1679" s="0" t="n">
        <v>1</v>
      </c>
      <c r="H1679" s="0" t="s">
        <v>27</v>
      </c>
      <c r="J1679" s="0" t="s">
        <v>28</v>
      </c>
      <c r="K1679" s="0" t="str">
        <f aca="false">"6.25 %"</f>
        <v>6.25 %</v>
      </c>
      <c r="O1679" s="0" t="s">
        <v>6211</v>
      </c>
    </row>
    <row r="1680" customFormat="false" ht="13.8" hidden="false" customHeight="false" outlineLevel="0" collapsed="false">
      <c r="A1680" s="0" t="s">
        <v>6212</v>
      </c>
      <c r="D1680" s="0" t="s">
        <v>6213</v>
      </c>
      <c r="F1680" s="0" t="s">
        <v>40</v>
      </c>
      <c r="G1680" s="0" t="n">
        <v>0</v>
      </c>
      <c r="H1680" s="0" t="s">
        <v>6214</v>
      </c>
      <c r="J1680" s="0" t="s">
        <v>40</v>
      </c>
      <c r="K1680" s="0" t="str">
        <f aca="false">"9 %"</f>
        <v>9 %</v>
      </c>
      <c r="L1680" s="0" t="str">
        <f aca="false">"0.86 V"</f>
        <v>0.86 V</v>
      </c>
      <c r="N1680" s="0" t="str">
        <f aca="false">"62.5 %"</f>
        <v>62.5 %</v>
      </c>
      <c r="O1680" s="0" t="s">
        <v>6215</v>
      </c>
    </row>
    <row r="1681" customFormat="false" ht="13.8" hidden="false" customHeight="false" outlineLevel="0" collapsed="false">
      <c r="A1681" s="0" t="s">
        <v>6212</v>
      </c>
      <c r="D1681" s="0" t="s">
        <v>6216</v>
      </c>
      <c r="F1681" s="0" t="s">
        <v>6217</v>
      </c>
      <c r="G1681" s="0" t="n">
        <v>0</v>
      </c>
      <c r="H1681" s="0" t="s">
        <v>6214</v>
      </c>
      <c r="J1681" s="0" t="s">
        <v>40</v>
      </c>
      <c r="M1681" s="0" t="str">
        <f aca="false">"16.84 mA/cm^{2}"</f>
        <v>16.84 mA/cm^{2}</v>
      </c>
      <c r="O1681" s="0" t="s">
        <v>6218</v>
      </c>
    </row>
    <row r="1682" customFormat="false" ht="13.8" hidden="false" customHeight="false" outlineLevel="0" collapsed="false">
      <c r="A1682" s="0" t="s">
        <v>6219</v>
      </c>
      <c r="D1682" s="0" t="s">
        <v>16</v>
      </c>
      <c r="E1682" s="0" t="s">
        <v>17</v>
      </c>
      <c r="F1682" s="0" t="s">
        <v>3521</v>
      </c>
      <c r="G1682" s="0" t="n">
        <v>1</v>
      </c>
      <c r="H1682" s="0" t="s">
        <v>76</v>
      </c>
      <c r="J1682" s="0" t="s">
        <v>77</v>
      </c>
      <c r="K1682" s="0" t="str">
        <f aca="false">"5.34 %"</f>
        <v>5.34 %</v>
      </c>
      <c r="L1682" s="0" t="str">
        <f aca="false">"0.80 V"</f>
        <v>0.80 V</v>
      </c>
      <c r="O1682" s="0" t="s">
        <v>6220</v>
      </c>
    </row>
    <row r="1683" customFormat="false" ht="13.8" hidden="false" customHeight="false" outlineLevel="0" collapsed="false">
      <c r="A1683" s="0" t="s">
        <v>6221</v>
      </c>
      <c r="D1683" s="0" t="s">
        <v>6222</v>
      </c>
      <c r="E1683" s="0" t="s">
        <v>600</v>
      </c>
      <c r="F1683" s="0" t="s">
        <v>6223</v>
      </c>
      <c r="G1683" s="0" t="n">
        <v>0</v>
      </c>
      <c r="H1683" s="0" t="s">
        <v>599</v>
      </c>
      <c r="I1683" s="0" t="s">
        <v>600</v>
      </c>
      <c r="J1683" s="0" t="s">
        <v>601</v>
      </c>
      <c r="K1683" s="0" t="str">
        <f aca="false">"9.94 %"</f>
        <v>9.94 %</v>
      </c>
      <c r="M1683" s="0" t="str">
        <f aca="false">"16.92 mA/cm^{2}"</f>
        <v>16.92 mA/cm^{2}</v>
      </c>
      <c r="N1683" s="0" t="str">
        <f aca="false">"0.655"</f>
        <v>0.655</v>
      </c>
      <c r="O1683" s="0" t="s">
        <v>6224</v>
      </c>
    </row>
    <row r="1684" customFormat="false" ht="13.8" hidden="false" customHeight="false" outlineLevel="0" collapsed="false">
      <c r="A1684" s="0" t="s">
        <v>6225</v>
      </c>
      <c r="D1684" s="0" t="s">
        <v>6226</v>
      </c>
      <c r="F1684" s="0" t="s">
        <v>6227</v>
      </c>
      <c r="G1684" s="0" t="n">
        <v>0</v>
      </c>
      <c r="H1684" s="0" t="s">
        <v>6228</v>
      </c>
      <c r="I1684" s="0" t="s">
        <v>1169</v>
      </c>
      <c r="J1684" s="0" t="s">
        <v>6229</v>
      </c>
      <c r="K1684" s="0" t="str">
        <f aca="false">"3.60 %"</f>
        <v>3.60 %</v>
      </c>
      <c r="O1684" s="0" t="s">
        <v>6230</v>
      </c>
    </row>
    <row r="1685" customFormat="false" ht="13.8" hidden="false" customHeight="false" outlineLevel="0" collapsed="false">
      <c r="A1685" s="0" t="s">
        <v>6231</v>
      </c>
      <c r="D1685" s="0" t="s">
        <v>510</v>
      </c>
      <c r="E1685" s="0" t="s">
        <v>511</v>
      </c>
      <c r="F1685" s="0" t="s">
        <v>6232</v>
      </c>
      <c r="G1685" s="0" t="n">
        <v>1</v>
      </c>
      <c r="H1685" s="0" t="s">
        <v>76</v>
      </c>
      <c r="J1685" s="0" t="s">
        <v>77</v>
      </c>
      <c r="K1685" s="0" t="str">
        <f aca="false">"1.35 %"</f>
        <v>1.35 %</v>
      </c>
      <c r="O1685" s="0" t="s">
        <v>6233</v>
      </c>
    </row>
    <row r="1686" customFormat="false" ht="13.8" hidden="false" customHeight="false" outlineLevel="0" collapsed="false">
      <c r="A1686" s="0" t="s">
        <v>6234</v>
      </c>
      <c r="D1686" s="0" t="s">
        <v>85</v>
      </c>
      <c r="E1686" s="0" t="s">
        <v>86</v>
      </c>
      <c r="F1686" s="0" t="s">
        <v>87</v>
      </c>
      <c r="G1686" s="0" t="n">
        <v>1</v>
      </c>
      <c r="H1686" s="0" t="s">
        <v>33</v>
      </c>
      <c r="J1686" s="0" t="s">
        <v>34</v>
      </c>
      <c r="K1686" s="0" t="str">
        <f aca="false">"8.03 %"</f>
        <v>8.03 %</v>
      </c>
      <c r="O1686" s="0" t="s">
        <v>6235</v>
      </c>
    </row>
    <row r="1687" customFormat="false" ht="13.8" hidden="false" customHeight="false" outlineLevel="0" collapsed="false">
      <c r="A1687" s="0" t="s">
        <v>6236</v>
      </c>
      <c r="D1687" s="0" t="s">
        <v>208</v>
      </c>
      <c r="E1687" s="0" t="s">
        <v>17</v>
      </c>
      <c r="F1687" s="0" t="s">
        <v>209</v>
      </c>
      <c r="G1687" s="0" t="n">
        <v>1</v>
      </c>
      <c r="H1687" s="0" t="s">
        <v>33</v>
      </c>
      <c r="J1687" s="0" t="s">
        <v>34</v>
      </c>
      <c r="K1687" s="0" t="str">
        <f aca="false">"2.31 %"</f>
        <v>2.31 %</v>
      </c>
      <c r="L1687" s="0" t="str">
        <f aca="false">"0.60 V"</f>
        <v>0.60 V</v>
      </c>
      <c r="M1687" s="0" t="str">
        <f aca="false">"9.39 mA/cm^{2}"</f>
        <v>9.39 mA/cm^{2}</v>
      </c>
      <c r="N1687" s="0" t="str">
        <f aca="false">"41.0 %"</f>
        <v>41.0 %</v>
      </c>
      <c r="O1687" s="0" t="s">
        <v>6237</v>
      </c>
    </row>
    <row r="1688" customFormat="false" ht="13.8" hidden="false" customHeight="false" outlineLevel="0" collapsed="false">
      <c r="A1688" s="0" t="s">
        <v>6238</v>
      </c>
      <c r="D1688" s="0" t="s">
        <v>85</v>
      </c>
      <c r="E1688" s="0" t="s">
        <v>86</v>
      </c>
      <c r="F1688" s="0" t="s">
        <v>726</v>
      </c>
      <c r="G1688" s="0" t="n">
        <v>1</v>
      </c>
      <c r="H1688" s="0" t="s">
        <v>27</v>
      </c>
      <c r="J1688" s="0" t="s">
        <v>28</v>
      </c>
      <c r="K1688" s="0" t="str">
        <f aca="false">"9.06 %"</f>
        <v>9.06 %</v>
      </c>
      <c r="M1688" s="0" t="str">
        <f aca="false">"16.53 mA/cm^{2}"</f>
        <v>16.53 mA/cm^{2}</v>
      </c>
      <c r="N1688" s="0" t="str">
        <f aca="false">"73.1 %"</f>
        <v>73.1 %</v>
      </c>
      <c r="O1688" s="0" t="s">
        <v>6239</v>
      </c>
    </row>
    <row r="1689" customFormat="false" ht="13.8" hidden="false" customHeight="false" outlineLevel="0" collapsed="false">
      <c r="A1689" s="0" t="s">
        <v>6240</v>
      </c>
      <c r="D1689" s="0" t="s">
        <v>16</v>
      </c>
      <c r="E1689" s="0" t="s">
        <v>17</v>
      </c>
      <c r="F1689" s="0" t="s">
        <v>116</v>
      </c>
      <c r="G1689" s="0" t="n">
        <v>1</v>
      </c>
      <c r="H1689" s="0" t="s">
        <v>76</v>
      </c>
      <c r="J1689" s="0" t="s">
        <v>77</v>
      </c>
      <c r="K1689" s="0" t="str">
        <f aca="false">"4.22 %"</f>
        <v>4.22 %</v>
      </c>
      <c r="O1689" s="0" t="s">
        <v>6241</v>
      </c>
    </row>
    <row r="1690" customFormat="false" ht="13.8" hidden="false" customHeight="false" outlineLevel="0" collapsed="false">
      <c r="A1690" s="0" t="s">
        <v>6242</v>
      </c>
      <c r="D1690" s="0" t="s">
        <v>16</v>
      </c>
      <c r="E1690" s="0" t="s">
        <v>17</v>
      </c>
      <c r="F1690" s="0" t="s">
        <v>18</v>
      </c>
      <c r="G1690" s="0" t="n">
        <v>1</v>
      </c>
      <c r="H1690" s="0" t="s">
        <v>76</v>
      </c>
      <c r="J1690" s="0" t="s">
        <v>77</v>
      </c>
      <c r="K1690" s="0" t="str">
        <f aca="false">"5.16 %"</f>
        <v>5.16 %</v>
      </c>
      <c r="O1690" s="0" t="s">
        <v>6243</v>
      </c>
    </row>
    <row r="1691" customFormat="false" ht="13.8" hidden="false" customHeight="false" outlineLevel="0" collapsed="false">
      <c r="A1691" s="0" t="s">
        <v>6244</v>
      </c>
      <c r="D1691" s="0" t="s">
        <v>85</v>
      </c>
      <c r="E1691" s="0" t="s">
        <v>86</v>
      </c>
      <c r="F1691" s="0" t="s">
        <v>87</v>
      </c>
      <c r="G1691" s="0" t="n">
        <v>0</v>
      </c>
      <c r="H1691" s="0" t="s">
        <v>6245</v>
      </c>
      <c r="J1691" s="0" t="s">
        <v>6246</v>
      </c>
      <c r="K1691" s="0" t="str">
        <f aca="false">"7.24 %"</f>
        <v>7.24 %</v>
      </c>
      <c r="O1691" s="0" t="s">
        <v>6247</v>
      </c>
    </row>
    <row r="1692" customFormat="false" ht="13.8" hidden="false" customHeight="false" outlineLevel="0" collapsed="false">
      <c r="A1692" s="0" t="s">
        <v>6248</v>
      </c>
      <c r="D1692" s="0" t="s">
        <v>16</v>
      </c>
      <c r="E1692" s="0" t="s">
        <v>17</v>
      </c>
      <c r="F1692" s="0" t="s">
        <v>18</v>
      </c>
      <c r="G1692" s="0" t="n">
        <v>1</v>
      </c>
      <c r="H1692" s="0" t="s">
        <v>33</v>
      </c>
      <c r="J1692" s="0" t="s">
        <v>398</v>
      </c>
      <c r="K1692" s="0" t="str">
        <f aca="false">"1.12 %"</f>
        <v>1.12 %</v>
      </c>
      <c r="L1692" s="0" t="str">
        <f aca="false">"0.50 V"</f>
        <v>0.50 V</v>
      </c>
      <c r="O1692" s="0" t="s">
        <v>6249</v>
      </c>
    </row>
    <row r="1693" customFormat="false" ht="13.8" hidden="false" customHeight="false" outlineLevel="0" collapsed="false">
      <c r="A1693" s="0" t="s">
        <v>6250</v>
      </c>
      <c r="D1693" s="0" t="s">
        <v>16</v>
      </c>
      <c r="E1693" s="0" t="s">
        <v>17</v>
      </c>
      <c r="F1693" s="0" t="s">
        <v>1839</v>
      </c>
      <c r="G1693" s="0" t="n">
        <v>1</v>
      </c>
      <c r="H1693" s="0" t="s">
        <v>33</v>
      </c>
      <c r="J1693" s="0" t="s">
        <v>34</v>
      </c>
      <c r="K1693" s="0" t="str">
        <f aca="false">"3.7 %"</f>
        <v>3.7 %</v>
      </c>
      <c r="O1693" s="0" t="s">
        <v>6251</v>
      </c>
    </row>
    <row r="1694" customFormat="false" ht="13.8" hidden="false" customHeight="false" outlineLevel="0" collapsed="false">
      <c r="A1694" s="0" t="s">
        <v>6252</v>
      </c>
      <c r="D1694" s="0" t="s">
        <v>6253</v>
      </c>
      <c r="E1694" s="0" t="s">
        <v>1169</v>
      </c>
      <c r="F1694" s="0" t="s">
        <v>6254</v>
      </c>
      <c r="G1694" s="0" t="n">
        <v>1</v>
      </c>
      <c r="H1694" s="0" t="s">
        <v>33</v>
      </c>
      <c r="J1694" s="0" t="s">
        <v>6255</v>
      </c>
      <c r="K1694" s="0" t="str">
        <f aca="false">"3 %"</f>
        <v>3 %</v>
      </c>
      <c r="O1694" s="0" t="s">
        <v>6256</v>
      </c>
    </row>
    <row r="1695" customFormat="false" ht="13.8" hidden="false" customHeight="false" outlineLevel="0" collapsed="false">
      <c r="A1695" s="0" t="s">
        <v>6257</v>
      </c>
      <c r="D1695" s="0" t="s">
        <v>6258</v>
      </c>
      <c r="F1695" s="0" t="s">
        <v>6259</v>
      </c>
      <c r="G1695" s="0" t="n">
        <v>1</v>
      </c>
      <c r="H1695" s="0" t="s">
        <v>543</v>
      </c>
      <c r="J1695" s="0" t="s">
        <v>40</v>
      </c>
      <c r="K1695" s="0" t="str">
        <f aca="false">"1.08 %"</f>
        <v>1.08 %</v>
      </c>
      <c r="O1695" s="0" t="s">
        <v>6260</v>
      </c>
    </row>
    <row r="1696" customFormat="false" ht="13.8" hidden="false" customHeight="false" outlineLevel="0" collapsed="false">
      <c r="A1696" s="0" t="s">
        <v>6261</v>
      </c>
      <c r="D1696" s="0" t="s">
        <v>6262</v>
      </c>
      <c r="E1696" s="0" t="s">
        <v>2149</v>
      </c>
      <c r="F1696" s="0" t="s">
        <v>6263</v>
      </c>
      <c r="G1696" s="0" t="n">
        <v>0</v>
      </c>
      <c r="H1696" s="0" t="s">
        <v>6264</v>
      </c>
      <c r="J1696" s="0" t="s">
        <v>40</v>
      </c>
      <c r="K1696" s="0" t="str">
        <f aca="false">"3.09 %"</f>
        <v>3.09 %</v>
      </c>
      <c r="L1696" s="0" t="str">
        <f aca="false">"0.63 V"</f>
        <v>0.63 V</v>
      </c>
      <c r="N1696" s="0" t="str">
        <f aca="false">"0.58"</f>
        <v>0.58</v>
      </c>
      <c r="O1696" s="0" t="s">
        <v>6265</v>
      </c>
    </row>
    <row r="1697" customFormat="false" ht="13.8" hidden="false" customHeight="false" outlineLevel="0" collapsed="false">
      <c r="A1697" s="0" t="s">
        <v>6266</v>
      </c>
      <c r="D1697" s="0" t="s">
        <v>510</v>
      </c>
      <c r="E1697" s="0" t="s">
        <v>511</v>
      </c>
      <c r="F1697" s="0" t="s">
        <v>6267</v>
      </c>
      <c r="G1697" s="0" t="n">
        <v>1</v>
      </c>
      <c r="H1697" s="0" t="s">
        <v>33</v>
      </c>
      <c r="J1697" s="0" t="s">
        <v>34</v>
      </c>
      <c r="K1697" s="0" t="str">
        <f aca="false">"1.02 ± 0.07 %"</f>
        <v>1.02 ± 0.07 %</v>
      </c>
      <c r="L1697" s="0" t="str">
        <f aca="false">"0.53 ± 0.03 V"</f>
        <v>0.53 ± 0.03 V</v>
      </c>
      <c r="N1697" s="0" t="str">
        <f aca="false">"0.50 ± 0.03"</f>
        <v>0.50 ± 0.03</v>
      </c>
      <c r="O1697" s="0" t="s">
        <v>6268</v>
      </c>
    </row>
    <row r="1698" customFormat="false" ht="13.8" hidden="false" customHeight="false" outlineLevel="0" collapsed="false">
      <c r="A1698" s="0" t="s">
        <v>6269</v>
      </c>
      <c r="D1698" s="0" t="s">
        <v>6270</v>
      </c>
      <c r="F1698" s="0" t="s">
        <v>6271</v>
      </c>
      <c r="G1698" s="0" t="n">
        <v>1</v>
      </c>
      <c r="H1698" s="0" t="s">
        <v>33</v>
      </c>
      <c r="J1698" s="0" t="s">
        <v>6272</v>
      </c>
      <c r="K1698" s="0" t="str">
        <f aca="false">"9.2 %"</f>
        <v>9.2 %</v>
      </c>
      <c r="O1698" s="0" t="s">
        <v>6273</v>
      </c>
    </row>
    <row r="1699" customFormat="false" ht="13.8" hidden="false" customHeight="false" outlineLevel="0" collapsed="false">
      <c r="A1699" s="0" t="s">
        <v>6274</v>
      </c>
      <c r="D1699" s="0" t="s">
        <v>1208</v>
      </c>
      <c r="E1699" s="0" t="s">
        <v>17</v>
      </c>
      <c r="F1699" s="0" t="s">
        <v>3521</v>
      </c>
      <c r="G1699" s="0" t="n">
        <v>1</v>
      </c>
      <c r="H1699" s="0" t="s">
        <v>33</v>
      </c>
      <c r="J1699" s="0" t="s">
        <v>34</v>
      </c>
      <c r="K1699" s="0" t="str">
        <f aca="false">"3.6 %"</f>
        <v>3.6 %</v>
      </c>
      <c r="O1699" s="0" t="s">
        <v>6275</v>
      </c>
    </row>
    <row r="1700" customFormat="false" ht="13.8" hidden="false" customHeight="false" outlineLevel="0" collapsed="false">
      <c r="A1700" s="0" t="s">
        <v>6276</v>
      </c>
      <c r="D1700" s="0" t="s">
        <v>208</v>
      </c>
      <c r="E1700" s="0" t="s">
        <v>17</v>
      </c>
      <c r="F1700" s="0" t="s">
        <v>209</v>
      </c>
      <c r="G1700" s="0" t="n">
        <v>0</v>
      </c>
      <c r="H1700" s="0" t="s">
        <v>6277</v>
      </c>
      <c r="J1700" s="0" t="s">
        <v>6278</v>
      </c>
      <c r="K1700" s="0" t="str">
        <f aca="false">"4.40 %"</f>
        <v>4.40 %</v>
      </c>
      <c r="O1700" s="0" t="s">
        <v>6279</v>
      </c>
    </row>
    <row r="1701" customFormat="false" ht="13.8" hidden="false" customHeight="false" outlineLevel="0" collapsed="false">
      <c r="A1701" s="0" t="s">
        <v>6280</v>
      </c>
      <c r="D1701" s="0" t="s">
        <v>31</v>
      </c>
      <c r="E1701" s="0" t="s">
        <v>17</v>
      </c>
      <c r="F1701" s="0" t="s">
        <v>32</v>
      </c>
      <c r="G1701" s="0" t="n">
        <v>1</v>
      </c>
      <c r="H1701" s="0" t="s">
        <v>33</v>
      </c>
      <c r="J1701" s="0" t="s">
        <v>34</v>
      </c>
      <c r="K1701" s="0" t="str">
        <f aca="false">"4.5 %"</f>
        <v>4.5 %</v>
      </c>
      <c r="O1701" s="0" t="s">
        <v>6281</v>
      </c>
    </row>
    <row r="1702" customFormat="false" ht="13.8" hidden="false" customHeight="false" outlineLevel="0" collapsed="false">
      <c r="A1702" s="0" t="s">
        <v>6282</v>
      </c>
      <c r="D1702" s="0" t="s">
        <v>208</v>
      </c>
      <c r="E1702" s="0" t="s">
        <v>17</v>
      </c>
      <c r="F1702" s="0" t="s">
        <v>209</v>
      </c>
      <c r="G1702" s="0" t="n">
        <v>1</v>
      </c>
      <c r="H1702" s="0" t="s">
        <v>526</v>
      </c>
      <c r="J1702" s="0" t="s">
        <v>3518</v>
      </c>
      <c r="K1702" s="0" t="str">
        <f aca="false">"3.0 %"</f>
        <v>3.0 %</v>
      </c>
      <c r="N1702" s="0" t="str">
        <f aca="false">"0.59"</f>
        <v>0.59</v>
      </c>
      <c r="O1702" s="0" t="s">
        <v>6283</v>
      </c>
    </row>
    <row r="1703" customFormat="false" ht="13.8" hidden="false" customHeight="false" outlineLevel="0" collapsed="false">
      <c r="A1703" s="0" t="s">
        <v>6284</v>
      </c>
      <c r="D1703" s="0" t="s">
        <v>16</v>
      </c>
      <c r="E1703" s="0" t="s">
        <v>17</v>
      </c>
      <c r="F1703" s="0" t="s">
        <v>18</v>
      </c>
      <c r="G1703" s="0" t="n">
        <v>1</v>
      </c>
      <c r="H1703" s="0" t="s">
        <v>33</v>
      </c>
      <c r="J1703" s="0" t="s">
        <v>34</v>
      </c>
      <c r="K1703" s="0" t="str">
        <f aca="false">"1.68 %"</f>
        <v>1.68 %</v>
      </c>
      <c r="L1703" s="0" t="str">
        <f aca="false">"0.71 V"</f>
        <v>0.71 V</v>
      </c>
      <c r="M1703" s="0" t="str">
        <f aca="false">"4.16 mA/cm^{2}"</f>
        <v>4.16 mA/cm^{2}</v>
      </c>
      <c r="N1703" s="0" t="str">
        <f aca="false">"0.57"</f>
        <v>0.57</v>
      </c>
      <c r="O1703" s="0" t="s">
        <v>6285</v>
      </c>
    </row>
    <row r="1704" customFormat="false" ht="13.8" hidden="false" customHeight="false" outlineLevel="0" collapsed="false">
      <c r="A1704" s="0" t="s">
        <v>6286</v>
      </c>
      <c r="D1704" s="0" t="s">
        <v>208</v>
      </c>
      <c r="E1704" s="0" t="s">
        <v>17</v>
      </c>
      <c r="F1704" s="0" t="s">
        <v>209</v>
      </c>
      <c r="G1704" s="0" t="n">
        <v>1</v>
      </c>
      <c r="H1704" s="0" t="s">
        <v>33</v>
      </c>
      <c r="J1704" s="0" t="s">
        <v>34</v>
      </c>
      <c r="K1704" s="0" t="str">
        <f aca="false">"2.83 %"</f>
        <v>2.83 %</v>
      </c>
      <c r="L1704" s="0" t="str">
        <f aca="false">"0.62 V"</f>
        <v>0.62 V</v>
      </c>
      <c r="N1704" s="0" t="str">
        <f aca="false">"0.53"</f>
        <v>0.53</v>
      </c>
      <c r="O1704" s="0" t="s">
        <v>6287</v>
      </c>
    </row>
    <row r="1705" customFormat="false" ht="13.8" hidden="false" customHeight="false" outlineLevel="0" collapsed="false">
      <c r="A1705" s="0" t="s">
        <v>6286</v>
      </c>
      <c r="D1705" s="0" t="s">
        <v>6288</v>
      </c>
      <c r="F1705" s="0" t="s">
        <v>6289</v>
      </c>
      <c r="G1705" s="0" t="n">
        <v>1</v>
      </c>
      <c r="H1705" s="0" t="s">
        <v>33</v>
      </c>
      <c r="J1705" s="0" t="s">
        <v>34</v>
      </c>
      <c r="M1705" s="0" t="str">
        <f aca="false">"8.60 mA/cm^{2}"</f>
        <v>8.60 mA/cm^{2}</v>
      </c>
      <c r="O1705" s="0" t="s">
        <v>6290</v>
      </c>
    </row>
    <row r="1706" customFormat="false" ht="13.8" hidden="false" customHeight="false" outlineLevel="0" collapsed="false">
      <c r="A1706" s="0" t="s">
        <v>6291</v>
      </c>
      <c r="D1706" s="0" t="s">
        <v>16</v>
      </c>
      <c r="E1706" s="0" t="s">
        <v>17</v>
      </c>
      <c r="F1706" s="0" t="s">
        <v>101</v>
      </c>
      <c r="G1706" s="0" t="n">
        <v>1</v>
      </c>
      <c r="H1706" s="0" t="s">
        <v>33</v>
      </c>
      <c r="J1706" s="0" t="s">
        <v>4390</v>
      </c>
      <c r="K1706" s="0" t="str">
        <f aca="false">"3.28 %"</f>
        <v>3.28 %</v>
      </c>
      <c r="O1706" s="0" t="s">
        <v>6292</v>
      </c>
    </row>
    <row r="1707" customFormat="false" ht="13.8" hidden="false" customHeight="false" outlineLevel="0" collapsed="false">
      <c r="A1707" s="0" t="s">
        <v>6293</v>
      </c>
      <c r="D1707" s="0" t="s">
        <v>6294</v>
      </c>
      <c r="F1707" s="0" t="s">
        <v>6295</v>
      </c>
      <c r="G1707" s="0" t="n">
        <v>1</v>
      </c>
      <c r="H1707" s="0" t="s">
        <v>1017</v>
      </c>
      <c r="J1707" s="0" t="s">
        <v>1832</v>
      </c>
      <c r="K1707" s="0" t="str">
        <f aca="false">"7 %"</f>
        <v>7 %</v>
      </c>
      <c r="N1707" s="0" t="str">
        <f aca="false">"71 %"</f>
        <v>71 %</v>
      </c>
      <c r="O1707" s="0" t="s">
        <v>6296</v>
      </c>
    </row>
    <row r="1708" customFormat="false" ht="13.8" hidden="false" customHeight="false" outlineLevel="0" collapsed="false">
      <c r="A1708" s="0" t="s">
        <v>6297</v>
      </c>
      <c r="D1708" s="0" t="s">
        <v>16</v>
      </c>
      <c r="E1708" s="0" t="s">
        <v>17</v>
      </c>
      <c r="F1708" s="0" t="s">
        <v>116</v>
      </c>
      <c r="G1708" s="0" t="n">
        <v>1</v>
      </c>
      <c r="H1708" s="0" t="s">
        <v>33</v>
      </c>
      <c r="J1708" s="0" t="s">
        <v>40</v>
      </c>
      <c r="K1708" s="0" t="str">
        <f aca="false">"3.5 %"</f>
        <v>3.5 %</v>
      </c>
      <c r="O1708" s="0" t="s">
        <v>6298</v>
      </c>
    </row>
    <row r="1709" customFormat="false" ht="13.8" hidden="false" customHeight="false" outlineLevel="0" collapsed="false">
      <c r="A1709" s="0" t="s">
        <v>6299</v>
      </c>
      <c r="D1709" s="0" t="s">
        <v>6300</v>
      </c>
      <c r="F1709" s="0" t="s">
        <v>6301</v>
      </c>
      <c r="G1709" s="0" t="n">
        <v>0</v>
      </c>
      <c r="H1709" s="0" t="s">
        <v>6302</v>
      </c>
      <c r="J1709" s="0" t="s">
        <v>40</v>
      </c>
      <c r="K1709" s="0" t="str">
        <f aca="false">"6.21 %"</f>
        <v>6.21 %</v>
      </c>
      <c r="O1709" s="0" t="s">
        <v>6303</v>
      </c>
    </row>
    <row r="1710" customFormat="false" ht="13.8" hidden="false" customHeight="false" outlineLevel="0" collapsed="false">
      <c r="A1710" s="0" t="s">
        <v>6304</v>
      </c>
      <c r="D1710" s="0" t="s">
        <v>6305</v>
      </c>
      <c r="F1710" s="0" t="s">
        <v>6306</v>
      </c>
      <c r="G1710" s="0" t="n">
        <v>1</v>
      </c>
      <c r="H1710" s="0" t="s">
        <v>152</v>
      </c>
      <c r="J1710" s="0" t="s">
        <v>40</v>
      </c>
      <c r="K1710" s="0" t="str">
        <f aca="false">"1.30 %"</f>
        <v>1.30 %</v>
      </c>
      <c r="O1710" s="0" t="s">
        <v>6307</v>
      </c>
    </row>
    <row r="1711" customFormat="false" ht="13.8" hidden="false" customHeight="false" outlineLevel="0" collapsed="false">
      <c r="A1711" s="0" t="s">
        <v>6308</v>
      </c>
      <c r="D1711" s="0" t="s">
        <v>16</v>
      </c>
      <c r="E1711" s="0" t="s">
        <v>17</v>
      </c>
      <c r="F1711" s="0" t="s">
        <v>116</v>
      </c>
      <c r="G1711" s="0" t="n">
        <v>1</v>
      </c>
      <c r="H1711" s="0" t="s">
        <v>33</v>
      </c>
      <c r="J1711" s="0" t="s">
        <v>34</v>
      </c>
      <c r="K1711" s="0" t="str">
        <f aca="false">"2.87 %"</f>
        <v>2.87 %</v>
      </c>
      <c r="M1711" s="0" t="str">
        <f aca="false">"10.40 mA/cm^{2}"</f>
        <v>10.40 mA/cm^{2}</v>
      </c>
      <c r="O1711" s="0" t="s">
        <v>6309</v>
      </c>
    </row>
    <row r="1712" customFormat="false" ht="13.8" hidden="false" customHeight="false" outlineLevel="0" collapsed="false">
      <c r="A1712" s="0" t="s">
        <v>6310</v>
      </c>
      <c r="D1712" s="0" t="s">
        <v>16</v>
      </c>
      <c r="E1712" s="0" t="s">
        <v>17</v>
      </c>
      <c r="F1712" s="0" t="s">
        <v>101</v>
      </c>
      <c r="G1712" s="0" t="n">
        <v>0</v>
      </c>
      <c r="H1712" s="0" t="s">
        <v>6311</v>
      </c>
      <c r="J1712" s="0" t="s">
        <v>6312</v>
      </c>
      <c r="K1712" s="0" t="str">
        <f aca="false">"0.42 %"</f>
        <v>0.42 %</v>
      </c>
      <c r="O1712" s="0" t="s">
        <v>6313</v>
      </c>
    </row>
    <row r="1713" customFormat="false" ht="13.8" hidden="false" customHeight="false" outlineLevel="0" collapsed="false">
      <c r="A1713" s="0" t="s">
        <v>6314</v>
      </c>
      <c r="B1713" s="0" t="n">
        <v>1</v>
      </c>
      <c r="D1713" s="0" t="s">
        <v>1056</v>
      </c>
      <c r="E1713" s="0" t="s">
        <v>5313</v>
      </c>
      <c r="F1713" s="0" t="s">
        <v>5314</v>
      </c>
      <c r="G1713" s="0" t="n">
        <v>1</v>
      </c>
      <c r="H1713" s="0" t="s">
        <v>76</v>
      </c>
      <c r="J1713" s="0" t="s">
        <v>6315</v>
      </c>
      <c r="K1713" s="0" t="str">
        <f aca="false">"2.52 %"</f>
        <v>2.52 %</v>
      </c>
      <c r="L1713" s="0" t="str">
        <f aca="false">"570-610 mV"</f>
        <v>570-610 mV</v>
      </c>
      <c r="O1713" s="0" t="s">
        <v>6316</v>
      </c>
    </row>
    <row r="1714" customFormat="false" ht="13.8" hidden="false" customHeight="false" outlineLevel="0" collapsed="false">
      <c r="A1714" s="0" t="s">
        <v>6317</v>
      </c>
      <c r="D1714" s="0" t="s">
        <v>6318</v>
      </c>
      <c r="F1714" s="0" t="s">
        <v>6319</v>
      </c>
      <c r="G1714" s="0" t="n">
        <v>1</v>
      </c>
      <c r="H1714" s="0" t="s">
        <v>27</v>
      </c>
      <c r="J1714" s="0" t="s">
        <v>28</v>
      </c>
      <c r="K1714" s="0" t="str">
        <f aca="false">"6.7 %"</f>
        <v>6.7 %</v>
      </c>
      <c r="O1714" s="0" t="s">
        <v>6320</v>
      </c>
    </row>
    <row r="1715" customFormat="false" ht="13.8" hidden="false" customHeight="false" outlineLevel="0" collapsed="false">
      <c r="A1715" s="0" t="s">
        <v>6321</v>
      </c>
      <c r="D1715" s="0" t="s">
        <v>85</v>
      </c>
      <c r="E1715" s="0" t="s">
        <v>86</v>
      </c>
      <c r="F1715" s="0" t="s">
        <v>87</v>
      </c>
      <c r="G1715" s="0" t="n">
        <v>1</v>
      </c>
      <c r="H1715" s="0" t="s">
        <v>27</v>
      </c>
      <c r="J1715" s="0" t="s">
        <v>28</v>
      </c>
      <c r="K1715" s="0" t="str">
        <f aca="false">"2.55 %"</f>
        <v>2.55 %</v>
      </c>
      <c r="O1715" s="0" t="s">
        <v>6322</v>
      </c>
    </row>
    <row r="1716" customFormat="false" ht="13.8" hidden="false" customHeight="false" outlineLevel="0" collapsed="false">
      <c r="A1716" s="0" t="s">
        <v>6323</v>
      </c>
      <c r="D1716" s="0" t="s">
        <v>4402</v>
      </c>
      <c r="F1716" s="0" t="s">
        <v>6324</v>
      </c>
      <c r="G1716" s="0" t="n">
        <v>1</v>
      </c>
      <c r="H1716" s="0" t="s">
        <v>33</v>
      </c>
      <c r="J1716" s="0" t="s">
        <v>40</v>
      </c>
      <c r="K1716" s="0" t="str">
        <f aca="false">"2.9 %"</f>
        <v>2.9 %</v>
      </c>
      <c r="O1716" s="0" t="s">
        <v>6325</v>
      </c>
    </row>
    <row r="1717" customFormat="false" ht="13.8" hidden="false" customHeight="false" outlineLevel="0" collapsed="false">
      <c r="A1717" s="0" t="s">
        <v>6326</v>
      </c>
      <c r="D1717" s="0" t="s">
        <v>16</v>
      </c>
      <c r="E1717" s="0" t="s">
        <v>17</v>
      </c>
      <c r="F1717" s="0" t="s">
        <v>6327</v>
      </c>
      <c r="G1717" s="0" t="n">
        <v>1</v>
      </c>
      <c r="H1717" s="0" t="s">
        <v>33</v>
      </c>
      <c r="J1717" s="0" t="s">
        <v>34</v>
      </c>
      <c r="K1717" s="0" t="str">
        <f aca="false">"&gt; 2.5 %"</f>
        <v>&gt; 2.5 %</v>
      </c>
      <c r="O1717" s="0" t="s">
        <v>6328</v>
      </c>
    </row>
    <row r="1718" customFormat="false" ht="13.8" hidden="false" customHeight="false" outlineLevel="0" collapsed="false">
      <c r="A1718" s="0" t="s">
        <v>6329</v>
      </c>
      <c r="D1718" s="0" t="s">
        <v>5792</v>
      </c>
      <c r="F1718" s="0" t="s">
        <v>6330</v>
      </c>
      <c r="G1718" s="0" t="n">
        <v>1</v>
      </c>
      <c r="H1718" s="0" t="s">
        <v>33</v>
      </c>
      <c r="J1718" s="0" t="s">
        <v>40</v>
      </c>
      <c r="K1718" s="0" t="str">
        <f aca="false">"0.25 %"</f>
        <v>0.25 %</v>
      </c>
      <c r="O1718" s="0" t="s">
        <v>6331</v>
      </c>
    </row>
    <row r="1719" customFormat="false" ht="13.8" hidden="false" customHeight="false" outlineLevel="0" collapsed="false">
      <c r="A1719" s="0" t="s">
        <v>6332</v>
      </c>
      <c r="D1719" s="0" t="s">
        <v>6333</v>
      </c>
      <c r="F1719" s="0" t="s">
        <v>6334</v>
      </c>
      <c r="G1719" s="0" t="n">
        <v>1</v>
      </c>
      <c r="H1719" s="0" t="s">
        <v>27</v>
      </c>
      <c r="J1719" s="0" t="s">
        <v>28</v>
      </c>
      <c r="K1719" s="0" t="str">
        <f aca="false">"3.0 %"</f>
        <v>3.0 %</v>
      </c>
      <c r="O1719" s="0" t="s">
        <v>6335</v>
      </c>
    </row>
    <row r="1720" customFormat="false" ht="13.8" hidden="false" customHeight="false" outlineLevel="0" collapsed="false">
      <c r="A1720" s="0" t="s">
        <v>6336</v>
      </c>
      <c r="D1720" s="0" t="s">
        <v>208</v>
      </c>
      <c r="E1720" s="0" t="s">
        <v>17</v>
      </c>
      <c r="F1720" s="0" t="s">
        <v>209</v>
      </c>
      <c r="G1720" s="0" t="n">
        <v>0</v>
      </c>
      <c r="H1720" s="0" t="s">
        <v>6337</v>
      </c>
      <c r="J1720" s="0" t="s">
        <v>40</v>
      </c>
      <c r="L1720" s="0" t="str">
        <f aca="false">"0.82 V"</f>
        <v>0.82 V</v>
      </c>
      <c r="O1720" s="0" t="s">
        <v>6338</v>
      </c>
    </row>
    <row r="1721" customFormat="false" ht="13.8" hidden="false" customHeight="false" outlineLevel="0" collapsed="false">
      <c r="A1721" s="0" t="s">
        <v>6336</v>
      </c>
      <c r="D1721" s="0" t="s">
        <v>6339</v>
      </c>
      <c r="F1721" s="0" t="s">
        <v>6340</v>
      </c>
      <c r="G1721" s="0" t="n">
        <v>0</v>
      </c>
      <c r="H1721" s="0" t="s">
        <v>6337</v>
      </c>
      <c r="J1721" s="0" t="s">
        <v>40</v>
      </c>
      <c r="K1721" s="0" t="str">
        <f aca="false">"1.5 %"</f>
        <v>1.5 %</v>
      </c>
      <c r="O1721" s="0" t="s">
        <v>6341</v>
      </c>
    </row>
    <row r="1722" customFormat="false" ht="13.8" hidden="false" customHeight="false" outlineLevel="0" collapsed="false">
      <c r="A1722" s="0" t="s">
        <v>6342</v>
      </c>
      <c r="D1722" s="0" t="s">
        <v>6343</v>
      </c>
      <c r="F1722" s="0" t="s">
        <v>6344</v>
      </c>
      <c r="G1722" s="0" t="n">
        <v>1</v>
      </c>
      <c r="H1722" s="0" t="s">
        <v>27</v>
      </c>
      <c r="J1722" s="0" t="s">
        <v>40</v>
      </c>
      <c r="K1722" s="0" t="str">
        <f aca="false">"5.9 %"</f>
        <v>5.9 %</v>
      </c>
      <c r="O1722" s="0" t="s">
        <v>6345</v>
      </c>
    </row>
    <row r="1723" customFormat="false" ht="13.8" hidden="false" customHeight="false" outlineLevel="0" collapsed="false">
      <c r="A1723" s="0" t="s">
        <v>6346</v>
      </c>
      <c r="D1723" s="0" t="s">
        <v>6347</v>
      </c>
      <c r="F1723" s="0" t="s">
        <v>40</v>
      </c>
      <c r="G1723" s="0" t="n">
        <v>1</v>
      </c>
      <c r="H1723" s="0" t="s">
        <v>27</v>
      </c>
      <c r="J1723" s="0" t="s">
        <v>28</v>
      </c>
      <c r="K1723" s="0" t="str">
        <f aca="false">"4.03 %"</f>
        <v>4.03 %</v>
      </c>
      <c r="O1723" s="0" t="s">
        <v>6348</v>
      </c>
    </row>
    <row r="1724" customFormat="false" ht="13.8" hidden="false" customHeight="false" outlineLevel="0" collapsed="false">
      <c r="A1724" s="0" t="s">
        <v>6349</v>
      </c>
      <c r="B1724" s="0" t="n">
        <v>1</v>
      </c>
      <c r="D1724" s="0" t="s">
        <v>2768</v>
      </c>
      <c r="E1724" s="0" t="s">
        <v>2769</v>
      </c>
      <c r="F1724" s="0" t="s">
        <v>2770</v>
      </c>
      <c r="G1724" s="0" t="n">
        <v>1</v>
      </c>
      <c r="H1724" s="0" t="s">
        <v>117</v>
      </c>
      <c r="J1724" s="0" t="s">
        <v>118</v>
      </c>
      <c r="K1724" s="0" t="str">
        <f aca="false">"5.4 %"</f>
        <v>5.4 %</v>
      </c>
      <c r="L1724" s="0" t="str">
        <f aca="false">"0.82-0.92 V"</f>
        <v>0.82-0.92 V</v>
      </c>
      <c r="O1724" s="0" t="s">
        <v>6350</v>
      </c>
    </row>
    <row r="1725" customFormat="false" ht="13.8" hidden="false" customHeight="false" outlineLevel="0" collapsed="false">
      <c r="A1725" s="0" t="s">
        <v>6351</v>
      </c>
      <c r="D1725" s="0" t="s">
        <v>16</v>
      </c>
      <c r="E1725" s="0" t="s">
        <v>17</v>
      </c>
      <c r="F1725" s="0" t="s">
        <v>18</v>
      </c>
      <c r="G1725" s="0" t="n">
        <v>1</v>
      </c>
      <c r="H1725" s="0" t="s">
        <v>152</v>
      </c>
      <c r="J1725" s="0" t="s">
        <v>40</v>
      </c>
      <c r="K1725" s="0" t="str">
        <f aca="false">"1.7 to 5.3 %"</f>
        <v>1.7 to 5.3 %</v>
      </c>
      <c r="O1725" s="0" t="s">
        <v>6352</v>
      </c>
    </row>
    <row r="1726" customFormat="false" ht="13.8" hidden="false" customHeight="false" outlineLevel="0" collapsed="false">
      <c r="A1726" s="0" t="s">
        <v>6353</v>
      </c>
      <c r="B1726" s="0" t="n">
        <v>1</v>
      </c>
      <c r="D1726" s="0" t="s">
        <v>2493</v>
      </c>
      <c r="E1726" s="0" t="s">
        <v>2494</v>
      </c>
      <c r="F1726" s="0" t="s">
        <v>2780</v>
      </c>
      <c r="G1726" s="0" t="n">
        <v>0</v>
      </c>
      <c r="H1726" s="0" t="s">
        <v>6354</v>
      </c>
      <c r="I1726" s="0" t="s">
        <v>164</v>
      </c>
      <c r="J1726" s="0" t="s">
        <v>6355</v>
      </c>
      <c r="K1726" s="0" t="str">
        <f aca="false">"10.54 %"</f>
        <v>10.54 %</v>
      </c>
      <c r="L1726" s="0" t="str">
        <f aca="false">"0.81 V"</f>
        <v>0.81 V</v>
      </c>
      <c r="M1726" s="0" t="str">
        <f aca="false">"22.83 mA cm^{-2}"</f>
        <v>22.83 mA cm^{-2}</v>
      </c>
      <c r="O1726" s="0" t="s">
        <v>6356</v>
      </c>
    </row>
    <row r="1727" customFormat="false" ht="13.8" hidden="false" customHeight="false" outlineLevel="0" collapsed="false">
      <c r="A1727" s="0" t="s">
        <v>6357</v>
      </c>
      <c r="D1727" s="0" t="s">
        <v>6358</v>
      </c>
      <c r="F1727" s="0" t="s">
        <v>6359</v>
      </c>
      <c r="G1727" s="0" t="n">
        <v>1</v>
      </c>
      <c r="H1727" s="0" t="s">
        <v>27</v>
      </c>
      <c r="J1727" s="0" t="s">
        <v>28</v>
      </c>
      <c r="K1727" s="0" t="str">
        <f aca="false">"8.92 %"</f>
        <v>8.92 %</v>
      </c>
      <c r="M1727" s="0" t="str">
        <f aca="false">"22.63 mA/cm^{2}"</f>
        <v>22.63 mA/cm^{2}</v>
      </c>
      <c r="O1727" s="0" t="s">
        <v>6360</v>
      </c>
    </row>
    <row r="1728" customFormat="false" ht="13.8" hidden="false" customHeight="false" outlineLevel="0" collapsed="false">
      <c r="A1728" s="0" t="s">
        <v>6361</v>
      </c>
      <c r="D1728" s="0" t="s">
        <v>6362</v>
      </c>
      <c r="F1728" s="0" t="s">
        <v>6363</v>
      </c>
      <c r="G1728" s="0" t="n">
        <v>1</v>
      </c>
      <c r="H1728" s="0" t="s">
        <v>27</v>
      </c>
      <c r="J1728" s="0" t="s">
        <v>28</v>
      </c>
      <c r="K1728" s="0" t="str">
        <f aca="false">"1.66 %"</f>
        <v>1.66 %</v>
      </c>
      <c r="N1728" s="0" t="str">
        <f aca="false">"~66 %"</f>
        <v>~66 %</v>
      </c>
      <c r="O1728" s="0" t="s">
        <v>6364</v>
      </c>
    </row>
    <row r="1729" customFormat="false" ht="13.8" hidden="false" customHeight="false" outlineLevel="0" collapsed="false">
      <c r="A1729" s="0" t="s">
        <v>6365</v>
      </c>
      <c r="D1729" s="0" t="s">
        <v>6366</v>
      </c>
      <c r="F1729" s="0" t="s">
        <v>6367</v>
      </c>
      <c r="G1729" s="0" t="n">
        <v>0</v>
      </c>
      <c r="H1729" s="0" t="s">
        <v>163</v>
      </c>
      <c r="I1729" s="0" t="s">
        <v>164</v>
      </c>
      <c r="J1729" s="0" t="s">
        <v>165</v>
      </c>
      <c r="K1729" s="0" t="str">
        <f aca="false">"10 %"</f>
        <v>10 %</v>
      </c>
      <c r="O1729" s="0" t="s">
        <v>6368</v>
      </c>
    </row>
    <row r="1730" customFormat="false" ht="13.8" hidden="false" customHeight="false" outlineLevel="0" collapsed="false">
      <c r="A1730" s="0" t="s">
        <v>6369</v>
      </c>
      <c r="D1730" s="0" t="s">
        <v>6370</v>
      </c>
      <c r="F1730" s="0" t="s">
        <v>6371</v>
      </c>
      <c r="G1730" s="0" t="n">
        <v>1</v>
      </c>
      <c r="H1730" s="0" t="s">
        <v>66</v>
      </c>
      <c r="J1730" s="0" t="s">
        <v>40</v>
      </c>
      <c r="K1730" s="0" t="str">
        <f aca="false">"5.79 %"</f>
        <v>5.79 %</v>
      </c>
      <c r="L1730" s="0" t="str">
        <f aca="false">"0.82 V"</f>
        <v>0.82 V</v>
      </c>
      <c r="O1730" s="0" t="s">
        <v>6372</v>
      </c>
    </row>
    <row r="1731" customFormat="false" ht="13.8" hidden="false" customHeight="false" outlineLevel="0" collapsed="false">
      <c r="A1731" s="0" t="s">
        <v>6369</v>
      </c>
      <c r="D1731" s="0" t="s">
        <v>6373</v>
      </c>
      <c r="F1731" s="0" t="s">
        <v>40</v>
      </c>
      <c r="G1731" s="0" t="n">
        <v>1</v>
      </c>
      <c r="H1731" s="0" t="s">
        <v>66</v>
      </c>
      <c r="J1731" s="0" t="s">
        <v>40</v>
      </c>
      <c r="K1731" s="0" t="str">
        <f aca="false">"6.17 %"</f>
        <v>6.17 %</v>
      </c>
      <c r="M1731" s="0" t="str">
        <f aca="false">"13.27 mA/cm^{2}"</f>
        <v>13.27 mA/cm^{2}</v>
      </c>
      <c r="N1731" s="0" t="str">
        <f aca="false">"56.9 %"</f>
        <v>56.9 %</v>
      </c>
      <c r="O1731" s="0" t="s">
        <v>6374</v>
      </c>
    </row>
    <row r="1732" customFormat="false" ht="13.8" hidden="false" customHeight="false" outlineLevel="0" collapsed="false">
      <c r="A1732" s="0" t="s">
        <v>6375</v>
      </c>
      <c r="D1732" s="0" t="s">
        <v>6376</v>
      </c>
      <c r="F1732" s="0" t="s">
        <v>6377</v>
      </c>
      <c r="G1732" s="0" t="n">
        <v>1</v>
      </c>
      <c r="H1732" s="0" t="s">
        <v>27</v>
      </c>
      <c r="J1732" s="0" t="s">
        <v>28</v>
      </c>
      <c r="K1732" s="0" t="str">
        <f aca="false">"6.32 %"</f>
        <v>6.32 %</v>
      </c>
      <c r="O1732" s="0" t="s">
        <v>6378</v>
      </c>
    </row>
    <row r="1733" customFormat="false" ht="13.8" hidden="false" customHeight="false" outlineLevel="0" collapsed="false">
      <c r="A1733" s="0" t="s">
        <v>6375</v>
      </c>
      <c r="D1733" s="0" t="s">
        <v>6379</v>
      </c>
      <c r="F1733" s="0" t="s">
        <v>6380</v>
      </c>
      <c r="G1733" s="0" t="n">
        <v>1</v>
      </c>
      <c r="H1733" s="0" t="s">
        <v>27</v>
      </c>
      <c r="J1733" s="0" t="s">
        <v>28</v>
      </c>
      <c r="K1733" s="0" t="str">
        <f aca="false">"5 %"</f>
        <v>5 %</v>
      </c>
      <c r="O1733" s="0" t="s">
        <v>6381</v>
      </c>
    </row>
    <row r="1734" customFormat="false" ht="13.8" hidden="false" customHeight="false" outlineLevel="0" collapsed="false">
      <c r="A1734" s="0" t="s">
        <v>6382</v>
      </c>
      <c r="D1734" s="0" t="s">
        <v>6383</v>
      </c>
      <c r="F1734" s="0" t="s">
        <v>6384</v>
      </c>
      <c r="G1734" s="0" t="n">
        <v>1</v>
      </c>
      <c r="H1734" s="0" t="s">
        <v>27</v>
      </c>
      <c r="J1734" s="0" t="s">
        <v>28</v>
      </c>
      <c r="K1734" s="0" t="str">
        <f aca="false">"9.36 %"</f>
        <v>9.36 %</v>
      </c>
      <c r="O1734" s="0" t="s">
        <v>6385</v>
      </c>
    </row>
    <row r="1735" customFormat="false" ht="13.8" hidden="false" customHeight="false" outlineLevel="0" collapsed="false">
      <c r="A1735" s="0" t="s">
        <v>6382</v>
      </c>
      <c r="D1735" s="0" t="s">
        <v>6386</v>
      </c>
      <c r="F1735" s="0" t="s">
        <v>6387</v>
      </c>
      <c r="G1735" s="0" t="n">
        <v>1</v>
      </c>
      <c r="H1735" s="0" t="s">
        <v>27</v>
      </c>
      <c r="J1735" s="0" t="s">
        <v>28</v>
      </c>
      <c r="K1735" s="0" t="str">
        <f aca="false">"8.52 %"</f>
        <v>8.52 %</v>
      </c>
      <c r="O1735" s="0" t="s">
        <v>6388</v>
      </c>
    </row>
    <row r="1736" customFormat="false" ht="13.8" hidden="false" customHeight="false" outlineLevel="0" collapsed="false">
      <c r="A1736" s="0" t="s">
        <v>6382</v>
      </c>
      <c r="D1736" s="0" t="s">
        <v>6389</v>
      </c>
      <c r="E1736" s="0" t="s">
        <v>6390</v>
      </c>
      <c r="F1736" s="0" t="s">
        <v>6391</v>
      </c>
      <c r="G1736" s="0" t="n">
        <v>1</v>
      </c>
      <c r="H1736" s="0" t="s">
        <v>27</v>
      </c>
      <c r="J1736" s="0" t="s">
        <v>28</v>
      </c>
      <c r="K1736" s="0" t="str">
        <f aca="false">"6.21 %"</f>
        <v>6.21 %</v>
      </c>
      <c r="O1736" s="0" t="s">
        <v>6392</v>
      </c>
    </row>
    <row r="1737" customFormat="false" ht="13.8" hidden="false" customHeight="false" outlineLevel="0" collapsed="false">
      <c r="A1737" s="0" t="s">
        <v>6382</v>
      </c>
      <c r="D1737" s="0" t="s">
        <v>6393</v>
      </c>
      <c r="F1737" s="0" t="s">
        <v>6394</v>
      </c>
      <c r="G1737" s="0" t="n">
        <v>1</v>
      </c>
      <c r="H1737" s="0" t="s">
        <v>27</v>
      </c>
      <c r="J1737" s="0" t="s">
        <v>28</v>
      </c>
      <c r="K1737" s="0" t="str">
        <f aca="false">"9.63 %"</f>
        <v>9.63 %</v>
      </c>
      <c r="M1737" s="0" t="str">
        <f aca="false">"17.56 mA/cm^{2}"</f>
        <v>17.56 mA/cm^{2}</v>
      </c>
      <c r="O1737" s="0" t="s">
        <v>6395</v>
      </c>
    </row>
    <row r="1738" customFormat="false" ht="13.8" hidden="false" customHeight="false" outlineLevel="0" collapsed="false">
      <c r="A1738" s="0" t="s">
        <v>6396</v>
      </c>
      <c r="D1738" s="0" t="s">
        <v>6397</v>
      </c>
      <c r="F1738" s="0" t="s">
        <v>6398</v>
      </c>
      <c r="G1738" s="0" t="n">
        <v>1</v>
      </c>
      <c r="H1738" s="0" t="s">
        <v>27</v>
      </c>
      <c r="J1738" s="0" t="s">
        <v>28</v>
      </c>
      <c r="K1738" s="0" t="str">
        <f aca="false">"7.20 %"</f>
        <v>7.20 %</v>
      </c>
      <c r="O1738" s="0" t="s">
        <v>6399</v>
      </c>
    </row>
    <row r="1739" customFormat="false" ht="13.8" hidden="false" customHeight="false" outlineLevel="0" collapsed="false">
      <c r="A1739" s="0" t="s">
        <v>6396</v>
      </c>
      <c r="D1739" s="0" t="s">
        <v>6400</v>
      </c>
      <c r="F1739" s="0" t="s">
        <v>6401</v>
      </c>
      <c r="G1739" s="0" t="n">
        <v>1</v>
      </c>
      <c r="H1739" s="0" t="s">
        <v>27</v>
      </c>
      <c r="J1739" s="0" t="s">
        <v>28</v>
      </c>
      <c r="K1739" s="0" t="str">
        <f aca="false">"~4.5 %"</f>
        <v>~4.5 %</v>
      </c>
      <c r="O1739" s="0" t="s">
        <v>6402</v>
      </c>
    </row>
    <row r="1740" customFormat="false" ht="13.8" hidden="false" customHeight="false" outlineLevel="0" collapsed="false">
      <c r="A1740" s="0" t="s">
        <v>6403</v>
      </c>
      <c r="D1740" s="0" t="s">
        <v>6404</v>
      </c>
      <c r="F1740" s="0" t="s">
        <v>6405</v>
      </c>
      <c r="G1740" s="0" t="n">
        <v>1</v>
      </c>
      <c r="H1740" s="0" t="s">
        <v>76</v>
      </c>
      <c r="J1740" s="0" t="s">
        <v>77</v>
      </c>
      <c r="L1740" s="0" t="str">
        <f aca="false">"0.8 V"</f>
        <v>0.8 V</v>
      </c>
      <c r="O1740" s="0" t="s">
        <v>6406</v>
      </c>
    </row>
    <row r="1741" customFormat="false" ht="13.8" hidden="false" customHeight="false" outlineLevel="0" collapsed="false">
      <c r="A1741" s="0" t="s">
        <v>6403</v>
      </c>
      <c r="F1741" s="0" t="s">
        <v>40</v>
      </c>
      <c r="G1741" s="0" t="n">
        <v>1</v>
      </c>
      <c r="H1741" s="0" t="s">
        <v>76</v>
      </c>
      <c r="J1741" s="0" t="s">
        <v>77</v>
      </c>
      <c r="K1741" s="0" t="str">
        <f aca="false">"10.28 %"</f>
        <v>10.28 %</v>
      </c>
      <c r="O1741" s="0" t="s">
        <v>6407</v>
      </c>
    </row>
    <row r="1742" customFormat="false" ht="13.8" hidden="false" customHeight="false" outlineLevel="0" collapsed="false">
      <c r="A1742" s="0" t="s">
        <v>6408</v>
      </c>
      <c r="D1742" s="0" t="s">
        <v>201</v>
      </c>
      <c r="E1742" s="0" t="s">
        <v>202</v>
      </c>
      <c r="F1742" s="0" t="s">
        <v>422</v>
      </c>
      <c r="G1742" s="0" t="n">
        <v>0</v>
      </c>
      <c r="H1742" s="0" t="s">
        <v>6409</v>
      </c>
      <c r="J1742" s="0" t="s">
        <v>6410</v>
      </c>
      <c r="M1742" s="0" t="str">
        <f aca="false">"8.57 mA/cm^{2}"</f>
        <v>8.57 mA/cm^{2}</v>
      </c>
      <c r="N1742" s="0" t="str">
        <f aca="false">"0.58"</f>
        <v>0.58</v>
      </c>
      <c r="O1742" s="0" t="s">
        <v>6411</v>
      </c>
    </row>
    <row r="1743" customFormat="false" ht="13.8" hidden="false" customHeight="false" outlineLevel="0" collapsed="false">
      <c r="A1743" s="0" t="s">
        <v>6412</v>
      </c>
      <c r="D1743" s="0" t="s">
        <v>16</v>
      </c>
      <c r="E1743" s="0" t="s">
        <v>17</v>
      </c>
      <c r="F1743" s="0" t="s">
        <v>18</v>
      </c>
      <c r="G1743" s="0" t="n">
        <v>0</v>
      </c>
      <c r="H1743" s="0" t="s">
        <v>5792</v>
      </c>
      <c r="J1743" s="0" t="s">
        <v>6413</v>
      </c>
      <c r="K1743" s="0" t="str">
        <f aca="false">"1.4 %"</f>
        <v>1.4 %</v>
      </c>
      <c r="O1743" s="0" t="s">
        <v>6414</v>
      </c>
    </row>
    <row r="1744" customFormat="false" ht="13.8" hidden="false" customHeight="false" outlineLevel="0" collapsed="false">
      <c r="A1744" s="0" t="s">
        <v>6415</v>
      </c>
      <c r="D1744" s="0" t="s">
        <v>6416</v>
      </c>
      <c r="F1744" s="0" t="s">
        <v>6417</v>
      </c>
      <c r="G1744" s="0" t="n">
        <v>1</v>
      </c>
      <c r="H1744" s="0" t="s">
        <v>33</v>
      </c>
      <c r="J1744" s="0" t="s">
        <v>34</v>
      </c>
      <c r="K1744" s="0" t="str">
        <f aca="false">"1.92 %"</f>
        <v>1.92 %</v>
      </c>
      <c r="O1744" s="0" t="s">
        <v>6418</v>
      </c>
    </row>
    <row r="1745" customFormat="false" ht="13.8" hidden="false" customHeight="false" outlineLevel="0" collapsed="false">
      <c r="A1745" s="0" t="s">
        <v>6419</v>
      </c>
      <c r="D1745" s="0" t="s">
        <v>6420</v>
      </c>
      <c r="F1745" s="0" t="s">
        <v>6421</v>
      </c>
      <c r="G1745" s="0" t="n">
        <v>1</v>
      </c>
      <c r="H1745" s="0" t="s">
        <v>33</v>
      </c>
      <c r="J1745" s="0" t="s">
        <v>40</v>
      </c>
      <c r="K1745" s="0" t="str">
        <f aca="false">"1.4 %"</f>
        <v>1.4 %</v>
      </c>
      <c r="O1745" s="0" t="s">
        <v>6422</v>
      </c>
    </row>
    <row r="1746" customFormat="false" ht="13.8" hidden="false" customHeight="false" outlineLevel="0" collapsed="false">
      <c r="A1746" s="0" t="s">
        <v>6423</v>
      </c>
      <c r="D1746" s="0" t="s">
        <v>201</v>
      </c>
      <c r="E1746" s="0" t="s">
        <v>202</v>
      </c>
      <c r="F1746" s="0" t="s">
        <v>422</v>
      </c>
      <c r="G1746" s="0" t="n">
        <v>0</v>
      </c>
      <c r="H1746" s="0" t="s">
        <v>6424</v>
      </c>
      <c r="J1746" s="0" t="s">
        <v>40</v>
      </c>
      <c r="K1746" s="0" t="str">
        <f aca="false">"6.06 %"</f>
        <v>6.06 %</v>
      </c>
      <c r="L1746" s="0" t="str">
        <f aca="false">"0.74 V"</f>
        <v>0.74 V</v>
      </c>
      <c r="M1746" s="0" t="str">
        <f aca="false">"13.60 mA/cm^{2}"</f>
        <v>13.60 mA/cm^{2}</v>
      </c>
      <c r="N1746" s="0" t="str">
        <f aca="false">"60.45 %"</f>
        <v>60.45 %</v>
      </c>
      <c r="O1746" s="0" t="s">
        <v>6425</v>
      </c>
    </row>
    <row r="1747" customFormat="false" ht="13.8" hidden="false" customHeight="false" outlineLevel="0" collapsed="false">
      <c r="A1747" s="0" t="s">
        <v>6426</v>
      </c>
      <c r="D1747" s="0" t="s">
        <v>6427</v>
      </c>
      <c r="F1747" s="0" t="s">
        <v>6428</v>
      </c>
      <c r="G1747" s="0" t="n">
        <v>0</v>
      </c>
      <c r="H1747" s="0" t="s">
        <v>6429</v>
      </c>
      <c r="J1747" s="0" t="s">
        <v>40</v>
      </c>
      <c r="K1747" s="0" t="str">
        <f aca="false">"2.38 and 5.51 %"</f>
        <v>2.38 and 5.51 %</v>
      </c>
      <c r="L1747" s="0" t="str">
        <f aca="false">"0.90 V"</f>
        <v>0.90 V</v>
      </c>
      <c r="M1747" s="0" t="str">
        <f aca="false">"18.62 mA cm^{-2}"</f>
        <v>18.62 mA cm^{-2}</v>
      </c>
      <c r="N1747" s="0" t="str">
        <f aca="false">"66.7 %"</f>
        <v>66.7 %</v>
      </c>
      <c r="O1747" s="0" t="s">
        <v>6430</v>
      </c>
    </row>
    <row r="1748" customFormat="false" ht="13.8" hidden="false" customHeight="false" outlineLevel="0" collapsed="false">
      <c r="A1748" s="0" t="s">
        <v>6431</v>
      </c>
      <c r="D1748" s="0" t="s">
        <v>6432</v>
      </c>
      <c r="F1748" s="0" t="s">
        <v>6433</v>
      </c>
      <c r="G1748" s="0" t="n">
        <v>0</v>
      </c>
      <c r="H1748" s="0" t="s">
        <v>6434</v>
      </c>
      <c r="J1748" s="0" t="s">
        <v>40</v>
      </c>
      <c r="K1748" s="0" t="str">
        <f aca="false">"13.72 %"</f>
        <v>13.72 %</v>
      </c>
      <c r="L1748" s="0" t="str">
        <f aca="false">"0.996 V"</f>
        <v>0.996 V</v>
      </c>
      <c r="O1748" s="0" t="s">
        <v>6435</v>
      </c>
    </row>
    <row r="1749" customFormat="false" ht="13.8" hidden="false" customHeight="false" outlineLevel="0" collapsed="false">
      <c r="A1749" s="0" t="s">
        <v>6431</v>
      </c>
      <c r="D1749" s="0" t="s">
        <v>1047</v>
      </c>
      <c r="E1749" s="0" t="s">
        <v>600</v>
      </c>
      <c r="F1749" s="0" t="s">
        <v>6436</v>
      </c>
      <c r="G1749" s="0" t="n">
        <v>0</v>
      </c>
      <c r="H1749" s="0" t="s">
        <v>6434</v>
      </c>
      <c r="J1749" s="0" t="s">
        <v>40</v>
      </c>
      <c r="K1749" s="0" t="str">
        <f aca="false">"12 %"</f>
        <v>12 %</v>
      </c>
      <c r="O1749" s="0" t="s">
        <v>6437</v>
      </c>
    </row>
    <row r="1750" customFormat="false" ht="13.8" hidden="false" customHeight="false" outlineLevel="0" collapsed="false">
      <c r="A1750" s="0" t="s">
        <v>6438</v>
      </c>
      <c r="D1750" s="0" t="s">
        <v>6439</v>
      </c>
      <c r="F1750" s="0" t="s">
        <v>6440</v>
      </c>
      <c r="G1750" s="0" t="n">
        <v>1</v>
      </c>
      <c r="H1750" s="0" t="s">
        <v>66</v>
      </c>
      <c r="J1750" s="0" t="s">
        <v>67</v>
      </c>
      <c r="K1750" s="0" t="str">
        <f aca="false">"4.74 %"</f>
        <v>4.74 %</v>
      </c>
      <c r="O1750" s="0" t="s">
        <v>6441</v>
      </c>
    </row>
    <row r="1751" customFormat="false" ht="13.8" hidden="false" customHeight="false" outlineLevel="0" collapsed="false">
      <c r="A1751" s="0" t="s">
        <v>6438</v>
      </c>
      <c r="D1751" s="0" t="s">
        <v>6442</v>
      </c>
      <c r="F1751" s="0" t="s">
        <v>6443</v>
      </c>
      <c r="G1751" s="0" t="n">
        <v>1</v>
      </c>
      <c r="H1751" s="0" t="s">
        <v>66</v>
      </c>
      <c r="J1751" s="0" t="s">
        <v>67</v>
      </c>
      <c r="L1751" s="0" t="str">
        <f aca="false">"0.75 V"</f>
        <v>0.75 V</v>
      </c>
      <c r="M1751" s="0" t="str">
        <f aca="false">"11.9 mA cm^{-2}"</f>
        <v>11.9 mA cm^{-2}</v>
      </c>
      <c r="N1751" s="0" t="str">
        <f aca="false">"67.2 %"</f>
        <v>67.2 %</v>
      </c>
      <c r="O1751" s="0" t="s">
        <v>6444</v>
      </c>
    </row>
    <row r="1752" customFormat="false" ht="13.8" hidden="false" customHeight="false" outlineLevel="0" collapsed="false">
      <c r="A1752" s="0" t="s">
        <v>6445</v>
      </c>
      <c r="D1752" s="0" t="s">
        <v>6446</v>
      </c>
      <c r="F1752" s="0" t="s">
        <v>40</v>
      </c>
      <c r="G1752" s="0" t="n">
        <v>1</v>
      </c>
      <c r="H1752" s="0" t="s">
        <v>27</v>
      </c>
      <c r="J1752" s="0" t="s">
        <v>28</v>
      </c>
      <c r="K1752" s="0" t="str">
        <f aca="false">"13.2 %"</f>
        <v>13.2 %</v>
      </c>
      <c r="O1752" s="0" t="s">
        <v>6447</v>
      </c>
    </row>
    <row r="1753" customFormat="false" ht="13.8" hidden="false" customHeight="false" outlineLevel="0" collapsed="false">
      <c r="A1753" s="0" t="s">
        <v>6448</v>
      </c>
      <c r="D1753" s="0" t="s">
        <v>6449</v>
      </c>
      <c r="F1753" s="0" t="s">
        <v>40</v>
      </c>
      <c r="G1753" s="0" t="n">
        <v>1</v>
      </c>
      <c r="H1753" s="0" t="s">
        <v>27</v>
      </c>
      <c r="J1753" s="0" t="s">
        <v>28</v>
      </c>
      <c r="K1753" s="0" t="str">
        <f aca="false">"7.85 %"</f>
        <v>7.85 %</v>
      </c>
      <c r="O1753" s="0" t="s">
        <v>6450</v>
      </c>
    </row>
    <row r="1754" customFormat="false" ht="13.8" hidden="false" customHeight="false" outlineLevel="0" collapsed="false">
      <c r="A1754" s="0" t="s">
        <v>6451</v>
      </c>
      <c r="D1754" s="0" t="s">
        <v>6452</v>
      </c>
      <c r="F1754" s="0" t="s">
        <v>6453</v>
      </c>
      <c r="G1754" s="0" t="n">
        <v>0</v>
      </c>
      <c r="H1754" s="0" t="s">
        <v>6454</v>
      </c>
      <c r="I1754" s="0" t="s">
        <v>1169</v>
      </c>
      <c r="J1754" s="0" t="s">
        <v>6455</v>
      </c>
      <c r="K1754" s="0" t="str">
        <f aca="false">"5.09 %"</f>
        <v>5.09 %</v>
      </c>
      <c r="O1754" s="0" t="s">
        <v>6456</v>
      </c>
    </row>
    <row r="1755" customFormat="false" ht="13.8" hidden="false" customHeight="false" outlineLevel="0" collapsed="false">
      <c r="A1755" s="0" t="s">
        <v>6457</v>
      </c>
      <c r="D1755" s="0" t="s">
        <v>1104</v>
      </c>
      <c r="E1755" s="0" t="s">
        <v>1105</v>
      </c>
      <c r="F1755" s="0" t="s">
        <v>1106</v>
      </c>
      <c r="G1755" s="0" t="n">
        <v>1</v>
      </c>
      <c r="H1755" s="0" t="s">
        <v>27</v>
      </c>
      <c r="J1755" s="0" t="s">
        <v>28</v>
      </c>
      <c r="K1755" s="0" t="str">
        <f aca="false">"8.0 %"</f>
        <v>8.0 %</v>
      </c>
      <c r="L1755" s="0" t="str">
        <f aca="false">"0.76 V"</f>
        <v>0.76 V</v>
      </c>
      <c r="M1755" s="0" t="str">
        <f aca="false">"18.2 mA cm^{-2}"</f>
        <v>18.2 mA cm^{-2}</v>
      </c>
      <c r="N1755" s="0" t="str">
        <f aca="false">"58.1 %"</f>
        <v>58.1 %</v>
      </c>
      <c r="O1755" s="0" t="s">
        <v>6458</v>
      </c>
    </row>
    <row r="1756" customFormat="false" ht="13.8" hidden="false" customHeight="false" outlineLevel="0" collapsed="false">
      <c r="A1756" s="0" t="s">
        <v>6459</v>
      </c>
      <c r="D1756" s="0" t="s">
        <v>6460</v>
      </c>
      <c r="F1756" s="0" t="s">
        <v>40</v>
      </c>
      <c r="G1756" s="0" t="n">
        <v>1</v>
      </c>
      <c r="H1756" s="0" t="s">
        <v>33</v>
      </c>
      <c r="J1756" s="0" t="s">
        <v>34</v>
      </c>
      <c r="O1756" s="0" t="s">
        <v>6461</v>
      </c>
    </row>
    <row r="1757" customFormat="false" ht="13.8" hidden="false" customHeight="false" outlineLevel="0" collapsed="false">
      <c r="A1757" s="0" t="s">
        <v>6459</v>
      </c>
      <c r="D1757" s="0" t="s">
        <v>6462</v>
      </c>
      <c r="F1757" s="0" t="s">
        <v>40</v>
      </c>
      <c r="G1757" s="0" t="n">
        <v>1</v>
      </c>
      <c r="H1757" s="0" t="s">
        <v>33</v>
      </c>
      <c r="J1757" s="0" t="s">
        <v>34</v>
      </c>
      <c r="K1757" s="0" t="str">
        <f aca="false">"1.17-3.23 %"</f>
        <v>1.17-3.23 %</v>
      </c>
      <c r="O1757" s="0" t="s">
        <v>6463</v>
      </c>
    </row>
    <row r="1758" customFormat="false" ht="13.8" hidden="false" customHeight="false" outlineLevel="0" collapsed="false">
      <c r="A1758" s="0" t="s">
        <v>6464</v>
      </c>
      <c r="D1758" s="0" t="s">
        <v>1047</v>
      </c>
      <c r="E1758" s="0" t="s">
        <v>600</v>
      </c>
      <c r="F1758" s="0" t="s">
        <v>6436</v>
      </c>
      <c r="G1758" s="0" t="n">
        <v>0</v>
      </c>
      <c r="H1758" s="0" t="s">
        <v>6465</v>
      </c>
      <c r="J1758" s="0" t="s">
        <v>6466</v>
      </c>
      <c r="K1758" s="0" t="str">
        <f aca="false">"11.2 %"</f>
        <v>11.2 %</v>
      </c>
      <c r="N1758" s="0" t="str">
        <f aca="false">"72.7 %"</f>
        <v>72.7 %</v>
      </c>
      <c r="O1758" s="0" t="s">
        <v>6467</v>
      </c>
    </row>
    <row r="1759" customFormat="false" ht="13.8" hidden="false" customHeight="false" outlineLevel="0" collapsed="false">
      <c r="A1759" s="0" t="s">
        <v>6468</v>
      </c>
      <c r="D1759" s="0" t="s">
        <v>828</v>
      </c>
      <c r="E1759" s="0" t="s">
        <v>829</v>
      </c>
      <c r="F1759" s="0" t="s">
        <v>830</v>
      </c>
      <c r="G1759" s="0" t="n">
        <v>1</v>
      </c>
      <c r="H1759" s="0" t="s">
        <v>66</v>
      </c>
      <c r="J1759" s="0" t="s">
        <v>6469</v>
      </c>
      <c r="K1759" s="0" t="str">
        <f aca="false">"~10.5 %"</f>
        <v>~10.5 %</v>
      </c>
      <c r="L1759" s="0" t="str">
        <f aca="false">"0.95 V"</f>
        <v>0.95 V</v>
      </c>
      <c r="M1759" s="0" t="str">
        <f aca="false">"15.60 mA/cm^{2}"</f>
        <v>15.60 mA/cm^{2}</v>
      </c>
      <c r="N1759" s="0" t="str">
        <f aca="false">"71.1 %"</f>
        <v>71.1 %</v>
      </c>
      <c r="O1759" s="0" t="s">
        <v>6470</v>
      </c>
    </row>
    <row r="1760" customFormat="false" ht="13.8" hidden="false" customHeight="false" outlineLevel="0" collapsed="false">
      <c r="A1760" s="0" t="s">
        <v>6471</v>
      </c>
      <c r="D1760" s="0" t="s">
        <v>6472</v>
      </c>
      <c r="F1760" s="0" t="s">
        <v>6473</v>
      </c>
      <c r="G1760" s="0" t="n">
        <v>1</v>
      </c>
      <c r="H1760" s="0" t="s">
        <v>27</v>
      </c>
      <c r="J1760" s="0" t="s">
        <v>28</v>
      </c>
      <c r="K1760" s="0" t="str">
        <f aca="false">"7.3 %"</f>
        <v>7.3 %</v>
      </c>
      <c r="O1760" s="0" t="s">
        <v>6474</v>
      </c>
    </row>
    <row r="1761" customFormat="false" ht="13.8" hidden="false" customHeight="false" outlineLevel="0" collapsed="false">
      <c r="A1761" s="0" t="s">
        <v>6471</v>
      </c>
      <c r="D1761" s="0" t="s">
        <v>6475</v>
      </c>
      <c r="F1761" s="0" t="s">
        <v>40</v>
      </c>
      <c r="G1761" s="0" t="n">
        <v>1</v>
      </c>
      <c r="H1761" s="0" t="s">
        <v>27</v>
      </c>
      <c r="J1761" s="0" t="s">
        <v>28</v>
      </c>
      <c r="K1761" s="0" t="str">
        <f aca="false">"3.6 %"</f>
        <v>3.6 %</v>
      </c>
      <c r="O1761" s="0" t="s">
        <v>6476</v>
      </c>
    </row>
    <row r="1762" customFormat="false" ht="13.8" hidden="false" customHeight="false" outlineLevel="0" collapsed="false">
      <c r="A1762" s="0" t="s">
        <v>6477</v>
      </c>
      <c r="D1762" s="0" t="s">
        <v>599</v>
      </c>
      <c r="E1762" s="0" t="s">
        <v>600</v>
      </c>
      <c r="F1762" s="0" t="s">
        <v>601</v>
      </c>
      <c r="G1762" s="0" t="n">
        <v>0</v>
      </c>
      <c r="H1762" s="0" t="s">
        <v>6478</v>
      </c>
      <c r="J1762" s="0" t="s">
        <v>6479</v>
      </c>
      <c r="K1762" s="0" t="str">
        <f aca="false">"8.30 %"</f>
        <v>8.30 %</v>
      </c>
      <c r="O1762" s="0" t="s">
        <v>6480</v>
      </c>
    </row>
    <row r="1763" customFormat="false" ht="13.8" hidden="false" customHeight="false" outlineLevel="0" collapsed="false">
      <c r="A1763" s="0" t="s">
        <v>6481</v>
      </c>
      <c r="D1763" s="0" t="s">
        <v>6482</v>
      </c>
      <c r="F1763" s="0" t="s">
        <v>6483</v>
      </c>
      <c r="G1763" s="0" t="n">
        <v>0</v>
      </c>
      <c r="H1763" s="0" t="s">
        <v>6484</v>
      </c>
      <c r="J1763" s="0" t="s">
        <v>6483</v>
      </c>
      <c r="K1763" s="0" t="str">
        <f aca="false">"13.45 %"</f>
        <v>13.45 %</v>
      </c>
      <c r="O1763" s="0" t="s">
        <v>6485</v>
      </c>
    </row>
    <row r="1764" customFormat="false" ht="13.8" hidden="false" customHeight="false" outlineLevel="0" collapsed="false">
      <c r="A1764" s="0" t="s">
        <v>6486</v>
      </c>
      <c r="B1764" s="0" t="n">
        <v>1</v>
      </c>
      <c r="D1764" s="0" t="s">
        <v>4213</v>
      </c>
      <c r="E1764" s="0" t="s">
        <v>404</v>
      </c>
      <c r="F1764" s="0" t="s">
        <v>4214</v>
      </c>
      <c r="G1764" s="0" t="n">
        <v>0</v>
      </c>
      <c r="H1764" s="0" t="s">
        <v>5396</v>
      </c>
      <c r="I1764" s="0" t="s">
        <v>164</v>
      </c>
      <c r="J1764" s="0" t="s">
        <v>5398</v>
      </c>
      <c r="K1764" s="0" t="str">
        <f aca="false">"8 %"</f>
        <v>8 %</v>
      </c>
      <c r="O1764" s="0" t="s">
        <v>6487</v>
      </c>
    </row>
    <row r="1765" customFormat="false" ht="13.8" hidden="false" customHeight="false" outlineLevel="0" collapsed="false">
      <c r="A1765" s="0" t="s">
        <v>6488</v>
      </c>
      <c r="D1765" s="0" t="s">
        <v>3730</v>
      </c>
      <c r="F1765" s="0" t="s">
        <v>6489</v>
      </c>
      <c r="G1765" s="0" t="n">
        <v>0</v>
      </c>
      <c r="H1765" s="0" t="s">
        <v>6490</v>
      </c>
      <c r="J1765" s="0" t="s">
        <v>40</v>
      </c>
      <c r="K1765" s="0" t="str">
        <f aca="false">"12 %"</f>
        <v>12 %</v>
      </c>
      <c r="O1765" s="0" t="s">
        <v>6491</v>
      </c>
    </row>
    <row r="1766" customFormat="false" ht="13.8" hidden="false" customHeight="false" outlineLevel="0" collapsed="false">
      <c r="A1766" s="0" t="s">
        <v>6492</v>
      </c>
      <c r="B1766" s="0" t="n">
        <v>1</v>
      </c>
      <c r="D1766" s="0" t="s">
        <v>1116</v>
      </c>
      <c r="E1766" s="0" t="s">
        <v>1117</v>
      </c>
      <c r="F1766" s="0" t="s">
        <v>1118</v>
      </c>
      <c r="G1766" s="0" t="n">
        <v>0</v>
      </c>
      <c r="H1766" s="0" t="s">
        <v>5040</v>
      </c>
      <c r="I1766" s="0" t="s">
        <v>5041</v>
      </c>
      <c r="J1766" s="0" t="s">
        <v>5042</v>
      </c>
      <c r="K1766" s="0" t="str">
        <f aca="false">"15.2 %"</f>
        <v>15.2 %</v>
      </c>
      <c r="O1766" s="0" t="s">
        <v>6493</v>
      </c>
    </row>
    <row r="1767" customFormat="false" ht="13.8" hidden="false" customHeight="false" outlineLevel="0" collapsed="false">
      <c r="A1767" s="0" t="s">
        <v>6494</v>
      </c>
      <c r="D1767" s="0" t="s">
        <v>5364</v>
      </c>
      <c r="F1767" s="0" t="s">
        <v>5366</v>
      </c>
      <c r="G1767" s="0" t="n">
        <v>1</v>
      </c>
      <c r="H1767" s="0" t="s">
        <v>27</v>
      </c>
      <c r="J1767" s="0" t="s">
        <v>28</v>
      </c>
      <c r="K1767" s="0" t="str">
        <f aca="false">"13.09 %"</f>
        <v>13.09 %</v>
      </c>
      <c r="O1767" s="0" t="s">
        <v>6495</v>
      </c>
    </row>
    <row r="1768" customFormat="false" ht="13.8" hidden="false" customHeight="false" outlineLevel="0" collapsed="false">
      <c r="A1768" s="0" t="s">
        <v>6496</v>
      </c>
      <c r="B1768" s="0" t="n">
        <v>1</v>
      </c>
      <c r="D1768" s="0" t="s">
        <v>6497</v>
      </c>
      <c r="E1768" s="0" t="s">
        <v>6498</v>
      </c>
      <c r="F1768" s="0" t="s">
        <v>6499</v>
      </c>
      <c r="G1768" s="0" t="n">
        <v>1</v>
      </c>
      <c r="H1768" s="0" t="s">
        <v>27</v>
      </c>
      <c r="J1768" s="0" t="s">
        <v>28</v>
      </c>
      <c r="K1768" s="0" t="str">
        <f aca="false">"9.8 %"</f>
        <v>9.8 %</v>
      </c>
      <c r="M1768" s="0" t="str">
        <f aca="false">"14.6 mA cm^{-2}"</f>
        <v>14.6 mA cm^{-2}</v>
      </c>
      <c r="O1768" s="0" t="s">
        <v>6500</v>
      </c>
    </row>
    <row r="1769" customFormat="false" ht="13.8" hidden="false" customHeight="false" outlineLevel="0" collapsed="false">
      <c r="A1769" s="0" t="s">
        <v>6501</v>
      </c>
      <c r="D1769" s="0" t="s">
        <v>201</v>
      </c>
      <c r="E1769" s="0" t="s">
        <v>202</v>
      </c>
      <c r="F1769" s="0" t="s">
        <v>422</v>
      </c>
      <c r="G1769" s="0" t="n">
        <v>0</v>
      </c>
      <c r="H1769" s="0" t="s">
        <v>1947</v>
      </c>
      <c r="I1769" s="0" t="s">
        <v>1948</v>
      </c>
      <c r="J1769" s="0" t="s">
        <v>1949</v>
      </c>
      <c r="K1769" s="0" t="str">
        <f aca="false">"13.8 %"</f>
        <v>13.8 %</v>
      </c>
      <c r="O1769" s="0" t="s">
        <v>6502</v>
      </c>
    </row>
    <row r="1770" customFormat="false" ht="13.8" hidden="false" customHeight="false" outlineLevel="0" collapsed="false">
      <c r="A1770" s="0" t="s">
        <v>6503</v>
      </c>
      <c r="D1770" s="0" t="s">
        <v>4238</v>
      </c>
      <c r="F1770" s="0" t="s">
        <v>4239</v>
      </c>
      <c r="G1770" s="0" t="n">
        <v>0</v>
      </c>
      <c r="H1770" s="0" t="s">
        <v>6504</v>
      </c>
      <c r="J1770" s="0" t="s">
        <v>40</v>
      </c>
      <c r="K1770" s="0" t="str">
        <f aca="false">"13.18 %"</f>
        <v>13.18 %</v>
      </c>
      <c r="M1770" s="0" t="str">
        <f aca="false">"22.86 mA cm^{-2}"</f>
        <v>22.86 mA cm^{-2}</v>
      </c>
      <c r="N1770" s="0" t="str">
        <f aca="false">"67.9 %"</f>
        <v>67.9 %</v>
      </c>
      <c r="O1770" s="0" t="s">
        <v>6505</v>
      </c>
    </row>
    <row r="1771" customFormat="false" ht="13.8" hidden="false" customHeight="false" outlineLevel="0" collapsed="false">
      <c r="A1771" s="0" t="s">
        <v>6506</v>
      </c>
      <c r="D1771" s="0" t="s">
        <v>4213</v>
      </c>
      <c r="E1771" s="0" t="s">
        <v>404</v>
      </c>
      <c r="F1771" s="0" t="s">
        <v>6507</v>
      </c>
      <c r="G1771" s="0" t="n">
        <v>0</v>
      </c>
      <c r="H1771" s="0" t="s">
        <v>6508</v>
      </c>
      <c r="J1771" s="0" t="s">
        <v>6509</v>
      </c>
      <c r="K1771" s="0" t="str">
        <f aca="false">"9.1 %"</f>
        <v>9.1 %</v>
      </c>
      <c r="O1771" s="0" t="s">
        <v>6510</v>
      </c>
    </row>
    <row r="1772" customFormat="false" ht="13.8" hidden="false" customHeight="false" outlineLevel="0" collapsed="false">
      <c r="A1772" s="0" t="s">
        <v>6511</v>
      </c>
      <c r="D1772" s="0" t="s">
        <v>163</v>
      </c>
      <c r="E1772" s="0" t="s">
        <v>164</v>
      </c>
      <c r="F1772" s="0" t="s">
        <v>6512</v>
      </c>
      <c r="G1772" s="0" t="n">
        <v>0</v>
      </c>
      <c r="H1772" s="0" t="s">
        <v>6513</v>
      </c>
      <c r="J1772" s="0" t="s">
        <v>40</v>
      </c>
      <c r="K1772" s="0" t="str">
        <f aca="false">"7.57 %"</f>
        <v>7.57 %</v>
      </c>
      <c r="L1772" s="0" t="str">
        <f aca="false">"0.91 V"</f>
        <v>0.91 V</v>
      </c>
      <c r="O1772" s="0" t="s">
        <v>6514</v>
      </c>
    </row>
    <row r="1773" customFormat="false" ht="13.8" hidden="false" customHeight="false" outlineLevel="0" collapsed="false">
      <c r="A1773" s="0" t="s">
        <v>6515</v>
      </c>
      <c r="D1773" s="0" t="s">
        <v>201</v>
      </c>
      <c r="E1773" s="0" t="s">
        <v>202</v>
      </c>
      <c r="F1773" s="0" t="s">
        <v>422</v>
      </c>
      <c r="G1773" s="0" t="n">
        <v>1</v>
      </c>
      <c r="H1773" s="0" t="s">
        <v>27</v>
      </c>
      <c r="J1773" s="0" t="s">
        <v>28</v>
      </c>
      <c r="K1773" s="0" t="str">
        <f aca="false">"3.58 %"</f>
        <v>3.58 %</v>
      </c>
      <c r="O1773" s="0" t="s">
        <v>6516</v>
      </c>
    </row>
    <row r="1774" customFormat="false" ht="13.8" hidden="false" customHeight="false" outlineLevel="0" collapsed="false">
      <c r="A1774" s="0" t="s">
        <v>6517</v>
      </c>
      <c r="B1774" s="0" t="n">
        <v>1</v>
      </c>
      <c r="D1774" s="0" t="s">
        <v>16</v>
      </c>
      <c r="E1774" s="0" t="s">
        <v>17</v>
      </c>
      <c r="F1774" s="0" t="s">
        <v>18</v>
      </c>
      <c r="G1774" s="0" t="n">
        <v>0</v>
      </c>
      <c r="H1774" s="0" t="s">
        <v>6518</v>
      </c>
      <c r="I1774" s="0" t="s">
        <v>6519</v>
      </c>
      <c r="J1774" s="0" t="s">
        <v>6520</v>
      </c>
      <c r="K1774" s="0" t="str">
        <f aca="false">"2.7 %"</f>
        <v>2.7 %</v>
      </c>
      <c r="O1774" s="0" t="s">
        <v>6521</v>
      </c>
    </row>
    <row r="1775" customFormat="false" ht="13.8" hidden="false" customHeight="false" outlineLevel="0" collapsed="false">
      <c r="A1775" s="0" t="s">
        <v>6522</v>
      </c>
      <c r="D1775" s="0" t="s">
        <v>16</v>
      </c>
      <c r="E1775" s="0" t="s">
        <v>17</v>
      </c>
      <c r="F1775" s="0" t="s">
        <v>1351</v>
      </c>
      <c r="G1775" s="0" t="n">
        <v>1</v>
      </c>
      <c r="H1775" s="0" t="s">
        <v>33</v>
      </c>
      <c r="J1775" s="0" t="s">
        <v>538</v>
      </c>
      <c r="K1775" s="0" t="str">
        <f aca="false">"4.61 %"</f>
        <v>4.61 %</v>
      </c>
      <c r="O1775" s="0" t="s">
        <v>6523</v>
      </c>
    </row>
    <row r="1776" customFormat="false" ht="13.8" hidden="false" customHeight="false" outlineLevel="0" collapsed="false">
      <c r="A1776" s="0" t="s">
        <v>6524</v>
      </c>
      <c r="D1776" s="0" t="s">
        <v>6253</v>
      </c>
      <c r="E1776" s="0" t="s">
        <v>1169</v>
      </c>
      <c r="F1776" s="0" t="s">
        <v>6254</v>
      </c>
      <c r="G1776" s="0" t="n">
        <v>0</v>
      </c>
      <c r="H1776" s="0" t="s">
        <v>6525</v>
      </c>
      <c r="I1776" s="0" t="s">
        <v>1169</v>
      </c>
      <c r="J1776" s="0" t="s">
        <v>6526</v>
      </c>
      <c r="K1776" s="0" t="str">
        <f aca="false">"13.3 %"</f>
        <v>13.3 %</v>
      </c>
      <c r="O1776" s="0" t="s">
        <v>6527</v>
      </c>
    </row>
    <row r="1777" customFormat="false" ht="13.8" hidden="false" customHeight="false" outlineLevel="0" collapsed="false">
      <c r="A1777" s="0" t="s">
        <v>6528</v>
      </c>
      <c r="D1777" s="0" t="s">
        <v>201</v>
      </c>
      <c r="E1777" s="0" t="s">
        <v>202</v>
      </c>
      <c r="F1777" s="0" t="s">
        <v>422</v>
      </c>
      <c r="G1777" s="0" t="n">
        <v>1</v>
      </c>
      <c r="H1777" s="0" t="s">
        <v>27</v>
      </c>
      <c r="J1777" s="0" t="s">
        <v>28</v>
      </c>
      <c r="K1777" s="0" t="str">
        <f aca="false">"9.60 %"</f>
        <v>9.60 %</v>
      </c>
      <c r="O1777" s="0" t="s">
        <v>6529</v>
      </c>
    </row>
    <row r="1778" customFormat="false" ht="13.8" hidden="false" customHeight="false" outlineLevel="0" collapsed="false">
      <c r="A1778" s="0" t="s">
        <v>6530</v>
      </c>
      <c r="D1778" s="0" t="s">
        <v>6531</v>
      </c>
      <c r="E1778" s="0" t="s">
        <v>17</v>
      </c>
      <c r="F1778" s="0" t="s">
        <v>6532</v>
      </c>
      <c r="G1778" s="0" t="n">
        <v>1</v>
      </c>
      <c r="H1778" s="0" t="s">
        <v>33</v>
      </c>
      <c r="J1778" s="0" t="s">
        <v>34</v>
      </c>
      <c r="K1778" s="0" t="str">
        <f aca="false">"0.50 %"</f>
        <v>0.50 %</v>
      </c>
      <c r="O1778" s="0" t="s">
        <v>6533</v>
      </c>
    </row>
    <row r="1779" customFormat="false" ht="13.8" hidden="false" customHeight="false" outlineLevel="0" collapsed="false">
      <c r="A1779" s="0" t="s">
        <v>6534</v>
      </c>
      <c r="D1779" s="0" t="s">
        <v>6535</v>
      </c>
      <c r="F1779" s="0" t="s">
        <v>6536</v>
      </c>
      <c r="G1779" s="0" t="n">
        <v>1</v>
      </c>
      <c r="H1779" s="0" t="s">
        <v>27</v>
      </c>
      <c r="J1779" s="0" t="s">
        <v>28</v>
      </c>
      <c r="K1779" s="0" t="str">
        <f aca="false">"1.8 %"</f>
        <v>1.8 %</v>
      </c>
      <c r="O1779" s="0" t="s">
        <v>6537</v>
      </c>
    </row>
    <row r="1780" customFormat="false" ht="13.8" hidden="false" customHeight="false" outlineLevel="0" collapsed="false">
      <c r="A1780" s="0" t="s">
        <v>6538</v>
      </c>
      <c r="D1780" s="0" t="s">
        <v>208</v>
      </c>
      <c r="E1780" s="0" t="s">
        <v>17</v>
      </c>
      <c r="F1780" s="0" t="s">
        <v>209</v>
      </c>
      <c r="G1780" s="0" t="n">
        <v>1</v>
      </c>
      <c r="H1780" s="0" t="s">
        <v>33</v>
      </c>
      <c r="J1780" s="0" t="s">
        <v>40</v>
      </c>
      <c r="K1780" s="0" t="str">
        <f aca="false">"2.2 %"</f>
        <v>2.2 %</v>
      </c>
      <c r="O1780" s="0" t="s">
        <v>6539</v>
      </c>
    </row>
    <row r="1781" customFormat="false" ht="13.8" hidden="false" customHeight="false" outlineLevel="0" collapsed="false">
      <c r="A1781" s="0" t="s">
        <v>6540</v>
      </c>
      <c r="D1781" s="0" t="s">
        <v>16</v>
      </c>
      <c r="E1781" s="0" t="s">
        <v>17</v>
      </c>
      <c r="F1781" s="0" t="s">
        <v>18</v>
      </c>
      <c r="G1781" s="0" t="n">
        <v>1</v>
      </c>
      <c r="H1781" s="0" t="s">
        <v>27</v>
      </c>
      <c r="J1781" s="0" t="s">
        <v>1799</v>
      </c>
      <c r="K1781" s="0" t="str">
        <f aca="false">"8.4 %"</f>
        <v>8.4 %</v>
      </c>
      <c r="O1781" s="0" t="s">
        <v>6541</v>
      </c>
    </row>
    <row r="1782" customFormat="false" ht="13.8" hidden="false" customHeight="false" outlineLevel="0" collapsed="false">
      <c r="A1782" s="0" t="s">
        <v>6542</v>
      </c>
      <c r="D1782" s="0" t="s">
        <v>6543</v>
      </c>
      <c r="F1782" s="0" t="s">
        <v>40</v>
      </c>
      <c r="G1782" s="0" t="n">
        <v>1</v>
      </c>
      <c r="H1782" s="0" t="s">
        <v>27</v>
      </c>
      <c r="J1782" s="0" t="s">
        <v>28</v>
      </c>
      <c r="K1782" s="0" t="str">
        <f aca="false">"2.4-2.6 %"</f>
        <v>2.4-2.6 %</v>
      </c>
      <c r="L1782" s="0" t="str">
        <f aca="false">"0.92 V"</f>
        <v>0.92 V</v>
      </c>
      <c r="M1782" s="0" t="str">
        <f aca="false">"15.1 mA/cm^{2}"</f>
        <v>15.1 mA/cm^{2}</v>
      </c>
      <c r="N1782" s="0" t="str">
        <f aca="false">"0.48"</f>
        <v>0.48</v>
      </c>
      <c r="O1782" s="0" t="s">
        <v>6544</v>
      </c>
    </row>
    <row r="1783" customFormat="false" ht="13.8" hidden="false" customHeight="false" outlineLevel="0" collapsed="false">
      <c r="A1783" s="0" t="s">
        <v>6545</v>
      </c>
      <c r="D1783" s="0" t="s">
        <v>85</v>
      </c>
      <c r="E1783" s="0" t="s">
        <v>86</v>
      </c>
      <c r="F1783" s="0" t="s">
        <v>6546</v>
      </c>
      <c r="G1783" s="0" t="n">
        <v>1</v>
      </c>
      <c r="H1783" s="0" t="s">
        <v>27</v>
      </c>
      <c r="J1783" s="0" t="s">
        <v>28</v>
      </c>
      <c r="K1783" s="0" t="str">
        <f aca="false">"10.28 %"</f>
        <v>10.28 %</v>
      </c>
      <c r="L1783" s="0" t="str">
        <f aca="false">"0.73 V"</f>
        <v>0.73 V</v>
      </c>
      <c r="M1783" s="0" t="str">
        <f aca="false">"18.72 mA cm^{-2}"</f>
        <v>18.72 mA cm^{-2}</v>
      </c>
      <c r="N1783" s="0" t="str">
        <f aca="false">"75.03 %"</f>
        <v>75.03 %</v>
      </c>
      <c r="O1783" s="0" t="s">
        <v>6547</v>
      </c>
    </row>
    <row r="1784" customFormat="false" ht="13.8" hidden="false" customHeight="false" outlineLevel="0" collapsed="false">
      <c r="A1784" s="0" t="s">
        <v>6548</v>
      </c>
      <c r="D1784" s="0" t="s">
        <v>855</v>
      </c>
      <c r="F1784" s="0" t="s">
        <v>40</v>
      </c>
      <c r="G1784" s="0" t="n">
        <v>0</v>
      </c>
      <c r="H1784" s="0" t="s">
        <v>6549</v>
      </c>
      <c r="J1784" s="0" t="s">
        <v>40</v>
      </c>
      <c r="K1784" s="0" t="str">
        <f aca="false">"2.9 %"</f>
        <v>2.9 %</v>
      </c>
      <c r="O1784" s="0" t="s">
        <v>6550</v>
      </c>
    </row>
    <row r="1785" customFormat="false" ht="13.8" hidden="false" customHeight="false" outlineLevel="0" collapsed="false">
      <c r="A1785" s="0" t="s">
        <v>6551</v>
      </c>
      <c r="D1785" s="0" t="s">
        <v>31</v>
      </c>
      <c r="E1785" s="0" t="s">
        <v>17</v>
      </c>
      <c r="F1785" s="0" t="s">
        <v>1351</v>
      </c>
      <c r="G1785" s="0" t="n">
        <v>1</v>
      </c>
      <c r="H1785" s="0" t="s">
        <v>33</v>
      </c>
      <c r="J1785" s="0" t="s">
        <v>6552</v>
      </c>
      <c r="K1785" s="0" t="str">
        <f aca="false">"4.4 %"</f>
        <v>4.4 %</v>
      </c>
      <c r="O1785" s="0" t="s">
        <v>6553</v>
      </c>
    </row>
    <row r="1786" customFormat="false" ht="13.8" hidden="false" customHeight="false" outlineLevel="0" collapsed="false">
      <c r="A1786" s="0" t="s">
        <v>6554</v>
      </c>
      <c r="D1786" s="0" t="s">
        <v>1341</v>
      </c>
      <c r="E1786" s="0" t="s">
        <v>1342</v>
      </c>
      <c r="F1786" s="0" t="s">
        <v>6555</v>
      </c>
      <c r="G1786" s="0" t="n">
        <v>1</v>
      </c>
      <c r="H1786" s="0" t="s">
        <v>27</v>
      </c>
      <c r="J1786" s="0" t="s">
        <v>28</v>
      </c>
      <c r="K1786" s="0" t="str">
        <f aca="false">"10.23 %"</f>
        <v>10.23 %</v>
      </c>
      <c r="O1786" s="0" t="s">
        <v>6556</v>
      </c>
    </row>
    <row r="1787" customFormat="false" ht="13.8" hidden="false" customHeight="false" outlineLevel="0" collapsed="false">
      <c r="A1787" s="0" t="s">
        <v>6557</v>
      </c>
      <c r="D1787" s="0" t="s">
        <v>16</v>
      </c>
      <c r="E1787" s="0" t="s">
        <v>17</v>
      </c>
      <c r="F1787" s="0" t="s">
        <v>116</v>
      </c>
      <c r="G1787" s="0" t="n">
        <v>1</v>
      </c>
      <c r="H1787" s="0" t="s">
        <v>117</v>
      </c>
      <c r="J1787" s="0" t="s">
        <v>118</v>
      </c>
      <c r="K1787" s="0" t="str">
        <f aca="false">"4.4 ± 0.3 %"</f>
        <v>4.4 ± 0.3 %</v>
      </c>
      <c r="N1787" s="0" t="str">
        <f aca="false">"66 ± 2 %"</f>
        <v>66 ± 2 %</v>
      </c>
      <c r="O1787" s="0" t="s">
        <v>6558</v>
      </c>
    </row>
    <row r="1788" customFormat="false" ht="13.8" hidden="false" customHeight="false" outlineLevel="0" collapsed="false">
      <c r="A1788" s="0" t="s">
        <v>6559</v>
      </c>
      <c r="D1788" s="0" t="s">
        <v>124</v>
      </c>
      <c r="F1788" s="0" t="s">
        <v>5436</v>
      </c>
      <c r="G1788" s="0" t="n">
        <v>1</v>
      </c>
      <c r="H1788" s="0" t="s">
        <v>33</v>
      </c>
      <c r="J1788" s="0" t="s">
        <v>40</v>
      </c>
      <c r="K1788" s="0" t="str">
        <f aca="false">"6.34 %"</f>
        <v>6.34 %</v>
      </c>
      <c r="O1788" s="0" t="s">
        <v>6560</v>
      </c>
    </row>
    <row r="1789" customFormat="false" ht="13.8" hidden="false" customHeight="false" outlineLevel="0" collapsed="false">
      <c r="A1789" s="0" t="s">
        <v>6561</v>
      </c>
      <c r="D1789" s="0" t="s">
        <v>16</v>
      </c>
      <c r="E1789" s="0" t="s">
        <v>17</v>
      </c>
      <c r="F1789" s="0" t="s">
        <v>18</v>
      </c>
      <c r="G1789" s="0" t="n">
        <v>1</v>
      </c>
      <c r="H1789" s="0" t="s">
        <v>76</v>
      </c>
      <c r="J1789" s="0" t="s">
        <v>77</v>
      </c>
      <c r="K1789" s="0" t="str">
        <f aca="false">"3.3 %"</f>
        <v>3.3 %</v>
      </c>
      <c r="O1789" s="0" t="s">
        <v>6562</v>
      </c>
    </row>
    <row r="1790" customFormat="false" ht="13.8" hidden="false" customHeight="false" outlineLevel="0" collapsed="false">
      <c r="A1790" s="0" t="s">
        <v>6563</v>
      </c>
      <c r="D1790" s="0" t="s">
        <v>6564</v>
      </c>
      <c r="F1790" s="0" t="s">
        <v>6565</v>
      </c>
      <c r="G1790" s="0" t="n">
        <v>1</v>
      </c>
      <c r="H1790" s="0" t="s">
        <v>27</v>
      </c>
      <c r="J1790" s="0" t="s">
        <v>28</v>
      </c>
      <c r="K1790" s="0" t="str">
        <f aca="false">"6.52 %"</f>
        <v>6.52 %</v>
      </c>
      <c r="O1790" s="0" t="s">
        <v>6566</v>
      </c>
    </row>
    <row r="1791" customFormat="false" ht="13.8" hidden="false" customHeight="false" outlineLevel="0" collapsed="false">
      <c r="A1791" s="0" t="s">
        <v>6563</v>
      </c>
      <c r="D1791" s="0" t="s">
        <v>128</v>
      </c>
      <c r="F1791" s="0" t="s">
        <v>130</v>
      </c>
      <c r="G1791" s="0" t="n">
        <v>1</v>
      </c>
      <c r="H1791" s="0" t="s">
        <v>27</v>
      </c>
      <c r="J1791" s="0" t="s">
        <v>28</v>
      </c>
      <c r="K1791" s="0" t="str">
        <f aca="false">"2.51 %"</f>
        <v>2.51 %</v>
      </c>
      <c r="O1791" s="0" t="s">
        <v>6567</v>
      </c>
    </row>
    <row r="1792" customFormat="false" ht="13.8" hidden="false" customHeight="false" outlineLevel="0" collapsed="false">
      <c r="A1792" s="0" t="s">
        <v>6568</v>
      </c>
      <c r="D1792" s="0" t="s">
        <v>201</v>
      </c>
      <c r="E1792" s="0" t="s">
        <v>202</v>
      </c>
      <c r="F1792" s="0" t="s">
        <v>422</v>
      </c>
      <c r="G1792" s="0" t="n">
        <v>1</v>
      </c>
      <c r="H1792" s="0" t="s">
        <v>27</v>
      </c>
      <c r="J1792" s="0" t="s">
        <v>28</v>
      </c>
      <c r="K1792" s="0" t="str">
        <f aca="false">"3.01 %"</f>
        <v>3.01 %</v>
      </c>
      <c r="O1792" s="0" t="s">
        <v>6569</v>
      </c>
    </row>
    <row r="1793" customFormat="false" ht="13.8" hidden="false" customHeight="false" outlineLevel="0" collapsed="false">
      <c r="A1793" s="0" t="s">
        <v>6568</v>
      </c>
      <c r="D1793" s="0" t="s">
        <v>214</v>
      </c>
      <c r="E1793" s="0" t="s">
        <v>64</v>
      </c>
      <c r="F1793" s="0" t="s">
        <v>215</v>
      </c>
      <c r="G1793" s="0" t="n">
        <v>1</v>
      </c>
      <c r="H1793" s="0" t="s">
        <v>27</v>
      </c>
      <c r="J1793" s="0" t="s">
        <v>28</v>
      </c>
      <c r="K1793" s="0" t="str">
        <f aca="false">"4.81 %"</f>
        <v>4.81 %</v>
      </c>
      <c r="O1793" s="0" t="s">
        <v>6570</v>
      </c>
    </row>
    <row r="1794" customFormat="false" ht="13.8" hidden="false" customHeight="false" outlineLevel="0" collapsed="false">
      <c r="A1794" s="0" t="s">
        <v>6571</v>
      </c>
      <c r="D1794" s="0" t="s">
        <v>6572</v>
      </c>
      <c r="F1794" s="0" t="s">
        <v>6573</v>
      </c>
      <c r="G1794" s="0" t="n">
        <v>1</v>
      </c>
      <c r="H1794" s="0" t="s">
        <v>27</v>
      </c>
      <c r="J1794" s="0" t="s">
        <v>28</v>
      </c>
      <c r="K1794" s="0" t="str">
        <f aca="false">"10.78 %"</f>
        <v>10.78 %</v>
      </c>
      <c r="O1794" s="0" t="s">
        <v>6574</v>
      </c>
    </row>
    <row r="1795" customFormat="false" ht="13.8" hidden="false" customHeight="false" outlineLevel="0" collapsed="false">
      <c r="A1795" s="0" t="s">
        <v>6575</v>
      </c>
      <c r="D1795" s="0" t="s">
        <v>6576</v>
      </c>
      <c r="F1795" s="0" t="s">
        <v>6577</v>
      </c>
      <c r="G1795" s="0" t="n">
        <v>1</v>
      </c>
      <c r="H1795" s="0" t="s">
        <v>1829</v>
      </c>
      <c r="J1795" s="0" t="s">
        <v>40</v>
      </c>
      <c r="K1795" s="0" t="str">
        <f aca="false">"7.26 %"</f>
        <v>7.26 %</v>
      </c>
      <c r="O1795" s="0" t="s">
        <v>6578</v>
      </c>
    </row>
    <row r="1796" customFormat="false" ht="13.8" hidden="false" customHeight="false" outlineLevel="0" collapsed="false">
      <c r="A1796" s="0" t="s">
        <v>6579</v>
      </c>
      <c r="D1796" s="0" t="s">
        <v>6580</v>
      </c>
      <c r="F1796" s="0" t="s">
        <v>6581</v>
      </c>
      <c r="G1796" s="0" t="n">
        <v>0</v>
      </c>
      <c r="H1796" s="0" t="s">
        <v>6582</v>
      </c>
      <c r="J1796" s="0" t="s">
        <v>6583</v>
      </c>
      <c r="K1796" s="0" t="str">
        <f aca="false">"9.16 %"</f>
        <v>9.16 %</v>
      </c>
      <c r="L1796" s="0" t="str">
        <f aca="false">"0.92 V"</f>
        <v>0.92 V</v>
      </c>
      <c r="M1796" s="0" t="str">
        <f aca="false">"15.81 mA cm^{-2}"</f>
        <v>15.81 mA cm^{-2}</v>
      </c>
      <c r="N1796" s="0" t="str">
        <f aca="false">"0.63"</f>
        <v>0.63</v>
      </c>
      <c r="O1796" s="0" t="s">
        <v>6584</v>
      </c>
    </row>
    <row r="1797" customFormat="false" ht="13.8" hidden="false" customHeight="false" outlineLevel="0" collapsed="false">
      <c r="A1797" s="0" t="s">
        <v>6585</v>
      </c>
      <c r="D1797" s="0" t="s">
        <v>6586</v>
      </c>
      <c r="F1797" s="0" t="s">
        <v>6587</v>
      </c>
      <c r="G1797" s="0" t="n">
        <v>1</v>
      </c>
      <c r="H1797" s="0" t="s">
        <v>27</v>
      </c>
      <c r="J1797" s="0" t="s">
        <v>28</v>
      </c>
      <c r="O1797" s="0" t="s">
        <v>6588</v>
      </c>
    </row>
    <row r="1798" customFormat="false" ht="13.8" hidden="false" customHeight="false" outlineLevel="0" collapsed="false">
      <c r="A1798" s="0" t="s">
        <v>6585</v>
      </c>
      <c r="D1798" s="0" t="s">
        <v>1924</v>
      </c>
      <c r="E1798" s="0" t="s">
        <v>1925</v>
      </c>
      <c r="F1798" s="0" t="s">
        <v>1926</v>
      </c>
      <c r="G1798" s="0" t="n">
        <v>1</v>
      </c>
      <c r="H1798" s="0" t="s">
        <v>27</v>
      </c>
      <c r="J1798" s="0" t="s">
        <v>28</v>
      </c>
      <c r="K1798" s="0" t="str">
        <f aca="false">"~8.2 %"</f>
        <v>~8.2 %</v>
      </c>
      <c r="O1798" s="0" t="s">
        <v>6589</v>
      </c>
    </row>
    <row r="1799" customFormat="false" ht="13.8" hidden="false" customHeight="false" outlineLevel="0" collapsed="false">
      <c r="A1799" s="0" t="s">
        <v>6590</v>
      </c>
      <c r="D1799" s="0" t="s">
        <v>6591</v>
      </c>
      <c r="F1799" s="0" t="s">
        <v>40</v>
      </c>
      <c r="G1799" s="0" t="n">
        <v>1</v>
      </c>
      <c r="H1799" s="0" t="s">
        <v>27</v>
      </c>
      <c r="J1799" s="0" t="s">
        <v>28</v>
      </c>
      <c r="K1799" s="0" t="str">
        <f aca="false">"8.04 %"</f>
        <v>8.04 %</v>
      </c>
      <c r="O1799" s="0" t="s">
        <v>6592</v>
      </c>
    </row>
    <row r="1800" customFormat="false" ht="13.8" hidden="false" customHeight="false" outlineLevel="0" collapsed="false">
      <c r="A1800" s="0" t="s">
        <v>6593</v>
      </c>
      <c r="D1800" s="0" t="s">
        <v>3938</v>
      </c>
      <c r="F1800" s="0" t="s">
        <v>6594</v>
      </c>
      <c r="G1800" s="0" t="n">
        <v>1</v>
      </c>
      <c r="H1800" s="0" t="s">
        <v>27</v>
      </c>
      <c r="J1800" s="0" t="s">
        <v>28</v>
      </c>
      <c r="K1800" s="0" t="str">
        <f aca="false">"7.8 %"</f>
        <v>7.8 %</v>
      </c>
      <c r="O1800" s="0" t="s">
        <v>6595</v>
      </c>
    </row>
    <row r="1801" customFormat="false" ht="13.8" hidden="false" customHeight="false" outlineLevel="0" collapsed="false">
      <c r="A1801" s="0" t="s">
        <v>6596</v>
      </c>
      <c r="B1801" s="0" t="n">
        <v>1</v>
      </c>
      <c r="D1801" s="0" t="s">
        <v>16</v>
      </c>
      <c r="E1801" s="0" t="s">
        <v>17</v>
      </c>
      <c r="F1801" s="0" t="s">
        <v>18</v>
      </c>
      <c r="G1801" s="0" t="n">
        <v>0</v>
      </c>
      <c r="H1801" s="0" t="s">
        <v>6518</v>
      </c>
      <c r="I1801" s="0" t="s">
        <v>6519</v>
      </c>
      <c r="J1801" s="0" t="s">
        <v>6520</v>
      </c>
      <c r="K1801" s="0" t="str">
        <f aca="false">"3.5 %"</f>
        <v>3.5 %</v>
      </c>
      <c r="O1801" s="0" t="s">
        <v>6597</v>
      </c>
    </row>
    <row r="1802" customFormat="false" ht="13.8" hidden="false" customHeight="false" outlineLevel="0" collapsed="false">
      <c r="A1802" s="0" t="s">
        <v>6598</v>
      </c>
      <c r="D1802" s="0" t="s">
        <v>6599</v>
      </c>
      <c r="F1802" s="0" t="s">
        <v>40</v>
      </c>
      <c r="G1802" s="0" t="n">
        <v>0</v>
      </c>
      <c r="H1802" s="0" t="s">
        <v>6600</v>
      </c>
      <c r="J1802" s="0" t="s">
        <v>40</v>
      </c>
      <c r="L1802" s="0" t="str">
        <f aca="false">"0.88 V"</f>
        <v>0.88 V</v>
      </c>
      <c r="O1802" s="0" t="s">
        <v>6601</v>
      </c>
    </row>
    <row r="1803" customFormat="false" ht="13.8" hidden="false" customHeight="false" outlineLevel="0" collapsed="false">
      <c r="A1803" s="0" t="s">
        <v>6598</v>
      </c>
      <c r="D1803" s="0" t="s">
        <v>16</v>
      </c>
      <c r="E1803" s="0" t="s">
        <v>17</v>
      </c>
      <c r="F1803" s="0" t="s">
        <v>18</v>
      </c>
      <c r="G1803" s="0" t="n">
        <v>0</v>
      </c>
      <c r="H1803" s="0" t="s">
        <v>6600</v>
      </c>
      <c r="J1803" s="0" t="s">
        <v>40</v>
      </c>
      <c r="K1803" s="0" t="str">
        <f aca="false">"3.6 %"</f>
        <v>3.6 %</v>
      </c>
      <c r="N1803" s="0" t="str">
        <f aca="false">"45 %"</f>
        <v>45 %</v>
      </c>
      <c r="O1803" s="0" t="s">
        <v>6602</v>
      </c>
    </row>
    <row r="1804" customFormat="false" ht="13.8" hidden="false" customHeight="false" outlineLevel="0" collapsed="false">
      <c r="A1804" s="0" t="s">
        <v>6603</v>
      </c>
      <c r="D1804" s="0" t="s">
        <v>85</v>
      </c>
      <c r="E1804" s="0" t="s">
        <v>86</v>
      </c>
      <c r="F1804" s="0" t="s">
        <v>1794</v>
      </c>
      <c r="G1804" s="0" t="n">
        <v>1</v>
      </c>
      <c r="H1804" s="0" t="s">
        <v>27</v>
      </c>
      <c r="J1804" s="0" t="s">
        <v>28</v>
      </c>
      <c r="K1804" s="0" t="str">
        <f aca="false">"9.47 %"</f>
        <v>9.47 %</v>
      </c>
      <c r="O1804" s="0" t="s">
        <v>6604</v>
      </c>
    </row>
    <row r="1805" customFormat="false" ht="13.8" hidden="false" customHeight="false" outlineLevel="0" collapsed="false">
      <c r="A1805" s="0" t="s">
        <v>6605</v>
      </c>
      <c r="D1805" s="0" t="s">
        <v>1924</v>
      </c>
      <c r="E1805" s="0" t="s">
        <v>1925</v>
      </c>
      <c r="F1805" s="0" t="s">
        <v>1926</v>
      </c>
      <c r="G1805" s="0" t="n">
        <v>1</v>
      </c>
      <c r="H1805" s="0" t="s">
        <v>27</v>
      </c>
      <c r="J1805" s="0" t="s">
        <v>28</v>
      </c>
      <c r="K1805" s="0" t="str">
        <f aca="false">"3.49 %"</f>
        <v>3.49 %</v>
      </c>
      <c r="O1805" s="0" t="s">
        <v>6606</v>
      </c>
    </row>
    <row r="1806" customFormat="false" ht="13.8" hidden="false" customHeight="false" outlineLevel="0" collapsed="false">
      <c r="A1806" s="0" t="s">
        <v>6605</v>
      </c>
      <c r="D1806" s="0" t="s">
        <v>6607</v>
      </c>
      <c r="F1806" s="0" t="s">
        <v>6608</v>
      </c>
      <c r="G1806" s="0" t="n">
        <v>1</v>
      </c>
      <c r="H1806" s="0" t="s">
        <v>27</v>
      </c>
      <c r="J1806" s="0" t="s">
        <v>28</v>
      </c>
      <c r="K1806" s="0" t="str">
        <f aca="false">"8.63 %"</f>
        <v>8.63 %</v>
      </c>
      <c r="O1806" s="0" t="s">
        <v>6609</v>
      </c>
    </row>
    <row r="1807" customFormat="false" ht="13.8" hidden="false" customHeight="false" outlineLevel="0" collapsed="false">
      <c r="A1807" s="0" t="s">
        <v>6610</v>
      </c>
      <c r="D1807" s="0" t="s">
        <v>16</v>
      </c>
      <c r="E1807" s="0" t="s">
        <v>17</v>
      </c>
      <c r="F1807" s="0" t="s">
        <v>116</v>
      </c>
      <c r="G1807" s="0" t="n">
        <v>1</v>
      </c>
      <c r="H1807" s="0" t="s">
        <v>575</v>
      </c>
      <c r="J1807" s="0" t="s">
        <v>576</v>
      </c>
      <c r="K1807" s="0" t="str">
        <f aca="false">"6.50 %"</f>
        <v>6.50 %</v>
      </c>
      <c r="O1807" s="0" t="s">
        <v>6611</v>
      </c>
    </row>
    <row r="1808" customFormat="false" ht="13.8" hidden="false" customHeight="false" outlineLevel="0" collapsed="false">
      <c r="A1808" s="0" t="s">
        <v>6610</v>
      </c>
      <c r="D1808" s="0" t="s">
        <v>201</v>
      </c>
      <c r="E1808" s="0" t="s">
        <v>202</v>
      </c>
      <c r="F1808" s="0" t="s">
        <v>422</v>
      </c>
      <c r="G1808" s="0" t="n">
        <v>1</v>
      </c>
      <c r="H1808" s="0" t="s">
        <v>575</v>
      </c>
      <c r="J1808" s="0" t="s">
        <v>576</v>
      </c>
      <c r="K1808" s="0" t="str">
        <f aca="false">"8.15 %"</f>
        <v>8.15 %</v>
      </c>
      <c r="O1808" s="0" t="s">
        <v>6612</v>
      </c>
    </row>
    <row r="1809" customFormat="false" ht="13.8" hidden="false" customHeight="false" outlineLevel="0" collapsed="false">
      <c r="A1809" s="0" t="s">
        <v>6613</v>
      </c>
      <c r="D1809" s="0" t="s">
        <v>109</v>
      </c>
      <c r="E1809" s="0" t="s">
        <v>110</v>
      </c>
      <c r="F1809" s="0" t="s">
        <v>111</v>
      </c>
      <c r="G1809" s="0" t="n">
        <v>1</v>
      </c>
      <c r="H1809" s="0" t="s">
        <v>27</v>
      </c>
      <c r="J1809" s="0" t="s">
        <v>28</v>
      </c>
      <c r="K1809" s="0" t="str">
        <f aca="false">"8.7 %"</f>
        <v>8.7 %</v>
      </c>
      <c r="O1809" s="0" t="s">
        <v>6614</v>
      </c>
    </row>
    <row r="1810" customFormat="false" ht="13.8" hidden="false" customHeight="false" outlineLevel="0" collapsed="false">
      <c r="A1810" s="0" t="s">
        <v>6615</v>
      </c>
      <c r="D1810" s="0" t="s">
        <v>201</v>
      </c>
      <c r="E1810" s="0" t="s">
        <v>202</v>
      </c>
      <c r="F1810" s="0" t="s">
        <v>422</v>
      </c>
      <c r="G1810" s="0" t="n">
        <v>1</v>
      </c>
      <c r="H1810" s="0" t="s">
        <v>27</v>
      </c>
      <c r="J1810" s="0" t="s">
        <v>28</v>
      </c>
      <c r="K1810" s="0" t="str">
        <f aca="false">"10.35 %"</f>
        <v>10.35 %</v>
      </c>
      <c r="O1810" s="0" t="s">
        <v>6616</v>
      </c>
    </row>
    <row r="1811" customFormat="false" ht="13.8" hidden="false" customHeight="false" outlineLevel="0" collapsed="false">
      <c r="A1811" s="0" t="s">
        <v>6617</v>
      </c>
      <c r="D1811" s="0" t="s">
        <v>201</v>
      </c>
      <c r="E1811" s="0" t="s">
        <v>202</v>
      </c>
      <c r="F1811" s="0" t="s">
        <v>422</v>
      </c>
      <c r="G1811" s="0" t="n">
        <v>1</v>
      </c>
      <c r="H1811" s="0" t="s">
        <v>27</v>
      </c>
      <c r="J1811" s="0" t="s">
        <v>28</v>
      </c>
      <c r="K1811" s="0" t="str">
        <f aca="false">"9.8 %"</f>
        <v>9.8 %</v>
      </c>
      <c r="O1811" s="0" t="s">
        <v>6618</v>
      </c>
    </row>
    <row r="1812" customFormat="false" ht="13.8" hidden="false" customHeight="false" outlineLevel="0" collapsed="false">
      <c r="A1812" s="0" t="s">
        <v>6619</v>
      </c>
      <c r="D1812" s="0" t="s">
        <v>6620</v>
      </c>
      <c r="E1812" s="0" t="s">
        <v>6621</v>
      </c>
      <c r="F1812" s="0" t="s">
        <v>6622</v>
      </c>
      <c r="G1812" s="0" t="n">
        <v>1</v>
      </c>
      <c r="H1812" s="0" t="s">
        <v>27</v>
      </c>
      <c r="J1812" s="0" t="s">
        <v>28</v>
      </c>
      <c r="K1812" s="0" t="str">
        <f aca="false">"7.6 %"</f>
        <v>7.6 %</v>
      </c>
      <c r="N1812" s="0" t="str">
        <f aca="false">"6.8 %"</f>
        <v>6.8 %</v>
      </c>
      <c r="O1812" s="0" t="s">
        <v>6623</v>
      </c>
    </row>
    <row r="1813" customFormat="false" ht="13.8" hidden="false" customHeight="false" outlineLevel="0" collapsed="false">
      <c r="A1813" s="0" t="s">
        <v>6624</v>
      </c>
      <c r="D1813" s="0" t="s">
        <v>1850</v>
      </c>
      <c r="F1813" s="0" t="s">
        <v>6625</v>
      </c>
      <c r="G1813" s="0" t="n">
        <v>1</v>
      </c>
      <c r="H1813" s="0" t="s">
        <v>27</v>
      </c>
      <c r="J1813" s="0" t="s">
        <v>28</v>
      </c>
      <c r="K1813" s="0" t="str">
        <f aca="false">"9.29 %"</f>
        <v>9.29 %</v>
      </c>
      <c r="M1813" s="0" t="str">
        <f aca="false">"14.56 mA cm^{-2}"</f>
        <v>14.56 mA cm^{-2}</v>
      </c>
      <c r="N1813" s="0" t="str">
        <f aca="false">"0.751"</f>
        <v>0.751</v>
      </c>
      <c r="O1813" s="0" t="s">
        <v>6626</v>
      </c>
    </row>
    <row r="1814" customFormat="false" ht="13.8" hidden="false" customHeight="false" outlineLevel="0" collapsed="false">
      <c r="A1814" s="0" t="s">
        <v>6627</v>
      </c>
      <c r="D1814" s="0" t="s">
        <v>6628</v>
      </c>
      <c r="F1814" s="0" t="s">
        <v>6629</v>
      </c>
      <c r="G1814" s="0" t="n">
        <v>1</v>
      </c>
      <c r="H1814" s="0" t="s">
        <v>27</v>
      </c>
      <c r="J1814" s="0" t="s">
        <v>28</v>
      </c>
      <c r="K1814" s="0" t="str">
        <f aca="false">"5.87 %"</f>
        <v>5.87 %</v>
      </c>
      <c r="O1814" s="0" t="s">
        <v>6630</v>
      </c>
    </row>
    <row r="1815" customFormat="false" ht="13.8" hidden="false" customHeight="false" outlineLevel="0" collapsed="false">
      <c r="A1815" s="0" t="s">
        <v>6631</v>
      </c>
      <c r="D1815" s="0" t="s">
        <v>6632</v>
      </c>
      <c r="F1815" s="0" t="s">
        <v>6633</v>
      </c>
      <c r="G1815" s="0" t="n">
        <v>0</v>
      </c>
      <c r="H1815" s="0" t="s">
        <v>6634</v>
      </c>
      <c r="J1815" s="0" t="s">
        <v>40</v>
      </c>
      <c r="K1815" s="0" t="str">
        <f aca="false">"12.36 %"</f>
        <v>12.36 %</v>
      </c>
      <c r="L1815" s="0" t="str">
        <f aca="false">"0.93 V"</f>
        <v>0.93 V</v>
      </c>
      <c r="M1815" s="0" t="str">
        <f aca="false">"18.86 mA cm^{-2}"</f>
        <v>18.86 mA cm^{-2}</v>
      </c>
      <c r="N1815" s="0" t="str">
        <f aca="false">"0.71"</f>
        <v>0.71</v>
      </c>
      <c r="O1815" s="0" t="s">
        <v>6635</v>
      </c>
    </row>
    <row r="1816" customFormat="false" ht="13.8" hidden="false" customHeight="false" outlineLevel="0" collapsed="false">
      <c r="A1816" s="0" t="s">
        <v>6636</v>
      </c>
      <c r="D1816" s="0" t="s">
        <v>201</v>
      </c>
      <c r="E1816" s="0" t="s">
        <v>202</v>
      </c>
      <c r="F1816" s="0" t="s">
        <v>422</v>
      </c>
      <c r="G1816" s="0" t="n">
        <v>1</v>
      </c>
      <c r="H1816" s="0" t="s">
        <v>27</v>
      </c>
      <c r="J1816" s="0" t="s">
        <v>28</v>
      </c>
      <c r="K1816" s="0" t="str">
        <f aca="false">"10 %"</f>
        <v>10 %</v>
      </c>
      <c r="O1816" s="0" t="s">
        <v>6637</v>
      </c>
    </row>
    <row r="1817" customFormat="false" ht="13.8" hidden="false" customHeight="false" outlineLevel="0" collapsed="false">
      <c r="A1817" s="0" t="s">
        <v>6638</v>
      </c>
      <c r="D1817" s="0" t="s">
        <v>16</v>
      </c>
      <c r="E1817" s="0" t="s">
        <v>17</v>
      </c>
      <c r="F1817" s="0" t="s">
        <v>3850</v>
      </c>
      <c r="G1817" s="0" t="n">
        <v>0</v>
      </c>
      <c r="H1817" s="0" t="s">
        <v>6639</v>
      </c>
      <c r="J1817" s="0" t="s">
        <v>6640</v>
      </c>
      <c r="K1817" s="0" t="str">
        <f aca="false">"6.24 %"</f>
        <v>6.24 %</v>
      </c>
      <c r="M1817" s="0" t="str">
        <f aca="false">"10.66 mA cm^{-2}"</f>
        <v>10.66 mA cm^{-2}</v>
      </c>
      <c r="O1817" s="0" t="s">
        <v>6641</v>
      </c>
    </row>
    <row r="1818" customFormat="false" ht="13.8" hidden="false" customHeight="false" outlineLevel="0" collapsed="false">
      <c r="A1818" s="0" t="s">
        <v>6638</v>
      </c>
      <c r="D1818" s="0" t="s">
        <v>16</v>
      </c>
      <c r="E1818" s="0" t="s">
        <v>17</v>
      </c>
      <c r="F1818" s="0" t="s">
        <v>3850</v>
      </c>
      <c r="G1818" s="0" t="n">
        <v>0</v>
      </c>
      <c r="H1818" s="0" t="s">
        <v>6642</v>
      </c>
      <c r="J1818" s="0" t="s">
        <v>6640</v>
      </c>
      <c r="K1818" s="0" t="str">
        <f aca="false">"2.80 %"</f>
        <v>2.80 %</v>
      </c>
      <c r="L1818" s="0" t="str">
        <f aca="false">"0.48 V"</f>
        <v>0.48 V</v>
      </c>
      <c r="O1818" s="0" t="s">
        <v>6643</v>
      </c>
    </row>
    <row r="1819" customFormat="false" ht="13.8" hidden="false" customHeight="false" outlineLevel="0" collapsed="false">
      <c r="A1819" s="0" t="s">
        <v>6644</v>
      </c>
      <c r="D1819" s="0" t="s">
        <v>253</v>
      </c>
      <c r="F1819" s="0" t="s">
        <v>258</v>
      </c>
      <c r="G1819" s="0" t="n">
        <v>0</v>
      </c>
      <c r="H1819" s="0" t="s">
        <v>1712</v>
      </c>
      <c r="I1819" s="0" t="s">
        <v>1713</v>
      </c>
      <c r="J1819" s="0" t="s">
        <v>1714</v>
      </c>
      <c r="K1819" s="0" t="str">
        <f aca="false">"2.93 %"</f>
        <v>2.93 %</v>
      </c>
      <c r="L1819" s="0" t="str">
        <f aca="false">"1.00 V"</f>
        <v>1.00 V</v>
      </c>
      <c r="M1819" s="0" t="str">
        <f aca="false">"15.99 mA/cm^{2}"</f>
        <v>15.99 mA/cm^{2}</v>
      </c>
      <c r="O1819" s="0" t="s">
        <v>6645</v>
      </c>
    </row>
    <row r="1820" customFormat="false" ht="13.8" hidden="false" customHeight="false" outlineLevel="0" collapsed="false">
      <c r="A1820" s="0" t="s">
        <v>6646</v>
      </c>
      <c r="D1820" s="0" t="s">
        <v>4748</v>
      </c>
      <c r="F1820" s="0" t="s">
        <v>40</v>
      </c>
      <c r="G1820" s="0" t="n">
        <v>1</v>
      </c>
      <c r="H1820" s="0" t="s">
        <v>1829</v>
      </c>
      <c r="J1820" s="0" t="s">
        <v>40</v>
      </c>
      <c r="K1820" s="0" t="str">
        <f aca="false">"5.41 %"</f>
        <v>5.41 %</v>
      </c>
      <c r="O1820" s="0" t="s">
        <v>6647</v>
      </c>
    </row>
    <row r="1821" customFormat="false" ht="13.8" hidden="false" customHeight="false" outlineLevel="0" collapsed="false">
      <c r="A1821" s="0" t="s">
        <v>6648</v>
      </c>
      <c r="D1821" s="0" t="s">
        <v>6649</v>
      </c>
      <c r="F1821" s="0" t="s">
        <v>6650</v>
      </c>
      <c r="G1821" s="0" t="n">
        <v>1</v>
      </c>
      <c r="H1821" s="0" t="s">
        <v>27</v>
      </c>
      <c r="J1821" s="0" t="s">
        <v>28</v>
      </c>
      <c r="K1821" s="0" t="str">
        <f aca="false">"6.58 %"</f>
        <v>6.58 %</v>
      </c>
      <c r="O1821" s="0" t="s">
        <v>6651</v>
      </c>
    </row>
    <row r="1822" customFormat="false" ht="13.8" hidden="false" customHeight="false" outlineLevel="0" collapsed="false">
      <c r="A1822" s="0" t="s">
        <v>6648</v>
      </c>
      <c r="D1822" s="0" t="s">
        <v>2749</v>
      </c>
      <c r="F1822" s="0" t="s">
        <v>6652</v>
      </c>
      <c r="G1822" s="0" t="n">
        <v>1</v>
      </c>
      <c r="H1822" s="0" t="s">
        <v>27</v>
      </c>
      <c r="J1822" s="0" t="s">
        <v>28</v>
      </c>
      <c r="K1822" s="0" t="str">
        <f aca="false">"3.21 %"</f>
        <v>3.21 %</v>
      </c>
      <c r="O1822" s="0" t="s">
        <v>6653</v>
      </c>
    </row>
    <row r="1823" customFormat="false" ht="13.8" hidden="false" customHeight="false" outlineLevel="0" collapsed="false">
      <c r="A1823" s="0" t="s">
        <v>6654</v>
      </c>
      <c r="D1823" s="0" t="s">
        <v>1047</v>
      </c>
      <c r="F1823" s="0" t="s">
        <v>6655</v>
      </c>
      <c r="G1823" s="0" t="n">
        <v>0</v>
      </c>
      <c r="H1823" s="0" t="s">
        <v>6656</v>
      </c>
      <c r="J1823" s="0" t="s">
        <v>40</v>
      </c>
      <c r="K1823" s="0" t="str">
        <f aca="false">"9.46 %"</f>
        <v>9.46 %</v>
      </c>
      <c r="O1823" s="0" t="s">
        <v>6657</v>
      </c>
    </row>
    <row r="1824" customFormat="false" ht="13.8" hidden="false" customHeight="false" outlineLevel="0" collapsed="false">
      <c r="A1824" s="0" t="s">
        <v>6658</v>
      </c>
      <c r="D1824" s="0" t="s">
        <v>16</v>
      </c>
      <c r="E1824" s="0" t="s">
        <v>17</v>
      </c>
      <c r="F1824" s="0" t="s">
        <v>18</v>
      </c>
      <c r="G1824" s="0" t="n">
        <v>0</v>
      </c>
      <c r="H1824" s="0" t="s">
        <v>6659</v>
      </c>
      <c r="J1824" s="0" t="s">
        <v>6660</v>
      </c>
      <c r="K1824" s="0" t="str">
        <f aca="false">"2.55 %"</f>
        <v>2.55 %</v>
      </c>
      <c r="L1824" s="0" t="str">
        <f aca="false">"0.90 V"</f>
        <v>0.90 V</v>
      </c>
      <c r="N1824" s="0" t="str">
        <f aca="false">"0.65"</f>
        <v>0.65</v>
      </c>
      <c r="O1824" s="0" t="s">
        <v>6661</v>
      </c>
    </row>
    <row r="1825" customFormat="false" ht="13.8" hidden="false" customHeight="false" outlineLevel="0" collapsed="false">
      <c r="A1825" s="0" t="s">
        <v>6658</v>
      </c>
      <c r="D1825" s="0" t="s">
        <v>16</v>
      </c>
      <c r="E1825" s="0" t="s">
        <v>17</v>
      </c>
      <c r="F1825" s="0" t="s">
        <v>18</v>
      </c>
      <c r="G1825" s="0" t="n">
        <v>0</v>
      </c>
      <c r="H1825" s="0" t="s">
        <v>3505</v>
      </c>
      <c r="J1825" s="0" t="s">
        <v>3507</v>
      </c>
      <c r="L1825" s="0" t="str">
        <f aca="false">"0.72 V"</f>
        <v>0.72 V</v>
      </c>
      <c r="N1825" s="0" t="str">
        <f aca="false">"0.61"</f>
        <v>0.61</v>
      </c>
      <c r="O1825" s="0" t="s">
        <v>6662</v>
      </c>
    </row>
    <row r="1826" customFormat="false" ht="13.8" hidden="false" customHeight="false" outlineLevel="0" collapsed="false">
      <c r="A1826" s="0" t="s">
        <v>6663</v>
      </c>
      <c r="D1826" s="0" t="s">
        <v>6664</v>
      </c>
      <c r="F1826" s="0" t="s">
        <v>6665</v>
      </c>
      <c r="G1826" s="0" t="n">
        <v>1</v>
      </c>
      <c r="H1826" s="0" t="s">
        <v>27</v>
      </c>
      <c r="J1826" s="0" t="s">
        <v>28</v>
      </c>
      <c r="K1826" s="0" t="str">
        <f aca="false">"9.7 %"</f>
        <v>9.7 %</v>
      </c>
      <c r="L1826" s="0" t="str">
        <f aca="false">"0.92 V"</f>
        <v>0.92 V</v>
      </c>
      <c r="M1826" s="0" t="str">
        <f aca="false">"16.6 mA cm^{-2}"</f>
        <v>16.6 mA cm^{-2}</v>
      </c>
      <c r="O1826" s="0" t="s">
        <v>6666</v>
      </c>
    </row>
    <row r="1827" customFormat="false" ht="13.8" hidden="false" customHeight="false" outlineLevel="0" collapsed="false">
      <c r="A1827" s="0" t="s">
        <v>6667</v>
      </c>
      <c r="D1827" s="0" t="s">
        <v>221</v>
      </c>
      <c r="E1827" s="0" t="s">
        <v>222</v>
      </c>
      <c r="F1827" s="0" t="s">
        <v>6668</v>
      </c>
      <c r="G1827" s="0" t="n">
        <v>1</v>
      </c>
      <c r="H1827" s="0" t="s">
        <v>27</v>
      </c>
      <c r="J1827" s="0" t="s">
        <v>28</v>
      </c>
      <c r="K1827" s="0" t="str">
        <f aca="false">"5.28 %"</f>
        <v>5.28 %</v>
      </c>
      <c r="O1827" s="0" t="s">
        <v>6669</v>
      </c>
    </row>
    <row r="1828" customFormat="false" ht="13.8" hidden="false" customHeight="false" outlineLevel="0" collapsed="false">
      <c r="A1828" s="0" t="s">
        <v>6670</v>
      </c>
      <c r="D1828" s="0" t="s">
        <v>6671</v>
      </c>
      <c r="F1828" s="0" t="s">
        <v>6672</v>
      </c>
      <c r="G1828" s="0" t="n">
        <v>1</v>
      </c>
      <c r="H1828" s="0" t="s">
        <v>27</v>
      </c>
      <c r="J1828" s="0" t="s">
        <v>28</v>
      </c>
      <c r="K1828" s="0" t="str">
        <f aca="false">"12.09 %"</f>
        <v>12.09 %</v>
      </c>
      <c r="L1828" s="0" t="str">
        <f aca="false">"0.914 V"</f>
        <v>0.914 V</v>
      </c>
      <c r="M1828" s="0" t="str">
        <f aca="false">"18.52 mA cm^{-2}"</f>
        <v>18.52 mA cm^{-2}</v>
      </c>
      <c r="N1828" s="0" t="str">
        <f aca="false">"71.43 %"</f>
        <v>71.43 %</v>
      </c>
      <c r="O1828" s="0" t="s">
        <v>6673</v>
      </c>
    </row>
    <row r="1829" customFormat="false" ht="13.8" hidden="false" customHeight="false" outlineLevel="0" collapsed="false">
      <c r="A1829" s="0" t="s">
        <v>6670</v>
      </c>
      <c r="F1829" s="0" t="s">
        <v>40</v>
      </c>
      <c r="G1829" s="0" t="n">
        <v>1</v>
      </c>
      <c r="H1829" s="0" t="s">
        <v>27</v>
      </c>
      <c r="J1829" s="0" t="s">
        <v>28</v>
      </c>
      <c r="N1829" s="0" t="str">
        <f aca="false">"76.69 %"</f>
        <v>76.69 %</v>
      </c>
      <c r="O1829" s="0" t="s">
        <v>6674</v>
      </c>
    </row>
    <row r="1830" customFormat="false" ht="13.8" hidden="false" customHeight="false" outlineLevel="0" collapsed="false">
      <c r="A1830" s="0" t="s">
        <v>6675</v>
      </c>
      <c r="D1830" s="0" t="s">
        <v>16</v>
      </c>
      <c r="E1830" s="0" t="s">
        <v>17</v>
      </c>
      <c r="F1830" s="0" t="s">
        <v>116</v>
      </c>
      <c r="G1830" s="0" t="n">
        <v>1</v>
      </c>
      <c r="H1830" s="0" t="s">
        <v>33</v>
      </c>
      <c r="J1830" s="0" t="s">
        <v>34</v>
      </c>
      <c r="K1830" s="0" t="str">
        <f aca="false">"6.64 %"</f>
        <v>6.64 %</v>
      </c>
      <c r="L1830" s="0" t="str">
        <f aca="false">"0.88 V"</f>
        <v>0.88 V</v>
      </c>
      <c r="O1830" s="0" t="s">
        <v>6676</v>
      </c>
    </row>
    <row r="1831" customFormat="false" ht="13.8" hidden="false" customHeight="false" outlineLevel="0" collapsed="false">
      <c r="A1831" s="0" t="s">
        <v>6677</v>
      </c>
      <c r="D1831" s="0" t="s">
        <v>201</v>
      </c>
      <c r="E1831" s="0" t="s">
        <v>202</v>
      </c>
      <c r="F1831" s="0" t="s">
        <v>422</v>
      </c>
      <c r="G1831" s="0" t="n">
        <v>0</v>
      </c>
      <c r="H1831" s="0" t="s">
        <v>163</v>
      </c>
      <c r="I1831" s="0" t="s">
        <v>164</v>
      </c>
      <c r="J1831" s="0" t="s">
        <v>165</v>
      </c>
      <c r="K1831" s="0" t="str">
        <f aca="false">"9 %"</f>
        <v>9 %</v>
      </c>
      <c r="M1831" s="0" t="str">
        <f aca="false">"19.1 mA cm^{-2}"</f>
        <v>19.1 mA cm^{-2}</v>
      </c>
      <c r="O1831" s="0" t="s">
        <v>6678</v>
      </c>
    </row>
    <row r="1832" customFormat="false" ht="13.8" hidden="false" customHeight="false" outlineLevel="0" collapsed="false">
      <c r="A1832" s="0" t="s">
        <v>6679</v>
      </c>
      <c r="D1832" s="0" t="s">
        <v>6680</v>
      </c>
      <c r="F1832" s="0" t="s">
        <v>6681</v>
      </c>
      <c r="G1832" s="0" t="n">
        <v>1</v>
      </c>
      <c r="H1832" s="0" t="s">
        <v>152</v>
      </c>
      <c r="J1832" s="0" t="s">
        <v>40</v>
      </c>
      <c r="K1832" s="0" t="str">
        <f aca="false">"4.92 %"</f>
        <v>4.92 %</v>
      </c>
      <c r="L1832" s="0" t="str">
        <f aca="false">"0.78 V"</f>
        <v>0.78 V</v>
      </c>
      <c r="M1832" s="0" t="str">
        <f aca="false">"9.04 mA/cm^{2}"</f>
        <v>9.04 mA/cm^{2}</v>
      </c>
      <c r="N1832" s="0" t="str">
        <f aca="false">"69.8 %"</f>
        <v>69.8 %</v>
      </c>
      <c r="O1832" s="0" t="s">
        <v>6682</v>
      </c>
    </row>
    <row r="1833" customFormat="false" ht="13.8" hidden="false" customHeight="false" outlineLevel="0" collapsed="false">
      <c r="A1833" s="0" t="s">
        <v>6683</v>
      </c>
      <c r="D1833" s="0" t="s">
        <v>6684</v>
      </c>
      <c r="F1833" s="0" t="s">
        <v>6685</v>
      </c>
      <c r="G1833" s="0" t="n">
        <v>0</v>
      </c>
      <c r="H1833" s="0" t="s">
        <v>6686</v>
      </c>
      <c r="J1833" s="0" t="s">
        <v>6687</v>
      </c>
      <c r="K1833" s="0" t="str">
        <f aca="false">"6.58 %"</f>
        <v>6.58 %</v>
      </c>
      <c r="O1833" s="0" t="s">
        <v>6688</v>
      </c>
    </row>
    <row r="1834" customFormat="false" ht="13.8" hidden="false" customHeight="false" outlineLevel="0" collapsed="false">
      <c r="A1834" s="0" t="s">
        <v>6689</v>
      </c>
      <c r="D1834" s="0" t="s">
        <v>16</v>
      </c>
      <c r="E1834" s="0" t="s">
        <v>17</v>
      </c>
      <c r="F1834" s="0" t="s">
        <v>116</v>
      </c>
      <c r="G1834" s="0" t="n">
        <v>1</v>
      </c>
      <c r="H1834" s="0" t="s">
        <v>33</v>
      </c>
      <c r="J1834" s="0" t="s">
        <v>34</v>
      </c>
      <c r="K1834" s="0" t="str">
        <f aca="false">"4.02 %"</f>
        <v>4.02 %</v>
      </c>
      <c r="L1834" s="0" t="str">
        <f aca="false">"0.64 V"</f>
        <v>0.64 V</v>
      </c>
      <c r="M1834" s="0" t="str">
        <f aca="false">"11.6 mA/cm^{2}"</f>
        <v>11.6 mA/cm^{2}</v>
      </c>
      <c r="N1834" s="0" t="str">
        <f aca="false">"53.0 %"</f>
        <v>53.0 %</v>
      </c>
      <c r="O1834" s="0" t="s">
        <v>6690</v>
      </c>
    </row>
    <row r="1835" customFormat="false" ht="13.8" hidden="false" customHeight="false" outlineLevel="0" collapsed="false">
      <c r="A1835" s="0" t="s">
        <v>6691</v>
      </c>
      <c r="D1835" s="0" t="s">
        <v>6692</v>
      </c>
      <c r="F1835" s="0" t="s">
        <v>6693</v>
      </c>
      <c r="G1835" s="0" t="n">
        <v>0</v>
      </c>
      <c r="H1835" s="0" t="s">
        <v>6694</v>
      </c>
      <c r="J1835" s="0" t="s">
        <v>6695</v>
      </c>
      <c r="K1835" s="0" t="str">
        <f aca="false">"13.48 %"</f>
        <v>13.48 %</v>
      </c>
      <c r="O1835" s="0" t="s">
        <v>6696</v>
      </c>
    </row>
    <row r="1836" customFormat="false" ht="13.8" hidden="false" customHeight="false" outlineLevel="0" collapsed="false">
      <c r="A1836" s="0" t="s">
        <v>6697</v>
      </c>
      <c r="D1836" s="0" t="s">
        <v>109</v>
      </c>
      <c r="E1836" s="0" t="s">
        <v>110</v>
      </c>
      <c r="F1836" s="0" t="s">
        <v>6698</v>
      </c>
      <c r="G1836" s="0" t="n">
        <v>1</v>
      </c>
      <c r="H1836" s="0" t="s">
        <v>27</v>
      </c>
      <c r="J1836" s="0" t="s">
        <v>28</v>
      </c>
      <c r="K1836" s="0" t="str">
        <f aca="false">"6.46 %"</f>
        <v>6.46 %</v>
      </c>
      <c r="L1836" s="0" t="str">
        <f aca="false">"0.91 V"</f>
        <v>0.91 V</v>
      </c>
      <c r="N1836" s="0" t="str">
        <f aca="false">"67.3 %"</f>
        <v>67.3 %</v>
      </c>
      <c r="O1836" s="0" t="s">
        <v>6699</v>
      </c>
    </row>
    <row r="1837" customFormat="false" ht="13.8" hidden="false" customHeight="false" outlineLevel="0" collapsed="false">
      <c r="A1837" s="0" t="s">
        <v>6700</v>
      </c>
      <c r="D1837" s="0" t="s">
        <v>6701</v>
      </c>
      <c r="F1837" s="0" t="s">
        <v>6702</v>
      </c>
      <c r="G1837" s="0" t="n">
        <v>0</v>
      </c>
      <c r="H1837" s="0" t="s">
        <v>6703</v>
      </c>
      <c r="J1837" s="0" t="s">
        <v>6704</v>
      </c>
      <c r="K1837" s="0" t="str">
        <f aca="false">"~5.4 %"</f>
        <v>~5.4 %</v>
      </c>
      <c r="O1837" s="0" t="s">
        <v>6705</v>
      </c>
    </row>
    <row r="1838" customFormat="false" ht="13.8" hidden="false" customHeight="false" outlineLevel="0" collapsed="false">
      <c r="A1838" s="0" t="s">
        <v>6706</v>
      </c>
      <c r="D1838" s="0" t="s">
        <v>85</v>
      </c>
      <c r="E1838" s="0" t="s">
        <v>86</v>
      </c>
      <c r="F1838" s="0" t="s">
        <v>87</v>
      </c>
      <c r="G1838" s="0" t="n">
        <v>1</v>
      </c>
      <c r="H1838" s="0" t="s">
        <v>66</v>
      </c>
      <c r="J1838" s="0" t="s">
        <v>67</v>
      </c>
      <c r="K1838" s="0" t="str">
        <f aca="false">"7.55 %"</f>
        <v>7.55 %</v>
      </c>
      <c r="O1838" s="0" t="s">
        <v>6707</v>
      </c>
    </row>
    <row r="1839" customFormat="false" ht="13.8" hidden="false" customHeight="false" outlineLevel="0" collapsed="false">
      <c r="A1839" s="0" t="s">
        <v>6708</v>
      </c>
      <c r="D1839" s="0" t="s">
        <v>85</v>
      </c>
      <c r="E1839" s="0" t="s">
        <v>86</v>
      </c>
      <c r="F1839" s="0" t="s">
        <v>87</v>
      </c>
      <c r="G1839" s="0" t="n">
        <v>1</v>
      </c>
      <c r="H1839" s="0" t="s">
        <v>27</v>
      </c>
      <c r="J1839" s="0" t="s">
        <v>28</v>
      </c>
      <c r="K1839" s="0" t="str">
        <f aca="false">"6.7 %"</f>
        <v>6.7 %</v>
      </c>
      <c r="O1839" s="0" t="s">
        <v>6709</v>
      </c>
    </row>
    <row r="1840" customFormat="false" ht="13.8" hidden="false" customHeight="false" outlineLevel="0" collapsed="false">
      <c r="A1840" s="0" t="s">
        <v>6710</v>
      </c>
      <c r="D1840" s="0" t="s">
        <v>6711</v>
      </c>
      <c r="F1840" s="0" t="s">
        <v>6712</v>
      </c>
      <c r="G1840" s="0" t="n">
        <v>1</v>
      </c>
      <c r="H1840" s="0" t="s">
        <v>27</v>
      </c>
      <c r="J1840" s="0" t="s">
        <v>28</v>
      </c>
      <c r="O1840" s="0" t="s">
        <v>6713</v>
      </c>
    </row>
    <row r="1841" customFormat="false" ht="13.8" hidden="false" customHeight="false" outlineLevel="0" collapsed="false">
      <c r="A1841" s="0" t="s">
        <v>6710</v>
      </c>
      <c r="F1841" s="0" t="s">
        <v>40</v>
      </c>
      <c r="G1841" s="0" t="n">
        <v>1</v>
      </c>
      <c r="H1841" s="0" t="s">
        <v>27</v>
      </c>
      <c r="J1841" s="0" t="s">
        <v>28</v>
      </c>
      <c r="K1841" s="0" t="str">
        <f aca="false">"5.24-5.45 %"</f>
        <v>5.24-5.45 %</v>
      </c>
      <c r="O1841" s="0" t="s">
        <v>6714</v>
      </c>
    </row>
    <row r="1842" customFormat="false" ht="13.8" hidden="false" customHeight="false" outlineLevel="0" collapsed="false">
      <c r="A1842" s="0" t="s">
        <v>6715</v>
      </c>
      <c r="D1842" s="0" t="s">
        <v>6716</v>
      </c>
      <c r="F1842" s="0" t="s">
        <v>40</v>
      </c>
      <c r="G1842" s="0" t="n">
        <v>1</v>
      </c>
      <c r="H1842" s="0" t="s">
        <v>33</v>
      </c>
      <c r="J1842" s="0" t="s">
        <v>40</v>
      </c>
      <c r="K1842" s="0" t="str">
        <f aca="false">"1.9 %"</f>
        <v>1.9 %</v>
      </c>
      <c r="L1842" s="0" t="str">
        <f aca="false">"0.77 V"</f>
        <v>0.77 V</v>
      </c>
      <c r="M1842" s="0" t="str">
        <f aca="false">"5.56 mA/cm^{2}"</f>
        <v>5.56 mA/cm^{2}</v>
      </c>
      <c r="O1842" s="0" t="s">
        <v>6717</v>
      </c>
    </row>
    <row r="1843" customFormat="false" ht="13.8" hidden="false" customHeight="false" outlineLevel="0" collapsed="false">
      <c r="A1843" s="0" t="s">
        <v>6718</v>
      </c>
      <c r="D1843" s="0" t="s">
        <v>1550</v>
      </c>
      <c r="F1843" s="0" t="s">
        <v>6719</v>
      </c>
      <c r="G1843" s="0" t="n">
        <v>1</v>
      </c>
      <c r="H1843" s="0" t="s">
        <v>33</v>
      </c>
      <c r="J1843" s="0" t="s">
        <v>34</v>
      </c>
      <c r="K1843" s="0" t="str">
        <f aca="false">"2.6 %"</f>
        <v>2.6 %</v>
      </c>
      <c r="O1843" s="0" t="s">
        <v>6720</v>
      </c>
    </row>
    <row r="1844" customFormat="false" ht="13.8" hidden="false" customHeight="false" outlineLevel="0" collapsed="false">
      <c r="A1844" s="0" t="s">
        <v>6721</v>
      </c>
      <c r="D1844" s="0" t="s">
        <v>6722</v>
      </c>
      <c r="F1844" s="0" t="s">
        <v>6723</v>
      </c>
      <c r="G1844" s="0" t="n">
        <v>1</v>
      </c>
      <c r="H1844" s="0" t="s">
        <v>27</v>
      </c>
      <c r="J1844" s="0" t="s">
        <v>40</v>
      </c>
      <c r="K1844" s="0" t="str">
        <f aca="false">"8.84 %"</f>
        <v>8.84 %</v>
      </c>
      <c r="O1844" s="0" t="s">
        <v>6724</v>
      </c>
    </row>
    <row r="1845" customFormat="false" ht="13.8" hidden="false" customHeight="false" outlineLevel="0" collapsed="false">
      <c r="A1845" s="0" t="s">
        <v>6725</v>
      </c>
      <c r="D1845" s="0" t="s">
        <v>599</v>
      </c>
      <c r="E1845" s="0" t="s">
        <v>600</v>
      </c>
      <c r="F1845" s="0" t="s">
        <v>601</v>
      </c>
      <c r="G1845" s="0" t="n">
        <v>0</v>
      </c>
      <c r="H1845" s="0" t="s">
        <v>6726</v>
      </c>
      <c r="J1845" s="0" t="s">
        <v>6727</v>
      </c>
      <c r="K1845" s="0" t="str">
        <f aca="false">"10.02 %"</f>
        <v>10.02 %</v>
      </c>
      <c r="L1845" s="0" t="str">
        <f aca="false">"0.943 V"</f>
        <v>0.943 V</v>
      </c>
      <c r="M1845" s="0" t="str">
        <f aca="false">"16.25 mA cm^{-2}"</f>
        <v>16.25 mA cm^{-2}</v>
      </c>
      <c r="N1845" s="0" t="str">
        <f aca="false">"65.41 %"</f>
        <v>65.41 %</v>
      </c>
      <c r="O1845" s="0" t="s">
        <v>6728</v>
      </c>
    </row>
    <row r="1846" customFormat="false" ht="13.8" hidden="false" customHeight="false" outlineLevel="0" collapsed="false">
      <c r="A1846" s="0" t="s">
        <v>6729</v>
      </c>
      <c r="D1846" s="0" t="s">
        <v>124</v>
      </c>
      <c r="F1846" s="0" t="s">
        <v>6730</v>
      </c>
      <c r="G1846" s="0" t="n">
        <v>0</v>
      </c>
      <c r="H1846" s="0" t="s">
        <v>128</v>
      </c>
      <c r="J1846" s="0" t="s">
        <v>6730</v>
      </c>
      <c r="K1846" s="0" t="str">
        <f aca="false">"1.14 %"</f>
        <v>1.14 %</v>
      </c>
      <c r="L1846" s="0" t="str">
        <f aca="false">"0.93 V"</f>
        <v>0.93 V</v>
      </c>
      <c r="M1846" s="0" t="str">
        <f aca="false">"8.26 mA/cm^{2}"</f>
        <v>8.26 mA/cm^{2}</v>
      </c>
      <c r="O1846" s="0" t="s">
        <v>6731</v>
      </c>
    </row>
    <row r="1847" customFormat="false" ht="13.8" hidden="false" customHeight="false" outlineLevel="0" collapsed="false">
      <c r="A1847" s="0" t="s">
        <v>6732</v>
      </c>
      <c r="D1847" s="0" t="s">
        <v>1550</v>
      </c>
      <c r="F1847" s="0" t="s">
        <v>6733</v>
      </c>
      <c r="G1847" s="0" t="n">
        <v>1</v>
      </c>
      <c r="H1847" s="0" t="s">
        <v>33</v>
      </c>
      <c r="J1847" s="0" t="s">
        <v>34</v>
      </c>
      <c r="K1847" s="0" t="str">
        <f aca="false">"1.43 %"</f>
        <v>1.43 %</v>
      </c>
      <c r="O1847" s="0" t="s">
        <v>6734</v>
      </c>
    </row>
    <row r="1848" customFormat="false" ht="13.8" hidden="false" customHeight="false" outlineLevel="0" collapsed="false">
      <c r="A1848" s="0" t="s">
        <v>6735</v>
      </c>
      <c r="D1848" s="0" t="s">
        <v>6736</v>
      </c>
      <c r="F1848" s="0" t="s">
        <v>6737</v>
      </c>
      <c r="G1848" s="0" t="n">
        <v>1</v>
      </c>
      <c r="H1848" s="0" t="s">
        <v>27</v>
      </c>
      <c r="J1848" s="0" t="s">
        <v>1799</v>
      </c>
      <c r="K1848" s="0" t="str">
        <f aca="false">"3.61 %"</f>
        <v>3.61 %</v>
      </c>
      <c r="O1848" s="0" t="s">
        <v>6738</v>
      </c>
    </row>
    <row r="1849" customFormat="false" ht="13.8" hidden="false" customHeight="false" outlineLevel="0" collapsed="false">
      <c r="A1849" s="0" t="s">
        <v>6735</v>
      </c>
      <c r="D1849" s="0" t="s">
        <v>16</v>
      </c>
      <c r="E1849" s="0" t="s">
        <v>17</v>
      </c>
      <c r="F1849" s="0" t="s">
        <v>116</v>
      </c>
      <c r="G1849" s="0" t="n">
        <v>1</v>
      </c>
      <c r="H1849" s="0" t="s">
        <v>27</v>
      </c>
      <c r="J1849" s="0" t="s">
        <v>1799</v>
      </c>
      <c r="K1849" s="0" t="str">
        <f aca="false">"3.63 %"</f>
        <v>3.63 %</v>
      </c>
      <c r="O1849" s="0" t="s">
        <v>6739</v>
      </c>
    </row>
    <row r="1850" customFormat="false" ht="13.8" hidden="false" customHeight="false" outlineLevel="0" collapsed="false">
      <c r="A1850" s="0" t="s">
        <v>6740</v>
      </c>
      <c r="D1850" s="0" t="s">
        <v>6741</v>
      </c>
      <c r="E1850" s="0" t="s">
        <v>1072</v>
      </c>
      <c r="F1850" s="0" t="s">
        <v>1073</v>
      </c>
      <c r="G1850" s="0" t="n">
        <v>1</v>
      </c>
      <c r="H1850" s="0" t="s">
        <v>33</v>
      </c>
      <c r="J1850" s="0" t="s">
        <v>34</v>
      </c>
      <c r="K1850" s="0" t="str">
        <f aca="false">"2.46 %"</f>
        <v>2.46 %</v>
      </c>
      <c r="L1850" s="0" t="str">
        <f aca="false">"0.43 V"</f>
        <v>0.43 V</v>
      </c>
      <c r="N1850" s="0" t="str">
        <f aca="false">"56.9 %"</f>
        <v>56.9 %</v>
      </c>
      <c r="O1850" s="0" t="s">
        <v>6742</v>
      </c>
    </row>
    <row r="1851" customFormat="false" ht="13.8" hidden="false" customHeight="false" outlineLevel="0" collapsed="false">
      <c r="A1851" s="0" t="s">
        <v>6743</v>
      </c>
      <c r="D1851" s="0" t="s">
        <v>208</v>
      </c>
      <c r="E1851" s="0" t="s">
        <v>17</v>
      </c>
      <c r="F1851" s="0" t="s">
        <v>209</v>
      </c>
      <c r="G1851" s="0" t="n">
        <v>1</v>
      </c>
      <c r="H1851" s="0" t="s">
        <v>33</v>
      </c>
      <c r="J1851" s="0" t="s">
        <v>34</v>
      </c>
      <c r="K1851" s="0" t="str">
        <f aca="false">"4.18 %"</f>
        <v>4.18 %</v>
      </c>
      <c r="O1851" s="0" t="s">
        <v>6744</v>
      </c>
    </row>
    <row r="1852" customFormat="false" ht="13.8" hidden="false" customHeight="false" outlineLevel="0" collapsed="false">
      <c r="A1852" s="0" t="s">
        <v>6745</v>
      </c>
      <c r="D1852" s="0" t="s">
        <v>6746</v>
      </c>
      <c r="F1852" s="0" t="s">
        <v>40</v>
      </c>
      <c r="G1852" s="0" t="n">
        <v>1</v>
      </c>
      <c r="H1852" s="0" t="s">
        <v>76</v>
      </c>
      <c r="J1852" s="0" t="s">
        <v>40</v>
      </c>
      <c r="K1852" s="0" t="str">
        <f aca="false">"2.16 ± 0.09 %"</f>
        <v>2.16 ± 0.09 %</v>
      </c>
      <c r="M1852" s="0" t="str">
        <f aca="false">"6.8 mA/cm^{2}"</f>
        <v>6.8 mA/cm^{2}</v>
      </c>
      <c r="O1852" s="0" t="s">
        <v>6747</v>
      </c>
    </row>
    <row r="1853" customFormat="false" ht="13.8" hidden="false" customHeight="false" outlineLevel="0" collapsed="false">
      <c r="A1853" s="0" t="s">
        <v>6748</v>
      </c>
      <c r="D1853" s="0" t="s">
        <v>6749</v>
      </c>
      <c r="E1853" s="0" t="s">
        <v>6750</v>
      </c>
      <c r="F1853" s="0" t="s">
        <v>6751</v>
      </c>
      <c r="G1853" s="0" t="n">
        <v>0</v>
      </c>
      <c r="H1853" s="0" t="s">
        <v>6752</v>
      </c>
      <c r="J1853" s="0" t="s">
        <v>6753</v>
      </c>
      <c r="K1853" s="0" t="str">
        <f aca="false">"9.92 %"</f>
        <v>9.92 %</v>
      </c>
      <c r="O1853" s="0" t="s">
        <v>6754</v>
      </c>
    </row>
    <row r="1854" customFormat="false" ht="13.8" hidden="false" customHeight="false" outlineLevel="0" collapsed="false">
      <c r="A1854" s="0" t="s">
        <v>6755</v>
      </c>
      <c r="D1854" s="0" t="s">
        <v>6756</v>
      </c>
      <c r="E1854" s="0" t="s">
        <v>6757</v>
      </c>
      <c r="F1854" s="0" t="s">
        <v>6758</v>
      </c>
      <c r="G1854" s="0" t="n">
        <v>1</v>
      </c>
      <c r="H1854" s="0" t="s">
        <v>27</v>
      </c>
      <c r="J1854" s="0" t="s">
        <v>28</v>
      </c>
      <c r="K1854" s="0" t="str">
        <f aca="false">"1.33 %"</f>
        <v>1.33 %</v>
      </c>
      <c r="O1854" s="0" t="s">
        <v>6759</v>
      </c>
    </row>
    <row r="1855" customFormat="false" ht="13.8" hidden="false" customHeight="false" outlineLevel="0" collapsed="false">
      <c r="A1855" s="0" t="s">
        <v>6760</v>
      </c>
      <c r="D1855" s="0" t="s">
        <v>85</v>
      </c>
      <c r="E1855" s="0" t="s">
        <v>86</v>
      </c>
      <c r="F1855" s="0" t="s">
        <v>87</v>
      </c>
      <c r="G1855" s="0" t="n">
        <v>1</v>
      </c>
      <c r="H1855" s="0" t="s">
        <v>27</v>
      </c>
      <c r="J1855" s="0" t="s">
        <v>28</v>
      </c>
      <c r="K1855" s="0" t="str">
        <f aca="false">"9.3 %"</f>
        <v>9.3 %</v>
      </c>
      <c r="O1855" s="0" t="s">
        <v>6761</v>
      </c>
    </row>
    <row r="1856" customFormat="false" ht="13.8" hidden="false" customHeight="false" outlineLevel="0" collapsed="false">
      <c r="A1856" s="0" t="s">
        <v>6762</v>
      </c>
      <c r="D1856" s="0" t="s">
        <v>109</v>
      </c>
      <c r="E1856" s="0" t="s">
        <v>110</v>
      </c>
      <c r="F1856" s="0" t="s">
        <v>6763</v>
      </c>
      <c r="G1856" s="0" t="n">
        <v>1</v>
      </c>
      <c r="H1856" s="0" t="s">
        <v>27</v>
      </c>
      <c r="J1856" s="0" t="s">
        <v>28</v>
      </c>
      <c r="K1856" s="0" t="str">
        <f aca="false">"4.23 %"</f>
        <v>4.23 %</v>
      </c>
      <c r="O1856" s="0" t="s">
        <v>6764</v>
      </c>
    </row>
    <row r="1857" customFormat="false" ht="13.8" hidden="false" customHeight="false" outlineLevel="0" collapsed="false">
      <c r="A1857" s="0" t="s">
        <v>6765</v>
      </c>
      <c r="D1857" s="0" t="s">
        <v>253</v>
      </c>
      <c r="F1857" s="0" t="s">
        <v>6766</v>
      </c>
      <c r="G1857" s="0" t="n">
        <v>1</v>
      </c>
      <c r="H1857" s="0" t="s">
        <v>27</v>
      </c>
      <c r="J1857" s="0" t="s">
        <v>28</v>
      </c>
      <c r="K1857" s="0" t="str">
        <f aca="false">"6.88 %"</f>
        <v>6.88 %</v>
      </c>
      <c r="N1857" s="0" t="str">
        <f aca="false">"0.62"</f>
        <v>0.62</v>
      </c>
      <c r="O1857" s="0" t="s">
        <v>6767</v>
      </c>
    </row>
    <row r="1858" customFormat="false" ht="13.8" hidden="false" customHeight="false" outlineLevel="0" collapsed="false">
      <c r="A1858" s="0" t="s">
        <v>6765</v>
      </c>
      <c r="D1858" s="0" t="s">
        <v>124</v>
      </c>
      <c r="F1858" s="0" t="s">
        <v>6766</v>
      </c>
      <c r="G1858" s="0" t="n">
        <v>1</v>
      </c>
      <c r="H1858" s="0" t="s">
        <v>27</v>
      </c>
      <c r="J1858" s="0" t="s">
        <v>28</v>
      </c>
      <c r="L1858" s="0" t="str">
        <f aca="false">"0.76 V"</f>
        <v>0.76 V</v>
      </c>
      <c r="O1858" s="0" t="s">
        <v>6768</v>
      </c>
    </row>
    <row r="1859" customFormat="false" ht="13.8" hidden="false" customHeight="false" outlineLevel="0" collapsed="false">
      <c r="A1859" s="0" t="s">
        <v>6765</v>
      </c>
      <c r="D1859" s="0" t="s">
        <v>128</v>
      </c>
      <c r="F1859" s="0" t="s">
        <v>6766</v>
      </c>
      <c r="G1859" s="0" t="n">
        <v>1</v>
      </c>
      <c r="H1859" s="0" t="s">
        <v>27</v>
      </c>
      <c r="J1859" s="0" t="s">
        <v>28</v>
      </c>
      <c r="M1859" s="0" t="str">
        <f aca="false">"14.67 mA/cm^{2}"</f>
        <v>14.67 mA/cm^{2}</v>
      </c>
      <c r="O1859" s="0" t="s">
        <v>6769</v>
      </c>
    </row>
    <row r="1860" customFormat="false" ht="13.8" hidden="false" customHeight="false" outlineLevel="0" collapsed="false">
      <c r="A1860" s="0" t="s">
        <v>6770</v>
      </c>
      <c r="D1860" s="0" t="s">
        <v>6771</v>
      </c>
      <c r="F1860" s="0" t="s">
        <v>6772</v>
      </c>
      <c r="G1860" s="0" t="n">
        <v>1</v>
      </c>
      <c r="H1860" s="0" t="s">
        <v>27</v>
      </c>
      <c r="J1860" s="0" t="s">
        <v>6773</v>
      </c>
      <c r="K1860" s="0" t="str">
        <f aca="false">"5.9 %"</f>
        <v>5.9 %</v>
      </c>
      <c r="L1860" s="0" t="str">
        <f aca="false">"0.72 V"</f>
        <v>0.72 V</v>
      </c>
      <c r="M1860" s="0" t="str">
        <f aca="false">"13.4 mA/cm^{2}"</f>
        <v>13.4 mA/cm^{2}</v>
      </c>
      <c r="N1860" s="0" t="str">
        <f aca="false">"62 %"</f>
        <v>62 %</v>
      </c>
      <c r="O1860" s="0" t="s">
        <v>6774</v>
      </c>
    </row>
    <row r="1861" customFormat="false" ht="13.8" hidden="false" customHeight="false" outlineLevel="0" collapsed="false">
      <c r="A1861" s="0" t="s">
        <v>6775</v>
      </c>
      <c r="D1861" s="0" t="s">
        <v>6362</v>
      </c>
      <c r="F1861" s="0" t="s">
        <v>6776</v>
      </c>
      <c r="G1861" s="0" t="n">
        <v>1</v>
      </c>
      <c r="H1861" s="0" t="s">
        <v>27</v>
      </c>
      <c r="J1861" s="0" t="s">
        <v>28</v>
      </c>
      <c r="K1861" s="0" t="str">
        <f aca="false">"7.59 %"</f>
        <v>7.59 %</v>
      </c>
      <c r="L1861" s="0" t="str">
        <f aca="false">"0.61 V"</f>
        <v>0.61 V</v>
      </c>
      <c r="M1861" s="0" t="str">
        <f aca="false">"17.95 mA/cm^{2}"</f>
        <v>17.95 mA/cm^{2}</v>
      </c>
      <c r="N1861" s="0" t="str">
        <f aca="false">"69.6 %"</f>
        <v>69.6 %</v>
      </c>
      <c r="O1861" s="0" t="s">
        <v>6777</v>
      </c>
    </row>
    <row r="1862" customFormat="false" ht="13.8" hidden="false" customHeight="false" outlineLevel="0" collapsed="false">
      <c r="A1862" s="0" t="s">
        <v>6778</v>
      </c>
      <c r="D1862" s="0" t="s">
        <v>16</v>
      </c>
      <c r="E1862" s="0" t="s">
        <v>17</v>
      </c>
      <c r="F1862" s="0" t="s">
        <v>116</v>
      </c>
      <c r="G1862" s="0" t="n">
        <v>1</v>
      </c>
      <c r="H1862" s="0" t="s">
        <v>76</v>
      </c>
      <c r="J1862" s="0" t="s">
        <v>77</v>
      </c>
      <c r="K1862" s="0" t="str">
        <f aca="false">"5.92 %"</f>
        <v>5.92 %</v>
      </c>
      <c r="O1862" s="0" t="s">
        <v>6779</v>
      </c>
    </row>
    <row r="1863" customFormat="false" ht="13.8" hidden="false" customHeight="false" outlineLevel="0" collapsed="false">
      <c r="A1863" s="0" t="s">
        <v>6778</v>
      </c>
      <c r="D1863" s="0" t="s">
        <v>85</v>
      </c>
      <c r="E1863" s="0" t="s">
        <v>86</v>
      </c>
      <c r="F1863" s="0" t="s">
        <v>87</v>
      </c>
      <c r="G1863" s="0" t="n">
        <v>1</v>
      </c>
      <c r="H1863" s="0" t="s">
        <v>76</v>
      </c>
      <c r="J1863" s="0" t="s">
        <v>77</v>
      </c>
      <c r="K1863" s="0" t="str">
        <f aca="false">"6.01 %"</f>
        <v>6.01 %</v>
      </c>
      <c r="O1863" s="0" t="s">
        <v>6780</v>
      </c>
    </row>
    <row r="1864" customFormat="false" ht="13.8" hidden="false" customHeight="false" outlineLevel="0" collapsed="false">
      <c r="A1864" s="0" t="s">
        <v>6781</v>
      </c>
      <c r="D1864" s="0" t="s">
        <v>208</v>
      </c>
      <c r="E1864" s="0" t="s">
        <v>17</v>
      </c>
      <c r="F1864" s="0" t="s">
        <v>209</v>
      </c>
      <c r="G1864" s="0" t="n">
        <v>0</v>
      </c>
      <c r="H1864" s="0" t="s">
        <v>6782</v>
      </c>
      <c r="J1864" s="0" t="s">
        <v>6783</v>
      </c>
      <c r="O1864" s="0" t="s">
        <v>6784</v>
      </c>
    </row>
    <row r="1865" customFormat="false" ht="13.8" hidden="false" customHeight="false" outlineLevel="0" collapsed="false">
      <c r="A1865" s="0" t="s">
        <v>6785</v>
      </c>
      <c r="D1865" s="0" t="s">
        <v>208</v>
      </c>
      <c r="E1865" s="0" t="s">
        <v>17</v>
      </c>
      <c r="F1865" s="0" t="s">
        <v>209</v>
      </c>
      <c r="G1865" s="0" t="n">
        <v>0</v>
      </c>
      <c r="H1865" s="0" t="s">
        <v>6786</v>
      </c>
      <c r="J1865" s="0" t="s">
        <v>6787</v>
      </c>
      <c r="K1865" s="0" t="str">
        <f aca="false">"3.69 %"</f>
        <v>3.69 %</v>
      </c>
      <c r="O1865" s="0" t="s">
        <v>6788</v>
      </c>
    </row>
    <row r="1866" customFormat="false" ht="13.8" hidden="false" customHeight="false" outlineLevel="0" collapsed="false">
      <c r="A1866" s="0" t="s">
        <v>6789</v>
      </c>
      <c r="D1866" s="0" t="s">
        <v>16</v>
      </c>
      <c r="E1866" s="0" t="s">
        <v>17</v>
      </c>
      <c r="F1866" s="0" t="s">
        <v>116</v>
      </c>
      <c r="G1866" s="0" t="n">
        <v>1</v>
      </c>
      <c r="H1866" s="0" t="s">
        <v>117</v>
      </c>
      <c r="J1866" s="0" t="s">
        <v>118</v>
      </c>
      <c r="K1866" s="0" t="str">
        <f aca="false">"3.3 %"</f>
        <v>3.3 %</v>
      </c>
      <c r="L1866" s="0" t="str">
        <f aca="false">"0.84 V"</f>
        <v>0.84 V</v>
      </c>
      <c r="N1866" s="0" t="str">
        <f aca="false">"0.60"</f>
        <v>0.60</v>
      </c>
      <c r="O1866" s="0" t="s">
        <v>6790</v>
      </c>
    </row>
    <row r="1867" customFormat="false" ht="13.8" hidden="false" customHeight="false" outlineLevel="0" collapsed="false">
      <c r="A1867" s="0" t="s">
        <v>6791</v>
      </c>
      <c r="D1867" s="0" t="s">
        <v>201</v>
      </c>
      <c r="E1867" s="0" t="s">
        <v>202</v>
      </c>
      <c r="F1867" s="0" t="s">
        <v>6792</v>
      </c>
      <c r="G1867" s="0" t="n">
        <v>1</v>
      </c>
      <c r="H1867" s="0" t="s">
        <v>27</v>
      </c>
      <c r="J1867" s="0" t="s">
        <v>28</v>
      </c>
      <c r="K1867" s="0" t="str">
        <f aca="false">"8.14 %"</f>
        <v>8.14 %</v>
      </c>
      <c r="O1867" s="0" t="s">
        <v>6793</v>
      </c>
    </row>
    <row r="1868" customFormat="false" ht="13.8" hidden="false" customHeight="false" outlineLevel="0" collapsed="false">
      <c r="A1868" s="0" t="s">
        <v>6794</v>
      </c>
      <c r="D1868" s="0" t="s">
        <v>6795</v>
      </c>
      <c r="F1868" s="0" t="s">
        <v>6796</v>
      </c>
      <c r="G1868" s="0" t="n">
        <v>0</v>
      </c>
      <c r="H1868" s="0" t="s">
        <v>6797</v>
      </c>
      <c r="J1868" s="0" t="s">
        <v>40</v>
      </c>
      <c r="M1868" s="0" t="str">
        <f aca="false">"7.67 and 10.19 mA cm^{-2}"</f>
        <v>7.67 and 10.19 mA cm^{-2}</v>
      </c>
      <c r="O1868" s="0" t="s">
        <v>6798</v>
      </c>
    </row>
    <row r="1869" customFormat="false" ht="13.8" hidden="false" customHeight="false" outlineLevel="0" collapsed="false">
      <c r="A1869" s="0" t="s">
        <v>6799</v>
      </c>
      <c r="D1869" s="0" t="s">
        <v>208</v>
      </c>
      <c r="E1869" s="0" t="s">
        <v>17</v>
      </c>
      <c r="F1869" s="0" t="s">
        <v>18</v>
      </c>
      <c r="G1869" s="0" t="n">
        <v>1</v>
      </c>
      <c r="H1869" s="0" t="s">
        <v>33</v>
      </c>
      <c r="J1869" s="0" t="s">
        <v>40</v>
      </c>
      <c r="K1869" s="0" t="str">
        <f aca="false">"3.5 %"</f>
        <v>3.5 %</v>
      </c>
      <c r="O1869" s="0" t="s">
        <v>6800</v>
      </c>
    </row>
    <row r="1870" customFormat="false" ht="13.8" hidden="false" customHeight="false" outlineLevel="0" collapsed="false">
      <c r="A1870" s="0" t="s">
        <v>6801</v>
      </c>
      <c r="D1870" s="0" t="s">
        <v>201</v>
      </c>
      <c r="E1870" s="0" t="s">
        <v>202</v>
      </c>
      <c r="F1870" s="0" t="s">
        <v>6792</v>
      </c>
      <c r="G1870" s="0" t="n">
        <v>1</v>
      </c>
      <c r="H1870" s="0" t="s">
        <v>66</v>
      </c>
      <c r="J1870" s="0" t="s">
        <v>67</v>
      </c>
      <c r="K1870" s="0" t="str">
        <f aca="false">"7.8 %"</f>
        <v>7.8 %</v>
      </c>
      <c r="O1870" s="0" t="s">
        <v>6802</v>
      </c>
    </row>
    <row r="1871" customFormat="false" ht="13.8" hidden="false" customHeight="false" outlineLevel="0" collapsed="false">
      <c r="A1871" s="0" t="s">
        <v>6803</v>
      </c>
      <c r="D1871" s="0" t="s">
        <v>208</v>
      </c>
      <c r="E1871" s="0" t="s">
        <v>17</v>
      </c>
      <c r="F1871" s="0" t="s">
        <v>209</v>
      </c>
      <c r="G1871" s="0" t="n">
        <v>1</v>
      </c>
      <c r="H1871" s="0" t="s">
        <v>33</v>
      </c>
      <c r="J1871" s="0" t="s">
        <v>34</v>
      </c>
      <c r="K1871" s="0" t="str">
        <f aca="false">"0.83 %"</f>
        <v>0.83 %</v>
      </c>
      <c r="O1871" s="0" t="s">
        <v>6804</v>
      </c>
    </row>
    <row r="1872" customFormat="false" ht="13.8" hidden="false" customHeight="false" outlineLevel="0" collapsed="false">
      <c r="A1872" s="0" t="s">
        <v>6805</v>
      </c>
      <c r="D1872" s="0" t="s">
        <v>201</v>
      </c>
      <c r="E1872" s="0" t="s">
        <v>202</v>
      </c>
      <c r="F1872" s="0" t="s">
        <v>422</v>
      </c>
      <c r="G1872" s="0" t="n">
        <v>1</v>
      </c>
      <c r="H1872" s="0" t="s">
        <v>27</v>
      </c>
      <c r="J1872" s="0" t="s">
        <v>28</v>
      </c>
      <c r="K1872" s="0" t="str">
        <f aca="false">"9.82 %"</f>
        <v>9.82 %</v>
      </c>
      <c r="M1872" s="0" t="str">
        <f aca="false">"22.10 mA/cm^{2}"</f>
        <v>22.10 mA/cm^{2}</v>
      </c>
      <c r="O1872" s="0" t="s">
        <v>6806</v>
      </c>
    </row>
    <row r="1873" customFormat="false" ht="13.8" hidden="false" customHeight="false" outlineLevel="0" collapsed="false">
      <c r="A1873" s="0" t="s">
        <v>6807</v>
      </c>
      <c r="C1873" s="0" t="n">
        <v>1</v>
      </c>
      <c r="D1873" s="0" t="s">
        <v>1116</v>
      </c>
      <c r="E1873" s="0" t="s">
        <v>1117</v>
      </c>
      <c r="F1873" s="0" t="s">
        <v>1118</v>
      </c>
      <c r="G1873" s="0" t="n">
        <v>1</v>
      </c>
      <c r="H1873" s="0" t="s">
        <v>76</v>
      </c>
      <c r="J1873" s="0" t="s">
        <v>77</v>
      </c>
      <c r="K1873" s="0" t="str">
        <f aca="false">"15 %"</f>
        <v>15 %</v>
      </c>
      <c r="O1873" s="0" t="s">
        <v>6808</v>
      </c>
    </row>
    <row r="1874" customFormat="false" ht="13.8" hidden="false" customHeight="false" outlineLevel="0" collapsed="false">
      <c r="A1874" s="0" t="s">
        <v>6809</v>
      </c>
      <c r="D1874" s="0" t="s">
        <v>16</v>
      </c>
      <c r="E1874" s="0" t="s">
        <v>17</v>
      </c>
      <c r="F1874" s="0" t="s">
        <v>116</v>
      </c>
      <c r="G1874" s="0" t="n">
        <v>1</v>
      </c>
      <c r="H1874" s="0" t="s">
        <v>33</v>
      </c>
      <c r="J1874" s="0" t="s">
        <v>34</v>
      </c>
      <c r="K1874" s="0" t="str">
        <f aca="false">"4.30 %"</f>
        <v>4.30 %</v>
      </c>
      <c r="O1874" s="0" t="s">
        <v>6810</v>
      </c>
    </row>
    <row r="1875" customFormat="false" ht="13.8" hidden="false" customHeight="false" outlineLevel="0" collapsed="false">
      <c r="A1875" s="0" t="s">
        <v>6811</v>
      </c>
      <c r="D1875" s="0" t="s">
        <v>4350</v>
      </c>
      <c r="E1875" s="0" t="s">
        <v>6757</v>
      </c>
      <c r="F1875" s="0" t="s">
        <v>6812</v>
      </c>
      <c r="G1875" s="0" t="n">
        <v>0</v>
      </c>
      <c r="H1875" s="0" t="s">
        <v>6813</v>
      </c>
      <c r="J1875" s="0" t="s">
        <v>6814</v>
      </c>
      <c r="K1875" s="0" t="str">
        <f aca="false">"7.3 %"</f>
        <v>7.3 %</v>
      </c>
      <c r="O1875" s="0" t="s">
        <v>6815</v>
      </c>
    </row>
    <row r="1876" customFormat="false" ht="13.8" hidden="false" customHeight="false" outlineLevel="0" collapsed="false">
      <c r="A1876" s="0" t="s">
        <v>6816</v>
      </c>
      <c r="D1876" s="0" t="s">
        <v>3502</v>
      </c>
      <c r="E1876" s="0" t="s">
        <v>3503</v>
      </c>
      <c r="F1876" s="0" t="s">
        <v>3504</v>
      </c>
      <c r="G1876" s="0" t="n">
        <v>0</v>
      </c>
      <c r="H1876" s="0" t="s">
        <v>6817</v>
      </c>
      <c r="J1876" s="0" t="s">
        <v>6818</v>
      </c>
      <c r="M1876" s="0" t="str">
        <f aca="false">"16.93 mA cm^{-2}"</f>
        <v>16.93 mA cm^{-2}</v>
      </c>
      <c r="O1876" s="0" t="s">
        <v>6819</v>
      </c>
    </row>
    <row r="1877" customFormat="false" ht="13.8" hidden="false" customHeight="false" outlineLevel="0" collapsed="false">
      <c r="A1877" s="0" t="s">
        <v>6816</v>
      </c>
      <c r="D1877" s="0" t="s">
        <v>3502</v>
      </c>
      <c r="E1877" s="0" t="s">
        <v>3503</v>
      </c>
      <c r="F1877" s="0" t="s">
        <v>3504</v>
      </c>
      <c r="G1877" s="0" t="n">
        <v>0</v>
      </c>
      <c r="H1877" s="0" t="s">
        <v>6820</v>
      </c>
      <c r="J1877" s="0" t="s">
        <v>6821</v>
      </c>
      <c r="K1877" s="0" t="str">
        <f aca="false">"8.11 %"</f>
        <v>8.11 %</v>
      </c>
      <c r="N1877" s="0" t="str">
        <f aca="false">"65.6 %"</f>
        <v>65.6 %</v>
      </c>
      <c r="O1877" s="0" t="s">
        <v>6822</v>
      </c>
    </row>
    <row r="1878" customFormat="false" ht="13.8" hidden="false" customHeight="false" outlineLevel="0" collapsed="false">
      <c r="A1878" s="0" t="s">
        <v>6823</v>
      </c>
      <c r="D1878" s="0" t="s">
        <v>599</v>
      </c>
      <c r="E1878" s="0" t="s">
        <v>600</v>
      </c>
      <c r="F1878" s="0" t="s">
        <v>601</v>
      </c>
      <c r="G1878" s="0" t="n">
        <v>0</v>
      </c>
      <c r="H1878" s="0" t="s">
        <v>6824</v>
      </c>
      <c r="J1878" s="0" t="s">
        <v>6825</v>
      </c>
      <c r="K1878" s="0" t="str">
        <f aca="false">"10.20 %"</f>
        <v>10.20 %</v>
      </c>
      <c r="N1878" s="0" t="str">
        <f aca="false">"0.74"</f>
        <v>0.74</v>
      </c>
      <c r="O1878" s="0" t="s">
        <v>6826</v>
      </c>
    </row>
    <row r="1879" customFormat="false" ht="13.8" hidden="false" customHeight="false" outlineLevel="0" collapsed="false">
      <c r="A1879" s="0" t="s">
        <v>6827</v>
      </c>
      <c r="D1879" s="0" t="s">
        <v>3787</v>
      </c>
      <c r="E1879" s="0" t="s">
        <v>3788</v>
      </c>
      <c r="F1879" s="0" t="s">
        <v>3789</v>
      </c>
      <c r="G1879" s="0" t="n">
        <v>1</v>
      </c>
      <c r="H1879" s="0" t="s">
        <v>27</v>
      </c>
      <c r="J1879" s="0" t="s">
        <v>28</v>
      </c>
      <c r="K1879" s="0" t="str">
        <f aca="false">"8.58 %"</f>
        <v>8.58 %</v>
      </c>
      <c r="O1879" s="0" t="s">
        <v>6828</v>
      </c>
    </row>
    <row r="1880" customFormat="false" ht="13.8" hidden="false" customHeight="false" outlineLevel="0" collapsed="false">
      <c r="A1880" s="0" t="s">
        <v>6827</v>
      </c>
      <c r="D1880" s="0" t="s">
        <v>85</v>
      </c>
      <c r="E1880" s="0" t="s">
        <v>202</v>
      </c>
      <c r="F1880" s="0" t="s">
        <v>6792</v>
      </c>
      <c r="G1880" s="0" t="n">
        <v>1</v>
      </c>
      <c r="H1880" s="0" t="s">
        <v>27</v>
      </c>
      <c r="J1880" s="0" t="s">
        <v>28</v>
      </c>
      <c r="K1880" s="0" t="str">
        <f aca="false">"9.64 %"</f>
        <v>9.64 %</v>
      </c>
      <c r="O1880" s="0" t="s">
        <v>6829</v>
      </c>
    </row>
    <row r="1881" customFormat="false" ht="13.8" hidden="false" customHeight="false" outlineLevel="0" collapsed="false">
      <c r="A1881" s="0" t="s">
        <v>6827</v>
      </c>
      <c r="D1881" s="0" t="s">
        <v>201</v>
      </c>
      <c r="E1881" s="0" t="s">
        <v>202</v>
      </c>
      <c r="F1881" s="0" t="s">
        <v>6792</v>
      </c>
      <c r="G1881" s="0" t="n">
        <v>1</v>
      </c>
      <c r="H1881" s="0" t="s">
        <v>27</v>
      </c>
      <c r="J1881" s="0" t="s">
        <v>28</v>
      </c>
      <c r="K1881" s="0" t="str">
        <f aca="false">"10.30 %"</f>
        <v>10.30 %</v>
      </c>
      <c r="O1881" s="0" t="s">
        <v>6830</v>
      </c>
    </row>
    <row r="1882" customFormat="false" ht="13.8" hidden="false" customHeight="false" outlineLevel="0" collapsed="false">
      <c r="A1882" s="0" t="s">
        <v>6831</v>
      </c>
      <c r="D1882" s="0" t="s">
        <v>85</v>
      </c>
      <c r="E1882" s="0" t="s">
        <v>86</v>
      </c>
      <c r="F1882" s="0" t="s">
        <v>87</v>
      </c>
      <c r="G1882" s="0" t="n">
        <v>1</v>
      </c>
      <c r="H1882" s="0" t="s">
        <v>27</v>
      </c>
      <c r="J1882" s="0" t="s">
        <v>2066</v>
      </c>
      <c r="K1882" s="0" t="str">
        <f aca="false">"8.02 %"</f>
        <v>8.02 %</v>
      </c>
      <c r="O1882" s="0" t="s">
        <v>6832</v>
      </c>
    </row>
    <row r="1883" customFormat="false" ht="13.8" hidden="false" customHeight="false" outlineLevel="0" collapsed="false">
      <c r="A1883" s="0" t="s">
        <v>6833</v>
      </c>
      <c r="D1883" s="0" t="s">
        <v>85</v>
      </c>
      <c r="E1883" s="0" t="s">
        <v>86</v>
      </c>
      <c r="F1883" s="0" t="s">
        <v>6834</v>
      </c>
      <c r="G1883" s="0" t="n">
        <v>1</v>
      </c>
      <c r="H1883" s="0" t="s">
        <v>27</v>
      </c>
      <c r="J1883" s="0" t="s">
        <v>28</v>
      </c>
      <c r="K1883" s="0" t="str">
        <f aca="false">"7.8 %"</f>
        <v>7.8 %</v>
      </c>
      <c r="O1883" s="0" t="s">
        <v>6835</v>
      </c>
    </row>
    <row r="1884" customFormat="false" ht="13.8" hidden="false" customHeight="false" outlineLevel="0" collapsed="false">
      <c r="A1884" s="0" t="s">
        <v>6836</v>
      </c>
      <c r="D1884" s="0" t="s">
        <v>16</v>
      </c>
      <c r="E1884" s="0" t="s">
        <v>17</v>
      </c>
      <c r="F1884" s="0" t="s">
        <v>18</v>
      </c>
      <c r="G1884" s="0" t="n">
        <v>0</v>
      </c>
      <c r="H1884" s="0" t="s">
        <v>6837</v>
      </c>
      <c r="J1884" s="0" t="s">
        <v>6838</v>
      </c>
      <c r="K1884" s="0" t="str">
        <f aca="false">"4.03 %"</f>
        <v>4.03 %</v>
      </c>
      <c r="O1884" s="0" t="s">
        <v>6839</v>
      </c>
    </row>
    <row r="1885" customFormat="false" ht="13.8" hidden="false" customHeight="false" outlineLevel="0" collapsed="false">
      <c r="A1885" s="0" t="s">
        <v>6836</v>
      </c>
      <c r="D1885" s="0" t="s">
        <v>16</v>
      </c>
      <c r="E1885" s="0" t="s">
        <v>17</v>
      </c>
      <c r="F1885" s="0" t="s">
        <v>18</v>
      </c>
      <c r="G1885" s="0" t="n">
        <v>0</v>
      </c>
      <c r="H1885" s="0" t="s">
        <v>6840</v>
      </c>
      <c r="J1885" s="0" t="s">
        <v>6841</v>
      </c>
      <c r="K1885" s="0" t="str">
        <f aca="false">"4.81 %"</f>
        <v>4.81 %</v>
      </c>
      <c r="L1885" s="0" t="str">
        <f aca="false">"0.95 V"</f>
        <v>0.95 V</v>
      </c>
      <c r="O1885" s="0" t="s">
        <v>6842</v>
      </c>
    </row>
    <row r="1886" customFormat="false" ht="13.8" hidden="false" customHeight="false" outlineLevel="0" collapsed="false">
      <c r="A1886" s="0" t="s">
        <v>6843</v>
      </c>
      <c r="D1886" s="0" t="s">
        <v>6844</v>
      </c>
      <c r="E1886" s="0" t="s">
        <v>202</v>
      </c>
      <c r="F1886" s="0" t="s">
        <v>6845</v>
      </c>
      <c r="G1886" s="0" t="n">
        <v>1</v>
      </c>
      <c r="H1886" s="0" t="s">
        <v>27</v>
      </c>
      <c r="J1886" s="0" t="s">
        <v>4482</v>
      </c>
      <c r="K1886" s="0" t="str">
        <f aca="false">"10.5 %"</f>
        <v>10.5 %</v>
      </c>
      <c r="O1886" s="0" t="s">
        <v>6846</v>
      </c>
    </row>
    <row r="1887" customFormat="false" ht="13.8" hidden="false" customHeight="false" outlineLevel="0" collapsed="false">
      <c r="A1887" s="0" t="s">
        <v>6847</v>
      </c>
      <c r="D1887" s="0" t="s">
        <v>6848</v>
      </c>
      <c r="F1887" s="0" t="s">
        <v>6849</v>
      </c>
      <c r="G1887" s="0" t="n">
        <v>0</v>
      </c>
      <c r="H1887" s="0" t="s">
        <v>6850</v>
      </c>
      <c r="I1887" s="0" t="s">
        <v>6851</v>
      </c>
      <c r="J1887" s="0" t="s">
        <v>6852</v>
      </c>
      <c r="K1887" s="0" t="str">
        <f aca="false">"7.34 %"</f>
        <v>7.34 %</v>
      </c>
      <c r="L1887" s="0" t="str">
        <f aca="false">"1.10 V"</f>
        <v>1.10 V</v>
      </c>
      <c r="O1887" s="0" t="s">
        <v>6853</v>
      </c>
    </row>
    <row r="1888" customFormat="false" ht="13.8" hidden="false" customHeight="false" outlineLevel="0" collapsed="false">
      <c r="A1888" s="0" t="s">
        <v>6847</v>
      </c>
      <c r="F1888" s="0" t="s">
        <v>40</v>
      </c>
      <c r="G1888" s="0" t="n">
        <v>0</v>
      </c>
      <c r="H1888" s="0" t="s">
        <v>6850</v>
      </c>
      <c r="I1888" s="0" t="s">
        <v>6851</v>
      </c>
      <c r="J1888" s="0" t="s">
        <v>6852</v>
      </c>
      <c r="L1888" s="0" t="str">
        <f aca="false">"0.96 V"</f>
        <v>0.96 V</v>
      </c>
      <c r="O1888" s="0" t="s">
        <v>6854</v>
      </c>
    </row>
    <row r="1889" customFormat="false" ht="13.8" hidden="false" customHeight="false" outlineLevel="0" collapsed="false">
      <c r="A1889" s="0" t="s">
        <v>6855</v>
      </c>
      <c r="D1889" s="0" t="s">
        <v>6856</v>
      </c>
      <c r="F1889" s="0" t="s">
        <v>6857</v>
      </c>
      <c r="G1889" s="0" t="n">
        <v>0</v>
      </c>
      <c r="H1889" s="0" t="s">
        <v>6858</v>
      </c>
      <c r="J1889" s="0" t="s">
        <v>40</v>
      </c>
      <c r="L1889" s="0" t="str">
        <f aca="false">"0.80 V"</f>
        <v>0.80 V</v>
      </c>
      <c r="O1889" s="0" t="s">
        <v>6859</v>
      </c>
    </row>
    <row r="1890" customFormat="false" ht="13.8" hidden="false" customHeight="false" outlineLevel="0" collapsed="false">
      <c r="A1890" s="0" t="s">
        <v>6860</v>
      </c>
      <c r="D1890" s="0" t="s">
        <v>6228</v>
      </c>
      <c r="E1890" s="0" t="s">
        <v>1169</v>
      </c>
      <c r="F1890" s="0" t="s">
        <v>6229</v>
      </c>
      <c r="G1890" s="0" t="n">
        <v>1</v>
      </c>
      <c r="H1890" s="0" t="s">
        <v>33</v>
      </c>
      <c r="J1890" s="0" t="s">
        <v>40</v>
      </c>
      <c r="K1890" s="0" t="str">
        <f aca="false">"3.47 %"</f>
        <v>3.47 %</v>
      </c>
      <c r="O1890" s="0" t="s">
        <v>6861</v>
      </c>
    </row>
    <row r="1891" customFormat="false" ht="13.8" hidden="false" customHeight="false" outlineLevel="0" collapsed="false">
      <c r="A1891" s="0" t="s">
        <v>6862</v>
      </c>
      <c r="D1891" s="0" t="s">
        <v>4213</v>
      </c>
      <c r="E1891" s="0" t="s">
        <v>404</v>
      </c>
      <c r="F1891" s="0" t="s">
        <v>4214</v>
      </c>
      <c r="G1891" s="0" t="n">
        <v>1</v>
      </c>
      <c r="H1891" s="0" t="s">
        <v>66</v>
      </c>
      <c r="J1891" s="0" t="s">
        <v>67</v>
      </c>
      <c r="K1891" s="0" t="str">
        <f aca="false">"8.22 ± 0.10 %"</f>
        <v>8.22 ± 0.10 %</v>
      </c>
      <c r="O1891" s="0" t="s">
        <v>6863</v>
      </c>
    </row>
    <row r="1892" customFormat="false" ht="13.8" hidden="false" customHeight="false" outlineLevel="0" collapsed="false">
      <c r="A1892" s="0" t="s">
        <v>6864</v>
      </c>
      <c r="D1892" s="0" t="s">
        <v>201</v>
      </c>
      <c r="E1892" s="0" t="s">
        <v>202</v>
      </c>
      <c r="F1892" s="0" t="s">
        <v>422</v>
      </c>
      <c r="G1892" s="0" t="n">
        <v>1</v>
      </c>
      <c r="H1892" s="0" t="s">
        <v>27</v>
      </c>
      <c r="J1892" s="0" t="s">
        <v>28</v>
      </c>
      <c r="K1892" s="0" t="str">
        <f aca="false">"9.7 %"</f>
        <v>9.7 %</v>
      </c>
      <c r="N1892" s="0" t="str">
        <f aca="false">"70 %"</f>
        <v>70 %</v>
      </c>
      <c r="O1892" s="0" t="s">
        <v>6865</v>
      </c>
    </row>
    <row r="1893" customFormat="false" ht="13.8" hidden="false" customHeight="false" outlineLevel="0" collapsed="false">
      <c r="A1893" s="0" t="s">
        <v>6866</v>
      </c>
      <c r="D1893" s="0" t="s">
        <v>85</v>
      </c>
      <c r="E1893" s="0" t="s">
        <v>86</v>
      </c>
      <c r="F1893" s="0" t="s">
        <v>1794</v>
      </c>
      <c r="G1893" s="0" t="n">
        <v>1</v>
      </c>
      <c r="H1893" s="0" t="s">
        <v>27</v>
      </c>
      <c r="J1893" s="0" t="s">
        <v>1799</v>
      </c>
      <c r="K1893" s="0" t="str">
        <f aca="false">"2.99 %"</f>
        <v>2.99 %</v>
      </c>
      <c r="O1893" s="0" t="s">
        <v>6867</v>
      </c>
    </row>
    <row r="1894" customFormat="false" ht="13.8" hidden="false" customHeight="false" outlineLevel="0" collapsed="false">
      <c r="A1894" s="0" t="s">
        <v>6868</v>
      </c>
      <c r="D1894" s="0" t="s">
        <v>16</v>
      </c>
      <c r="E1894" s="0" t="s">
        <v>17</v>
      </c>
      <c r="F1894" s="0" t="s">
        <v>116</v>
      </c>
      <c r="G1894" s="0" t="n">
        <v>1</v>
      </c>
      <c r="H1894" s="0" t="s">
        <v>33</v>
      </c>
      <c r="J1894" s="0" t="s">
        <v>34</v>
      </c>
      <c r="K1894" s="0" t="str">
        <f aca="false">"7.14 %"</f>
        <v>7.14 %</v>
      </c>
      <c r="O1894" s="0" t="s">
        <v>6869</v>
      </c>
    </row>
    <row r="1895" customFormat="false" ht="13.8" hidden="false" customHeight="false" outlineLevel="0" collapsed="false">
      <c r="A1895" s="0" t="s">
        <v>6870</v>
      </c>
      <c r="D1895" s="0" t="s">
        <v>3787</v>
      </c>
      <c r="E1895" s="0" t="s">
        <v>3788</v>
      </c>
      <c r="F1895" s="0" t="s">
        <v>3789</v>
      </c>
      <c r="G1895" s="0" t="n">
        <v>0</v>
      </c>
      <c r="H1895" s="0" t="s">
        <v>6871</v>
      </c>
      <c r="J1895" s="0" t="s">
        <v>40</v>
      </c>
      <c r="K1895" s="0" t="str">
        <f aca="false">"5.40 %"</f>
        <v>5.40 %</v>
      </c>
      <c r="O1895" s="0" t="s">
        <v>6872</v>
      </c>
    </row>
    <row r="1896" customFormat="false" ht="13.8" hidden="false" customHeight="false" outlineLevel="0" collapsed="false">
      <c r="A1896" s="0" t="s">
        <v>6873</v>
      </c>
      <c r="D1896" s="0" t="s">
        <v>16</v>
      </c>
      <c r="E1896" s="0" t="s">
        <v>17</v>
      </c>
      <c r="F1896" s="0" t="s">
        <v>101</v>
      </c>
      <c r="G1896" s="0" t="n">
        <v>1</v>
      </c>
      <c r="H1896" s="0" t="s">
        <v>76</v>
      </c>
      <c r="J1896" s="0" t="s">
        <v>77</v>
      </c>
      <c r="K1896" s="0" t="str">
        <f aca="false">"5.14 %"</f>
        <v>5.14 %</v>
      </c>
      <c r="O1896" s="0" t="s">
        <v>6874</v>
      </c>
    </row>
    <row r="1897" customFormat="false" ht="13.8" hidden="false" customHeight="false" outlineLevel="0" collapsed="false">
      <c r="A1897" s="0" t="s">
        <v>6875</v>
      </c>
      <c r="D1897" s="0" t="s">
        <v>16</v>
      </c>
      <c r="E1897" s="0" t="s">
        <v>17</v>
      </c>
      <c r="F1897" s="0" t="s">
        <v>709</v>
      </c>
      <c r="G1897" s="0" t="n">
        <v>1</v>
      </c>
      <c r="H1897" s="0" t="s">
        <v>33</v>
      </c>
      <c r="J1897" s="0" t="s">
        <v>34</v>
      </c>
      <c r="K1897" s="0" t="str">
        <f aca="false">"3.14 %"</f>
        <v>3.14 %</v>
      </c>
      <c r="L1897" s="0" t="str">
        <f aca="false">"0.54 V"</f>
        <v>0.54 V</v>
      </c>
      <c r="M1897" s="0" t="str">
        <f aca="false">"9.31 mA/cm^{2}"</f>
        <v>9.31 mA/cm^{2}</v>
      </c>
      <c r="N1897" s="0" t="str">
        <f aca="false">"62.7 %"</f>
        <v>62.7 %</v>
      </c>
      <c r="O1897" s="0" t="s">
        <v>6876</v>
      </c>
    </row>
    <row r="1898" customFormat="false" ht="13.8" hidden="false" customHeight="false" outlineLevel="0" collapsed="false">
      <c r="A1898" s="0" t="s">
        <v>6877</v>
      </c>
      <c r="D1898" s="0" t="s">
        <v>6878</v>
      </c>
      <c r="E1898" s="0" t="s">
        <v>202</v>
      </c>
      <c r="F1898" s="0" t="s">
        <v>6879</v>
      </c>
      <c r="G1898" s="0" t="n">
        <v>1</v>
      </c>
      <c r="H1898" s="0" t="s">
        <v>27</v>
      </c>
      <c r="J1898" s="0" t="s">
        <v>28</v>
      </c>
      <c r="K1898" s="0" t="str">
        <f aca="false">"8.8 %"</f>
        <v>8.8 %</v>
      </c>
      <c r="O1898" s="0" t="s">
        <v>6880</v>
      </c>
    </row>
    <row r="1899" customFormat="false" ht="13.8" hidden="false" customHeight="false" outlineLevel="0" collapsed="false">
      <c r="A1899" s="0" t="s">
        <v>6881</v>
      </c>
      <c r="D1899" s="0" t="s">
        <v>6882</v>
      </c>
      <c r="F1899" s="0" t="s">
        <v>6883</v>
      </c>
      <c r="G1899" s="0" t="n">
        <v>0</v>
      </c>
      <c r="H1899" s="0" t="s">
        <v>6884</v>
      </c>
      <c r="J1899" s="0" t="s">
        <v>40</v>
      </c>
      <c r="K1899" s="0" t="str">
        <f aca="false">"8.05 %"</f>
        <v>8.05 %</v>
      </c>
      <c r="O1899" s="0" t="s">
        <v>6885</v>
      </c>
    </row>
    <row r="1900" customFormat="false" ht="13.8" hidden="false" customHeight="false" outlineLevel="0" collapsed="false">
      <c r="A1900" s="0" t="s">
        <v>6886</v>
      </c>
      <c r="C1900" s="0" t="n">
        <v>1</v>
      </c>
      <c r="D1900" s="0" t="s">
        <v>201</v>
      </c>
      <c r="E1900" s="0" t="s">
        <v>202</v>
      </c>
      <c r="F1900" s="0" t="s">
        <v>422</v>
      </c>
      <c r="G1900" s="0" t="n">
        <v>0</v>
      </c>
      <c r="H1900" s="0" t="s">
        <v>1947</v>
      </c>
      <c r="I1900" s="0" t="s">
        <v>1948</v>
      </c>
      <c r="J1900" s="0" t="s">
        <v>1949</v>
      </c>
      <c r="K1900" s="0" t="str">
        <f aca="false">"9.45 %"</f>
        <v>9.45 %</v>
      </c>
      <c r="O1900" s="0" t="s">
        <v>6887</v>
      </c>
    </row>
    <row r="1901" customFormat="false" ht="13.8" hidden="false" customHeight="false" outlineLevel="0" collapsed="false">
      <c r="A1901" s="0" t="s">
        <v>6888</v>
      </c>
      <c r="D1901" s="0" t="s">
        <v>6889</v>
      </c>
      <c r="F1901" s="0" t="s">
        <v>6890</v>
      </c>
      <c r="G1901" s="0" t="n">
        <v>0</v>
      </c>
      <c r="H1901" s="0" t="s">
        <v>6213</v>
      </c>
      <c r="J1901" s="0" t="s">
        <v>40</v>
      </c>
      <c r="K1901" s="0" t="str">
        <f aca="false">"14.05 %"</f>
        <v>14.05 %</v>
      </c>
      <c r="N1901" s="0" t="str">
        <f aca="false">"0.615"</f>
        <v>0.615</v>
      </c>
      <c r="O1901" s="0" t="s">
        <v>6891</v>
      </c>
    </row>
    <row r="1902" customFormat="false" ht="13.8" hidden="false" customHeight="false" outlineLevel="0" collapsed="false">
      <c r="A1902" s="0" t="s">
        <v>6892</v>
      </c>
      <c r="D1902" s="0" t="s">
        <v>599</v>
      </c>
      <c r="E1902" s="0" t="s">
        <v>600</v>
      </c>
      <c r="F1902" s="0" t="s">
        <v>601</v>
      </c>
      <c r="G1902" s="0" t="n">
        <v>0</v>
      </c>
      <c r="H1902" s="0" t="s">
        <v>6893</v>
      </c>
      <c r="J1902" s="0" t="s">
        <v>6894</v>
      </c>
      <c r="K1902" s="0" t="str">
        <f aca="false">"3.57 %"</f>
        <v>3.57 %</v>
      </c>
      <c r="O1902" s="0" t="s">
        <v>6895</v>
      </c>
    </row>
    <row r="1903" customFormat="false" ht="13.8" hidden="false" customHeight="false" outlineLevel="0" collapsed="false">
      <c r="A1903" s="0" t="s">
        <v>6896</v>
      </c>
      <c r="B1903" s="0" t="n">
        <v>1</v>
      </c>
      <c r="D1903" s="0" t="s">
        <v>3502</v>
      </c>
      <c r="E1903" s="0" t="s">
        <v>3503</v>
      </c>
      <c r="F1903" s="0" t="s">
        <v>3504</v>
      </c>
      <c r="G1903" s="0" t="n">
        <v>0</v>
      </c>
      <c r="H1903" s="0" t="s">
        <v>1121</v>
      </c>
      <c r="I1903" s="0" t="s">
        <v>225</v>
      </c>
      <c r="J1903" s="0" t="s">
        <v>1996</v>
      </c>
      <c r="K1903" s="0" t="str">
        <f aca="false">"6.58 %"</f>
        <v>6.58 %</v>
      </c>
      <c r="N1903" s="0" t="str">
        <f aca="false">"60.18 %"</f>
        <v>60.18 %</v>
      </c>
      <c r="O1903" s="0" t="s">
        <v>6897</v>
      </c>
    </row>
    <row r="1904" customFormat="false" ht="13.8" hidden="false" customHeight="false" outlineLevel="0" collapsed="false">
      <c r="A1904" s="0" t="s">
        <v>6896</v>
      </c>
      <c r="B1904" s="0" t="n">
        <v>1</v>
      </c>
      <c r="D1904" s="0" t="s">
        <v>2493</v>
      </c>
      <c r="E1904" s="0" t="s">
        <v>2494</v>
      </c>
      <c r="F1904" s="0" t="s">
        <v>2780</v>
      </c>
      <c r="G1904" s="0" t="n">
        <v>0</v>
      </c>
      <c r="H1904" s="0" t="s">
        <v>1121</v>
      </c>
      <c r="I1904" s="0" t="s">
        <v>225</v>
      </c>
      <c r="J1904" s="0" t="s">
        <v>1996</v>
      </c>
      <c r="K1904" s="0" t="str">
        <f aca="false">"9.31 %"</f>
        <v>9.31 %</v>
      </c>
      <c r="N1904" s="0" t="str">
        <f aca="false">"78.00 %"</f>
        <v>78.00 %</v>
      </c>
      <c r="O1904" s="0" t="s">
        <v>6898</v>
      </c>
    </row>
    <row r="1905" customFormat="false" ht="13.8" hidden="false" customHeight="false" outlineLevel="0" collapsed="false">
      <c r="A1905" s="0" t="s">
        <v>6899</v>
      </c>
      <c r="D1905" s="0" t="s">
        <v>6900</v>
      </c>
      <c r="F1905" s="0" t="s">
        <v>40</v>
      </c>
      <c r="G1905" s="0" t="n">
        <v>0</v>
      </c>
      <c r="H1905" s="0" t="s">
        <v>6901</v>
      </c>
      <c r="J1905" s="0" t="s">
        <v>40</v>
      </c>
      <c r="K1905" s="0" t="str">
        <f aca="false">"10-12.5 %"</f>
        <v>10-12.5 %</v>
      </c>
      <c r="O1905" s="0" t="s">
        <v>6902</v>
      </c>
    </row>
    <row r="1906" customFormat="false" ht="13.8" hidden="false" customHeight="false" outlineLevel="0" collapsed="false">
      <c r="A1906" s="0" t="s">
        <v>6903</v>
      </c>
      <c r="D1906" s="0" t="s">
        <v>201</v>
      </c>
      <c r="E1906" s="0" t="s">
        <v>202</v>
      </c>
      <c r="F1906" s="0" t="s">
        <v>422</v>
      </c>
      <c r="G1906" s="0" t="n">
        <v>1</v>
      </c>
      <c r="H1906" s="0" t="s">
        <v>66</v>
      </c>
      <c r="J1906" s="0" t="s">
        <v>67</v>
      </c>
      <c r="K1906" s="0" t="str">
        <f aca="false">"9.74 %"</f>
        <v>9.74 %</v>
      </c>
      <c r="O1906" s="0" t="s">
        <v>6904</v>
      </c>
    </row>
    <row r="1907" customFormat="false" ht="13.8" hidden="false" customHeight="false" outlineLevel="0" collapsed="false">
      <c r="A1907" s="0" t="s">
        <v>6905</v>
      </c>
      <c r="D1907" s="0" t="s">
        <v>6906</v>
      </c>
      <c r="F1907" s="0" t="s">
        <v>6907</v>
      </c>
      <c r="G1907" s="0" t="n">
        <v>0</v>
      </c>
      <c r="H1907" s="0" t="s">
        <v>6908</v>
      </c>
      <c r="J1907" s="0" t="s">
        <v>40</v>
      </c>
      <c r="K1907" s="0" t="str">
        <f aca="false">"2.15 %"</f>
        <v>2.15 %</v>
      </c>
      <c r="O1907" s="0" t="s">
        <v>6909</v>
      </c>
    </row>
    <row r="1908" customFormat="false" ht="13.8" hidden="false" customHeight="false" outlineLevel="0" collapsed="false">
      <c r="A1908" s="0" t="s">
        <v>6910</v>
      </c>
      <c r="D1908" s="0" t="s">
        <v>599</v>
      </c>
      <c r="E1908" s="0" t="s">
        <v>600</v>
      </c>
      <c r="F1908" s="0" t="s">
        <v>6911</v>
      </c>
      <c r="G1908" s="0" t="n">
        <v>0</v>
      </c>
      <c r="H1908" s="0" t="s">
        <v>6912</v>
      </c>
      <c r="J1908" s="0" t="s">
        <v>40</v>
      </c>
      <c r="K1908" s="0" t="str">
        <f aca="false">"9.13 %"</f>
        <v>9.13 %</v>
      </c>
      <c r="O1908" s="0" t="s">
        <v>6913</v>
      </c>
    </row>
    <row r="1909" customFormat="false" ht="13.8" hidden="false" customHeight="false" outlineLevel="0" collapsed="false">
      <c r="A1909" s="0" t="s">
        <v>6914</v>
      </c>
      <c r="D1909" s="0" t="s">
        <v>201</v>
      </c>
      <c r="E1909" s="0" t="s">
        <v>202</v>
      </c>
      <c r="F1909" s="0" t="s">
        <v>422</v>
      </c>
      <c r="G1909" s="0" t="n">
        <v>0</v>
      </c>
      <c r="H1909" s="0" t="s">
        <v>6915</v>
      </c>
      <c r="J1909" s="0" t="s">
        <v>6916</v>
      </c>
      <c r="K1909" s="0" t="str">
        <f aca="false">"7.68 %"</f>
        <v>7.68 %</v>
      </c>
      <c r="O1909" s="0" t="s">
        <v>6917</v>
      </c>
    </row>
    <row r="1910" customFormat="false" ht="13.8" hidden="false" customHeight="false" outlineLevel="0" collapsed="false">
      <c r="A1910" s="0" t="s">
        <v>6918</v>
      </c>
      <c r="D1910" s="0" t="s">
        <v>16</v>
      </c>
      <c r="E1910" s="0" t="s">
        <v>17</v>
      </c>
      <c r="F1910" s="0" t="s">
        <v>18</v>
      </c>
      <c r="G1910" s="0" t="n">
        <v>0</v>
      </c>
      <c r="H1910" s="0" t="s">
        <v>6919</v>
      </c>
      <c r="J1910" s="0" t="s">
        <v>6920</v>
      </c>
      <c r="K1910" s="0" t="str">
        <f aca="false">"5.64 %"</f>
        <v>5.64 %</v>
      </c>
      <c r="O1910" s="0" t="s">
        <v>6921</v>
      </c>
    </row>
    <row r="1911" customFormat="false" ht="13.8" hidden="false" customHeight="false" outlineLevel="0" collapsed="false">
      <c r="A1911" s="0" t="s">
        <v>6918</v>
      </c>
      <c r="D1911" s="0" t="s">
        <v>16</v>
      </c>
      <c r="E1911" s="0" t="s">
        <v>17</v>
      </c>
      <c r="F1911" s="0" t="s">
        <v>18</v>
      </c>
      <c r="G1911" s="0" t="n">
        <v>0</v>
      </c>
      <c r="H1911" s="0" t="s">
        <v>6922</v>
      </c>
      <c r="J1911" s="0" t="s">
        <v>6923</v>
      </c>
      <c r="K1911" s="0" t="str">
        <f aca="false">"6.31 %"</f>
        <v>6.31 %</v>
      </c>
      <c r="O1911" s="0" t="s">
        <v>6924</v>
      </c>
    </row>
    <row r="1912" customFormat="false" ht="13.8" hidden="false" customHeight="false" outlineLevel="0" collapsed="false">
      <c r="A1912" s="0" t="s">
        <v>6925</v>
      </c>
      <c r="D1912" s="0" t="s">
        <v>6926</v>
      </c>
      <c r="F1912" s="0" t="s">
        <v>6927</v>
      </c>
      <c r="G1912" s="0" t="n">
        <v>0</v>
      </c>
      <c r="H1912" s="0" t="s">
        <v>4736</v>
      </c>
      <c r="I1912" s="0" t="s">
        <v>6928</v>
      </c>
      <c r="J1912" s="0" t="s">
        <v>6929</v>
      </c>
      <c r="K1912" s="0" t="str">
        <f aca="false">"11.80 %"</f>
        <v>11.80 %</v>
      </c>
      <c r="O1912" s="0" t="s">
        <v>6930</v>
      </c>
    </row>
    <row r="1913" customFormat="false" ht="13.8" hidden="false" customHeight="false" outlineLevel="0" collapsed="false">
      <c r="A1913" s="0" t="s">
        <v>6931</v>
      </c>
      <c r="D1913" s="0" t="s">
        <v>599</v>
      </c>
      <c r="E1913" s="0" t="s">
        <v>600</v>
      </c>
      <c r="F1913" s="0" t="s">
        <v>601</v>
      </c>
      <c r="G1913" s="0" t="n">
        <v>0</v>
      </c>
      <c r="H1913" s="0" t="s">
        <v>163</v>
      </c>
      <c r="I1913" s="0" t="s">
        <v>164</v>
      </c>
      <c r="J1913" s="0" t="s">
        <v>165</v>
      </c>
      <c r="K1913" s="0" t="str">
        <f aca="false">"9.2 %"</f>
        <v>9.2 %</v>
      </c>
      <c r="O1913" s="0" t="s">
        <v>6932</v>
      </c>
    </row>
    <row r="1914" customFormat="false" ht="13.8" hidden="false" customHeight="false" outlineLevel="0" collapsed="false">
      <c r="A1914" s="0" t="s">
        <v>6933</v>
      </c>
      <c r="C1914" s="0" t="n">
        <v>1</v>
      </c>
      <c r="D1914" s="0" t="s">
        <v>1116</v>
      </c>
      <c r="E1914" s="0" t="s">
        <v>1117</v>
      </c>
      <c r="F1914" s="0" t="s">
        <v>1118</v>
      </c>
      <c r="G1914" s="0" t="n">
        <v>0</v>
      </c>
      <c r="H1914" s="0" t="s">
        <v>5040</v>
      </c>
      <c r="I1914" s="0" t="s">
        <v>5041</v>
      </c>
      <c r="J1914" s="0" t="s">
        <v>5042</v>
      </c>
      <c r="K1914" s="0" t="str">
        <f aca="false">"11.88"</f>
        <v>11.88</v>
      </c>
      <c r="O1914" s="0" t="s">
        <v>6934</v>
      </c>
    </row>
    <row r="1915" customFormat="false" ht="13.8" hidden="false" customHeight="false" outlineLevel="0" collapsed="false">
      <c r="A1915" s="0" t="s">
        <v>6933</v>
      </c>
      <c r="B1915" s="0" t="n">
        <v>1</v>
      </c>
      <c r="D1915" s="0" t="s">
        <v>1116</v>
      </c>
      <c r="E1915" s="0" t="s">
        <v>1117</v>
      </c>
      <c r="F1915" s="0" t="s">
        <v>1118</v>
      </c>
      <c r="G1915" s="0" t="n">
        <v>0</v>
      </c>
      <c r="H1915" s="0" t="s">
        <v>681</v>
      </c>
      <c r="I1915" s="0" t="s">
        <v>682</v>
      </c>
      <c r="J1915" s="0" t="s">
        <v>5044</v>
      </c>
      <c r="K1915" s="0" t="str">
        <f aca="false">"12.31"</f>
        <v>12.31</v>
      </c>
      <c r="O1915" s="0" t="s">
        <v>6935</v>
      </c>
    </row>
    <row r="1916" customFormat="false" ht="13.8" hidden="false" customHeight="false" outlineLevel="0" collapsed="false">
      <c r="A1916" s="0" t="s">
        <v>6933</v>
      </c>
      <c r="C1916" s="0" t="n">
        <v>1</v>
      </c>
      <c r="D1916" s="0" t="s">
        <v>1116</v>
      </c>
      <c r="E1916" s="0" t="s">
        <v>1117</v>
      </c>
      <c r="F1916" s="0" t="s">
        <v>1118</v>
      </c>
      <c r="G1916" s="0" t="n">
        <v>0</v>
      </c>
      <c r="H1916" s="0" t="s">
        <v>163</v>
      </c>
      <c r="I1916" s="0" t="s">
        <v>164</v>
      </c>
      <c r="J1916" s="0" t="s">
        <v>165</v>
      </c>
      <c r="K1916" s="0" t="str">
        <f aca="false">"2.98 %"</f>
        <v>2.98 %</v>
      </c>
      <c r="O1916" s="0" t="s">
        <v>6936</v>
      </c>
    </row>
    <row r="1917" customFormat="false" ht="13.8" hidden="false" customHeight="false" outlineLevel="0" collapsed="false">
      <c r="A1917" s="0" t="s">
        <v>6937</v>
      </c>
      <c r="D1917" s="0" t="s">
        <v>5110</v>
      </c>
      <c r="F1917" s="0" t="s">
        <v>6938</v>
      </c>
      <c r="G1917" s="0" t="n">
        <v>0</v>
      </c>
      <c r="H1917" s="0" t="s">
        <v>6939</v>
      </c>
      <c r="J1917" s="0" t="s">
        <v>6940</v>
      </c>
      <c r="K1917" s="0" t="str">
        <f aca="false">"8.36 %"</f>
        <v>8.36 %</v>
      </c>
      <c r="L1917" s="0" t="str">
        <f aca="false">"1.10 V"</f>
        <v>1.10 V</v>
      </c>
      <c r="M1917" s="0" t="str">
        <f aca="false">"12.43 mA cm^{-2}"</f>
        <v>12.43 mA cm^{-2}</v>
      </c>
      <c r="N1917" s="0" t="str">
        <f aca="false">"2.59 %"</f>
        <v>2.59 %</v>
      </c>
      <c r="O1917" s="0" t="s">
        <v>6941</v>
      </c>
    </row>
    <row r="1918" customFormat="false" ht="13.8" hidden="false" customHeight="false" outlineLevel="0" collapsed="false">
      <c r="A1918" s="0" t="s">
        <v>6942</v>
      </c>
      <c r="D1918" s="0" t="s">
        <v>6943</v>
      </c>
      <c r="F1918" s="0" t="s">
        <v>6944</v>
      </c>
      <c r="G1918" s="0" t="n">
        <v>0</v>
      </c>
      <c r="H1918" s="0" t="s">
        <v>6945</v>
      </c>
      <c r="J1918" s="0" t="s">
        <v>40</v>
      </c>
      <c r="K1918" s="0" t="str">
        <f aca="false">"6.33 %"</f>
        <v>6.33 %</v>
      </c>
      <c r="L1918" s="0" t="str">
        <f aca="false">"1.0 V"</f>
        <v>1.0 V</v>
      </c>
      <c r="O1918" s="0" t="s">
        <v>6946</v>
      </c>
    </row>
    <row r="1919" customFormat="false" ht="13.8" hidden="false" customHeight="false" outlineLevel="0" collapsed="false">
      <c r="A1919" s="0" t="s">
        <v>6947</v>
      </c>
      <c r="D1919" s="0" t="s">
        <v>302</v>
      </c>
      <c r="E1919" s="0" t="s">
        <v>202</v>
      </c>
      <c r="F1919" s="0" t="s">
        <v>303</v>
      </c>
      <c r="G1919" s="0" t="n">
        <v>1</v>
      </c>
      <c r="H1919" s="0" t="s">
        <v>27</v>
      </c>
      <c r="J1919" s="0" t="s">
        <v>28</v>
      </c>
      <c r="K1919" s="0" t="str">
        <f aca="false">"14.37 %"</f>
        <v>14.37 %</v>
      </c>
      <c r="O1919" s="0" t="s">
        <v>6948</v>
      </c>
    </row>
    <row r="1920" customFormat="false" ht="13.8" hidden="false" customHeight="false" outlineLevel="0" collapsed="false">
      <c r="A1920" s="0" t="s">
        <v>6949</v>
      </c>
      <c r="D1920" s="0" t="s">
        <v>681</v>
      </c>
      <c r="E1920" s="0" t="s">
        <v>682</v>
      </c>
      <c r="F1920" s="0" t="s">
        <v>5044</v>
      </c>
      <c r="G1920" s="0" t="n">
        <v>0</v>
      </c>
      <c r="H1920" s="0" t="s">
        <v>6950</v>
      </c>
      <c r="J1920" s="0" t="s">
        <v>6951</v>
      </c>
      <c r="K1920" s="0" t="str">
        <f aca="false">"16 %"</f>
        <v>16 %</v>
      </c>
      <c r="O1920" s="0" t="s">
        <v>6952</v>
      </c>
    </row>
    <row r="1921" customFormat="false" ht="15.75" hidden="false" customHeight="false" outlineLevel="0" collapsed="false">
      <c r="A1921" s="0" t="s">
        <v>6953</v>
      </c>
      <c r="B1921" s="0" t="n">
        <v>1</v>
      </c>
      <c r="D1921" s="0" t="s">
        <v>1116</v>
      </c>
      <c r="E1921" s="0" t="s">
        <v>1117</v>
      </c>
      <c r="F1921" s="0" t="s">
        <v>1118</v>
      </c>
      <c r="G1921" s="0" t="n">
        <v>0</v>
      </c>
      <c r="H1921" s="0" t="s">
        <v>6954</v>
      </c>
      <c r="I1921" s="16" t="s">
        <v>6955</v>
      </c>
      <c r="J1921" s="0" t="s">
        <v>6956</v>
      </c>
      <c r="K1921" s="0" t="str">
        <f aca="false">"11.54 %"</f>
        <v>11.54 %</v>
      </c>
      <c r="L1921" s="0" t="str">
        <f aca="false">"0.93 V"</f>
        <v>0.93 V</v>
      </c>
      <c r="M1921" s="0" t="str">
        <f aca="false">"20.20 mA cm^{-2}"</f>
        <v>20.20 mA cm^{-2}</v>
      </c>
      <c r="N1921" s="0" t="str">
        <f aca="false">"61.46 %"</f>
        <v>61.46 %</v>
      </c>
      <c r="O1921" s="0" t="s">
        <v>6957</v>
      </c>
    </row>
    <row r="1922" customFormat="false" ht="14.25" hidden="false" customHeight="false" outlineLevel="0" collapsed="false">
      <c r="A1922" s="0" t="s">
        <v>6953</v>
      </c>
      <c r="B1922" s="0" t="n">
        <v>1</v>
      </c>
      <c r="D1922" s="0" t="s">
        <v>1116</v>
      </c>
      <c r="E1922" s="0" t="s">
        <v>1117</v>
      </c>
      <c r="F1922" s="0" t="s">
        <v>1118</v>
      </c>
      <c r="G1922" s="0" t="n">
        <v>0</v>
      </c>
      <c r="H1922" s="0" t="s">
        <v>6958</v>
      </c>
      <c r="I1922" s="0" t="s">
        <v>6959</v>
      </c>
      <c r="J1922" s="0" t="s">
        <v>6960</v>
      </c>
      <c r="K1922" s="0" t="str">
        <f aca="false">"3.53 %"</f>
        <v>3.53 %</v>
      </c>
      <c r="O1922" s="0" t="s">
        <v>6961</v>
      </c>
    </row>
    <row r="1923" customFormat="false" ht="15.75" hidden="false" customHeight="false" outlineLevel="0" collapsed="false">
      <c r="A1923" s="0" t="s">
        <v>6962</v>
      </c>
      <c r="B1923" s="0" t="n">
        <v>1</v>
      </c>
      <c r="D1923" s="0" t="s">
        <v>1116</v>
      </c>
      <c r="E1923" s="0" t="s">
        <v>1117</v>
      </c>
      <c r="F1923" s="0" t="s">
        <v>1118</v>
      </c>
      <c r="G1923" s="0" t="n">
        <v>0</v>
      </c>
      <c r="H1923" s="0" t="s">
        <v>6963</v>
      </c>
      <c r="I1923" s="16" t="s">
        <v>6964</v>
      </c>
      <c r="J1923" s="0" t="s">
        <v>6965</v>
      </c>
      <c r="K1923" s="0" t="str">
        <f aca="false">"9.1 %"</f>
        <v>9.1 %</v>
      </c>
      <c r="L1923" s="0" t="str">
        <f aca="false">"0.967 V"</f>
        <v>0.967 V</v>
      </c>
      <c r="O1923" s="0" t="s">
        <v>6966</v>
      </c>
    </row>
    <row r="1924" customFormat="false" ht="13.8" hidden="false" customHeight="false" outlineLevel="0" collapsed="false">
      <c r="A1924" s="0" t="s">
        <v>6962</v>
      </c>
      <c r="B1924" s="0" t="n">
        <v>1</v>
      </c>
      <c r="D1924" s="0" t="s">
        <v>1116</v>
      </c>
      <c r="E1924" s="0" t="s">
        <v>1117</v>
      </c>
      <c r="F1924" s="0" t="s">
        <v>1118</v>
      </c>
      <c r="G1924" s="0" t="n">
        <v>0</v>
      </c>
      <c r="H1924" s="0" t="s">
        <v>2659</v>
      </c>
      <c r="I1924" s="0" t="s">
        <v>2660</v>
      </c>
      <c r="J1924" s="0" t="s">
        <v>6967</v>
      </c>
      <c r="K1924" s="0" t="str">
        <f aca="false">"3.1 %"</f>
        <v>3.1 %</v>
      </c>
      <c r="L1924" s="0" t="str">
        <f aca="false">"0.925 V"</f>
        <v>0.925 V</v>
      </c>
      <c r="N1924" s="0" t="str">
        <f aca="false">"0.70"</f>
        <v>0.70</v>
      </c>
      <c r="O1924" s="0" t="s">
        <v>6968</v>
      </c>
    </row>
    <row r="1925" customFormat="false" ht="13.8" hidden="false" customHeight="false" outlineLevel="0" collapsed="false">
      <c r="A1925" s="0" t="s">
        <v>6969</v>
      </c>
      <c r="D1925" s="0" t="s">
        <v>6439</v>
      </c>
      <c r="F1925" s="0" t="s">
        <v>40</v>
      </c>
      <c r="G1925" s="0" t="n">
        <v>1</v>
      </c>
      <c r="H1925" s="0" t="s">
        <v>27</v>
      </c>
      <c r="J1925" s="0" t="s">
        <v>40</v>
      </c>
      <c r="K1925" s="0" t="str">
        <f aca="false">"9.44 %"</f>
        <v>9.44 %</v>
      </c>
      <c r="L1925" s="0" t="str">
        <f aca="false">"0.69 V"</f>
        <v>0.69 V</v>
      </c>
      <c r="O1925" s="0" t="s">
        <v>6970</v>
      </c>
    </row>
    <row r="1926" customFormat="false" ht="13.8" hidden="false" customHeight="false" outlineLevel="0" collapsed="false">
      <c r="A1926" s="0" t="s">
        <v>6971</v>
      </c>
      <c r="B1926" s="0" t="n">
        <v>1</v>
      </c>
      <c r="D1926" s="0" t="s">
        <v>5344</v>
      </c>
      <c r="E1926" s="0" t="s">
        <v>5345</v>
      </c>
      <c r="F1926" s="0" t="s">
        <v>5346</v>
      </c>
      <c r="G1926" s="0" t="n">
        <v>0</v>
      </c>
      <c r="H1926" s="0" t="s">
        <v>681</v>
      </c>
      <c r="I1926" s="0" t="s">
        <v>682</v>
      </c>
      <c r="J1926" s="0" t="s">
        <v>5044</v>
      </c>
      <c r="K1926" s="0" t="str">
        <f aca="false">"4.72 %"</f>
        <v>4.72 %</v>
      </c>
      <c r="O1926" s="0" t="s">
        <v>6972</v>
      </c>
    </row>
    <row r="1927" customFormat="false" ht="18" hidden="false" customHeight="false" outlineLevel="0" collapsed="false">
      <c r="A1927" s="0" t="s">
        <v>6971</v>
      </c>
      <c r="B1927" s="0" t="n">
        <v>1</v>
      </c>
      <c r="D1927" s="0" t="s">
        <v>5344</v>
      </c>
      <c r="E1927" s="0" t="s">
        <v>5345</v>
      </c>
      <c r="F1927" s="0" t="s">
        <v>5346</v>
      </c>
      <c r="G1927" s="0" t="n">
        <v>0</v>
      </c>
      <c r="H1927" s="0" t="s">
        <v>5347</v>
      </c>
      <c r="I1927" s="6" t="s">
        <v>5348</v>
      </c>
      <c r="J1927" s="0" t="s">
        <v>5349</v>
      </c>
      <c r="K1927" s="0" t="str">
        <f aca="false">"12.1 %"</f>
        <v>12.1 %</v>
      </c>
    </row>
    <row r="1928" customFormat="false" ht="13.8" hidden="false" customHeight="false" outlineLevel="0" collapsed="false">
      <c r="A1928" s="0" t="s">
        <v>6973</v>
      </c>
      <c r="D1928" s="0" t="s">
        <v>208</v>
      </c>
      <c r="E1928" s="0" t="s">
        <v>17</v>
      </c>
      <c r="F1928" s="0" t="s">
        <v>209</v>
      </c>
      <c r="G1928" s="0" t="n">
        <v>1</v>
      </c>
      <c r="H1928" s="0" t="s">
        <v>33</v>
      </c>
      <c r="J1928" s="0" t="s">
        <v>34</v>
      </c>
      <c r="K1928" s="0" t="str">
        <f aca="false">"3.34 %"</f>
        <v>3.34 %</v>
      </c>
      <c r="N1928" s="0" t="str">
        <f aca="false">"0.58"</f>
        <v>0.58</v>
      </c>
      <c r="O1928" s="0" t="s">
        <v>6974</v>
      </c>
    </row>
    <row r="1929" customFormat="false" ht="13.8" hidden="false" customHeight="false" outlineLevel="0" collapsed="false">
      <c r="A1929" s="0" t="s">
        <v>6975</v>
      </c>
      <c r="D1929" s="0" t="s">
        <v>6976</v>
      </c>
      <c r="F1929" s="0" t="s">
        <v>6977</v>
      </c>
      <c r="G1929" s="0" t="n">
        <v>1</v>
      </c>
      <c r="H1929" s="0" t="s">
        <v>33</v>
      </c>
      <c r="J1929" s="0" t="s">
        <v>34</v>
      </c>
      <c r="K1929" s="0" t="str">
        <f aca="false">"0.13 %"</f>
        <v>0.13 %</v>
      </c>
      <c r="O1929" s="0" t="s">
        <v>6978</v>
      </c>
    </row>
    <row r="1930" customFormat="false" ht="13.8" hidden="false" customHeight="false" outlineLevel="0" collapsed="false">
      <c r="A1930" s="0" t="s">
        <v>6979</v>
      </c>
      <c r="D1930" s="0" t="s">
        <v>6980</v>
      </c>
      <c r="F1930" s="0" t="s">
        <v>6981</v>
      </c>
      <c r="G1930" s="0" t="n">
        <v>1</v>
      </c>
      <c r="H1930" s="0" t="s">
        <v>33</v>
      </c>
      <c r="J1930" s="0" t="s">
        <v>34</v>
      </c>
      <c r="K1930" s="0" t="str">
        <f aca="false">"2.4 %"</f>
        <v>2.4 %</v>
      </c>
      <c r="O1930" s="0" t="s">
        <v>6982</v>
      </c>
    </row>
    <row r="1931" customFormat="false" ht="13.8" hidden="false" customHeight="false" outlineLevel="0" collapsed="false">
      <c r="A1931" s="0" t="s">
        <v>6983</v>
      </c>
      <c r="D1931" s="0" t="s">
        <v>6984</v>
      </c>
      <c r="E1931" s="0" t="s">
        <v>925</v>
      </c>
      <c r="F1931" s="0" t="s">
        <v>6985</v>
      </c>
      <c r="G1931" s="0" t="n">
        <v>1</v>
      </c>
      <c r="H1931" s="0" t="s">
        <v>543</v>
      </c>
      <c r="J1931" s="0" t="s">
        <v>6986</v>
      </c>
      <c r="K1931" s="0" t="str">
        <f aca="false">"~4 %"</f>
        <v>~4 %</v>
      </c>
      <c r="O1931" s="0" t="s">
        <v>6987</v>
      </c>
    </row>
    <row r="1932" customFormat="false" ht="13.8" hidden="false" customHeight="false" outlineLevel="0" collapsed="false">
      <c r="A1932" s="0" t="s">
        <v>6988</v>
      </c>
      <c r="D1932" s="0" t="s">
        <v>6989</v>
      </c>
      <c r="F1932" s="0" t="s">
        <v>6990</v>
      </c>
      <c r="G1932" s="0" t="n">
        <v>1</v>
      </c>
      <c r="H1932" s="0" t="s">
        <v>27</v>
      </c>
      <c r="J1932" s="0" t="s">
        <v>1228</v>
      </c>
      <c r="K1932" s="0" t="str">
        <f aca="false">"4.56 %"</f>
        <v>4.56 %</v>
      </c>
      <c r="O1932" s="0" t="s">
        <v>6991</v>
      </c>
    </row>
    <row r="1933" customFormat="false" ht="13.8" hidden="false" customHeight="false" outlineLevel="0" collapsed="false">
      <c r="A1933" s="0" t="s">
        <v>6992</v>
      </c>
      <c r="D1933" s="0" t="s">
        <v>208</v>
      </c>
      <c r="E1933" s="0" t="s">
        <v>17</v>
      </c>
      <c r="F1933" s="0" t="s">
        <v>18</v>
      </c>
      <c r="G1933" s="0" t="n">
        <v>0</v>
      </c>
      <c r="H1933" s="0" t="s">
        <v>16</v>
      </c>
      <c r="I1933" s="0" t="s">
        <v>17</v>
      </c>
      <c r="J1933" s="0" t="s">
        <v>18</v>
      </c>
      <c r="K1933" s="0" t="str">
        <f aca="false">"0.48 %"</f>
        <v>0.48 %</v>
      </c>
      <c r="L1933" s="0" t="str">
        <f aca="false">"0.97 V"</f>
        <v>0.97 V</v>
      </c>
      <c r="O1933" s="0" t="s">
        <v>6993</v>
      </c>
    </row>
    <row r="1934" customFormat="false" ht="13.8" hidden="false" customHeight="false" outlineLevel="0" collapsed="false">
      <c r="A1934" s="0" t="s">
        <v>6994</v>
      </c>
      <c r="D1934" s="0" t="s">
        <v>6995</v>
      </c>
      <c r="F1934" s="0" t="s">
        <v>6996</v>
      </c>
      <c r="G1934" s="0" t="n">
        <v>1</v>
      </c>
      <c r="H1934" s="0" t="s">
        <v>66</v>
      </c>
      <c r="J1934" s="0" t="s">
        <v>67</v>
      </c>
      <c r="K1934" s="0" t="str">
        <f aca="false">"2.11 %"</f>
        <v>2.11 %</v>
      </c>
      <c r="O1934" s="0" t="s">
        <v>6997</v>
      </c>
    </row>
    <row r="1935" customFormat="false" ht="13.8" hidden="false" customHeight="false" outlineLevel="0" collapsed="false">
      <c r="A1935" s="0" t="s">
        <v>6998</v>
      </c>
      <c r="D1935" s="0" t="s">
        <v>16</v>
      </c>
      <c r="E1935" s="0" t="s">
        <v>17</v>
      </c>
      <c r="F1935" s="0" t="s">
        <v>18</v>
      </c>
      <c r="G1935" s="0" t="n">
        <v>1</v>
      </c>
      <c r="H1935" s="0" t="s">
        <v>66</v>
      </c>
      <c r="J1935" s="0" t="s">
        <v>40</v>
      </c>
      <c r="K1935" s="0" t="str">
        <f aca="false">"6.36 %"</f>
        <v>6.36 %</v>
      </c>
      <c r="O1935" s="0" t="s">
        <v>6999</v>
      </c>
    </row>
    <row r="1936" customFormat="false" ht="13.8" hidden="false" customHeight="false" outlineLevel="0" collapsed="false">
      <c r="A1936" s="0" t="s">
        <v>7000</v>
      </c>
      <c r="D1936" s="0" t="s">
        <v>7001</v>
      </c>
      <c r="F1936" s="0" t="s">
        <v>7002</v>
      </c>
      <c r="G1936" s="0" t="n">
        <v>1</v>
      </c>
      <c r="H1936" s="0" t="s">
        <v>76</v>
      </c>
      <c r="J1936" s="0" t="s">
        <v>40</v>
      </c>
      <c r="K1936" s="0" t="str">
        <f aca="false">"1 %"</f>
        <v>1 %</v>
      </c>
      <c r="O1936" s="0" t="s">
        <v>7003</v>
      </c>
    </row>
    <row r="1937" customFormat="false" ht="13.8" hidden="false" customHeight="false" outlineLevel="0" collapsed="false">
      <c r="A1937" s="0" t="s">
        <v>7000</v>
      </c>
      <c r="D1937" s="0" t="s">
        <v>7004</v>
      </c>
      <c r="F1937" s="0" t="s">
        <v>7005</v>
      </c>
      <c r="G1937" s="0" t="n">
        <v>1</v>
      </c>
      <c r="H1937" s="0" t="s">
        <v>76</v>
      </c>
      <c r="J1937" s="0" t="s">
        <v>40</v>
      </c>
      <c r="K1937" s="0" t="str">
        <f aca="false">"2.7 %"</f>
        <v>2.7 %</v>
      </c>
      <c r="O1937" s="0" t="s">
        <v>7006</v>
      </c>
    </row>
    <row r="1938" customFormat="false" ht="13.8" hidden="false" customHeight="false" outlineLevel="0" collapsed="false">
      <c r="A1938" s="0" t="s">
        <v>7000</v>
      </c>
      <c r="D1938" s="0" t="s">
        <v>7007</v>
      </c>
      <c r="F1938" s="0" t="s">
        <v>7008</v>
      </c>
      <c r="G1938" s="0" t="n">
        <v>1</v>
      </c>
      <c r="H1938" s="0" t="s">
        <v>76</v>
      </c>
      <c r="J1938" s="0" t="s">
        <v>40</v>
      </c>
      <c r="K1938" s="0" t="str">
        <f aca="false">"3.1 %"</f>
        <v>3.1 %</v>
      </c>
      <c r="O1938" s="0" t="s">
        <v>7009</v>
      </c>
    </row>
    <row r="1939" customFormat="false" ht="13.8" hidden="false" customHeight="false" outlineLevel="0" collapsed="false">
      <c r="A1939" s="0" t="s">
        <v>7010</v>
      </c>
      <c r="D1939" s="0" t="s">
        <v>1550</v>
      </c>
      <c r="F1939" s="0" t="s">
        <v>1552</v>
      </c>
      <c r="G1939" s="0" t="n">
        <v>1</v>
      </c>
      <c r="H1939" s="0" t="s">
        <v>575</v>
      </c>
      <c r="J1939" s="0" t="s">
        <v>576</v>
      </c>
      <c r="K1939" s="0" t="str">
        <f aca="false">"4.73 %"</f>
        <v>4.73 %</v>
      </c>
      <c r="O1939" s="0" t="s">
        <v>7011</v>
      </c>
    </row>
    <row r="1940" customFormat="false" ht="13.8" hidden="false" customHeight="false" outlineLevel="0" collapsed="false">
      <c r="A1940" s="0" t="s">
        <v>7012</v>
      </c>
      <c r="D1940" s="0" t="s">
        <v>7013</v>
      </c>
      <c r="F1940" s="0" t="s">
        <v>7014</v>
      </c>
      <c r="G1940" s="0" t="n">
        <v>1</v>
      </c>
      <c r="H1940" s="0" t="s">
        <v>33</v>
      </c>
      <c r="J1940" s="0" t="s">
        <v>40</v>
      </c>
      <c r="K1940" s="0" t="str">
        <f aca="false">"6.16 %"</f>
        <v>6.16 %</v>
      </c>
      <c r="O1940" s="0" t="s">
        <v>7015</v>
      </c>
    </row>
    <row r="1941" customFormat="false" ht="13.8" hidden="false" customHeight="false" outlineLevel="0" collapsed="false">
      <c r="A1941" s="0" t="s">
        <v>7016</v>
      </c>
      <c r="D1941" s="0" t="s">
        <v>16</v>
      </c>
      <c r="E1941" s="0" t="s">
        <v>17</v>
      </c>
      <c r="F1941" s="0" t="s">
        <v>116</v>
      </c>
      <c r="G1941" s="0" t="n">
        <v>1</v>
      </c>
      <c r="H1941" s="0" t="s">
        <v>33</v>
      </c>
      <c r="J1941" s="0" t="s">
        <v>34</v>
      </c>
      <c r="K1941" s="0" t="str">
        <f aca="false">"4.45 %"</f>
        <v>4.45 %</v>
      </c>
      <c r="O1941" s="0" t="s">
        <v>7017</v>
      </c>
    </row>
    <row r="1942" customFormat="false" ht="13.8" hidden="false" customHeight="false" outlineLevel="0" collapsed="false">
      <c r="A1942" s="0" t="s">
        <v>7018</v>
      </c>
      <c r="D1942" s="0" t="s">
        <v>208</v>
      </c>
      <c r="E1942" s="0" t="s">
        <v>17</v>
      </c>
      <c r="F1942" s="0" t="s">
        <v>209</v>
      </c>
      <c r="G1942" s="0" t="n">
        <v>1</v>
      </c>
      <c r="H1942" s="0" t="s">
        <v>117</v>
      </c>
      <c r="J1942" s="0" t="s">
        <v>118</v>
      </c>
      <c r="K1942" s="0" t="str">
        <f aca="false">"5.873 %"</f>
        <v>5.873 %</v>
      </c>
      <c r="O1942" s="0" t="s">
        <v>7019</v>
      </c>
    </row>
    <row r="1943" customFormat="false" ht="13.8" hidden="false" customHeight="false" outlineLevel="0" collapsed="false">
      <c r="A1943" s="0" t="s">
        <v>7020</v>
      </c>
      <c r="D1943" s="0" t="n">
        <v>2</v>
      </c>
      <c r="F1943" s="0" t="s">
        <v>3378</v>
      </c>
      <c r="G1943" s="0" t="n">
        <v>1</v>
      </c>
      <c r="H1943" s="0" t="s">
        <v>76</v>
      </c>
      <c r="J1943" s="0" t="s">
        <v>77</v>
      </c>
      <c r="K1943" s="0" t="str">
        <f aca="false">"2.4 %"</f>
        <v>2.4 %</v>
      </c>
      <c r="O1943" s="0" t="s">
        <v>7021</v>
      </c>
    </row>
    <row r="1944" customFormat="false" ht="13.8" hidden="false" customHeight="false" outlineLevel="0" collapsed="false">
      <c r="A1944" s="0" t="s">
        <v>7022</v>
      </c>
      <c r="D1944" s="0" t="s">
        <v>7023</v>
      </c>
      <c r="F1944" s="0" t="s">
        <v>7024</v>
      </c>
      <c r="G1944" s="0" t="n">
        <v>1</v>
      </c>
      <c r="H1944" s="0" t="s">
        <v>33</v>
      </c>
      <c r="J1944" s="0" t="s">
        <v>34</v>
      </c>
      <c r="K1944" s="0" t="str">
        <f aca="false">"~2 %"</f>
        <v>~2 %</v>
      </c>
      <c r="M1944" s="0" t="str">
        <f aca="false">"6.3 mA/cm^{2}"</f>
        <v>6.3 mA/cm^{2}</v>
      </c>
      <c r="O1944" s="0" t="s">
        <v>7025</v>
      </c>
    </row>
    <row r="1945" customFormat="false" ht="13.8" hidden="false" customHeight="false" outlineLevel="0" collapsed="false">
      <c r="A1945" s="0" t="s">
        <v>7022</v>
      </c>
      <c r="D1945" s="0" t="s">
        <v>7026</v>
      </c>
      <c r="F1945" s="0" t="s">
        <v>7027</v>
      </c>
      <c r="G1945" s="0" t="n">
        <v>1</v>
      </c>
      <c r="H1945" s="0" t="s">
        <v>33</v>
      </c>
      <c r="J1945" s="0" t="s">
        <v>34</v>
      </c>
      <c r="L1945" s="0" t="str">
        <f aca="false">"0.84 V"</f>
        <v>0.84 V</v>
      </c>
      <c r="N1945" s="0" t="str">
        <f aca="false">"0.61"</f>
        <v>0.61</v>
      </c>
      <c r="O1945" s="0" t="s">
        <v>7028</v>
      </c>
    </row>
    <row r="1946" customFormat="false" ht="13.8" hidden="false" customHeight="false" outlineLevel="0" collapsed="false">
      <c r="A1946" s="0" t="s">
        <v>7029</v>
      </c>
      <c r="D1946" s="0" t="s">
        <v>201</v>
      </c>
      <c r="E1946" s="0" t="s">
        <v>202</v>
      </c>
      <c r="F1946" s="0" t="s">
        <v>422</v>
      </c>
      <c r="G1946" s="0" t="n">
        <v>1</v>
      </c>
      <c r="H1946" s="0" t="s">
        <v>76</v>
      </c>
      <c r="J1946" s="0" t="s">
        <v>77</v>
      </c>
      <c r="K1946" s="0" t="str">
        <f aca="false">"6.8 and 8.6 %"</f>
        <v>6.8 and 8.6 %</v>
      </c>
      <c r="O1946" s="0" t="s">
        <v>7030</v>
      </c>
    </row>
    <row r="1947" customFormat="false" ht="13.8" hidden="false" customHeight="false" outlineLevel="0" collapsed="false">
      <c r="A1947" s="0" t="s">
        <v>7029</v>
      </c>
      <c r="D1947" s="0" t="s">
        <v>85</v>
      </c>
      <c r="E1947" s="0" t="s">
        <v>86</v>
      </c>
      <c r="F1947" s="0" t="s">
        <v>87</v>
      </c>
      <c r="G1947" s="0" t="n">
        <v>1</v>
      </c>
      <c r="H1947" s="0" t="s">
        <v>76</v>
      </c>
      <c r="J1947" s="0" t="s">
        <v>77</v>
      </c>
      <c r="K1947" s="0" t="str">
        <f aca="false">"7.9 %"</f>
        <v>7.9 %</v>
      </c>
      <c r="O1947" s="0" t="s">
        <v>7031</v>
      </c>
    </row>
    <row r="1948" customFormat="false" ht="13.8" hidden="false" customHeight="false" outlineLevel="0" collapsed="false">
      <c r="A1948" s="0" t="s">
        <v>7032</v>
      </c>
      <c r="D1948" s="0" t="s">
        <v>85</v>
      </c>
      <c r="E1948" s="0" t="s">
        <v>86</v>
      </c>
      <c r="F1948" s="0" t="s">
        <v>87</v>
      </c>
      <c r="G1948" s="0" t="n">
        <v>1</v>
      </c>
      <c r="H1948" s="0" t="s">
        <v>27</v>
      </c>
      <c r="J1948" s="0" t="s">
        <v>28</v>
      </c>
      <c r="K1948" s="0" t="str">
        <f aca="false">"8.2 %"</f>
        <v>8.2 %</v>
      </c>
      <c r="O1948" s="0" t="s">
        <v>7033</v>
      </c>
    </row>
    <row r="1949" customFormat="false" ht="13.8" hidden="false" customHeight="false" outlineLevel="0" collapsed="false">
      <c r="A1949" s="0" t="s">
        <v>7034</v>
      </c>
      <c r="D1949" s="0" t="s">
        <v>16</v>
      </c>
      <c r="E1949" s="0" t="s">
        <v>17</v>
      </c>
      <c r="F1949" s="0" t="s">
        <v>7035</v>
      </c>
      <c r="G1949" s="0" t="n">
        <v>1</v>
      </c>
      <c r="H1949" s="0" t="s">
        <v>33</v>
      </c>
      <c r="J1949" s="0" t="s">
        <v>34</v>
      </c>
      <c r="K1949" s="0" t="str">
        <f aca="false">"3.91 %"</f>
        <v>3.91 %</v>
      </c>
      <c r="O1949" s="0" t="s">
        <v>7036</v>
      </c>
    </row>
    <row r="1950" customFormat="false" ht="13.8" hidden="false" customHeight="false" outlineLevel="0" collapsed="false">
      <c r="A1950" s="0" t="s">
        <v>7037</v>
      </c>
      <c r="D1950" s="0" t="s">
        <v>1550</v>
      </c>
      <c r="F1950" s="0" t="s">
        <v>7038</v>
      </c>
      <c r="G1950" s="0" t="n">
        <v>0</v>
      </c>
      <c r="H1950" s="0" t="s">
        <v>7039</v>
      </c>
      <c r="J1950" s="0" t="s">
        <v>7040</v>
      </c>
      <c r="K1950" s="0" t="str">
        <f aca="false">"4.95 %"</f>
        <v>4.95 %</v>
      </c>
      <c r="O1950" s="0" t="s">
        <v>7041</v>
      </c>
    </row>
    <row r="1951" customFormat="false" ht="13.8" hidden="false" customHeight="false" outlineLevel="0" collapsed="false">
      <c r="A1951" s="0" t="s">
        <v>7042</v>
      </c>
      <c r="D1951" s="0" t="s">
        <v>16</v>
      </c>
      <c r="E1951" s="0" t="s">
        <v>17</v>
      </c>
      <c r="F1951" s="0" t="s">
        <v>18</v>
      </c>
      <c r="G1951" s="0" t="n">
        <v>1</v>
      </c>
      <c r="H1951" s="0" t="s">
        <v>33</v>
      </c>
      <c r="J1951" s="0" t="s">
        <v>40</v>
      </c>
      <c r="K1951" s="0" t="str">
        <f aca="false">"6.55 %"</f>
        <v>6.55 %</v>
      </c>
      <c r="O1951" s="0" t="s">
        <v>7043</v>
      </c>
    </row>
    <row r="1952" customFormat="false" ht="13.8" hidden="false" customHeight="false" outlineLevel="0" collapsed="false">
      <c r="A1952" s="0" t="s">
        <v>7044</v>
      </c>
      <c r="D1952" s="0" t="s">
        <v>7045</v>
      </c>
      <c r="F1952" s="0" t="s">
        <v>7046</v>
      </c>
      <c r="G1952" s="0" t="n">
        <v>1</v>
      </c>
      <c r="H1952" s="0" t="s">
        <v>33</v>
      </c>
      <c r="J1952" s="0" t="s">
        <v>34</v>
      </c>
      <c r="L1952" s="0" t="str">
        <f aca="false">"0.59 V"</f>
        <v>0.59 V</v>
      </c>
      <c r="M1952" s="0" t="str">
        <f aca="false">"10.1-10.7 mA/cm^{2}"</f>
        <v>10.1-10.7 mA/cm^{2}</v>
      </c>
      <c r="O1952" s="0" t="s">
        <v>7047</v>
      </c>
    </row>
    <row r="1953" customFormat="false" ht="13.8" hidden="false" customHeight="false" outlineLevel="0" collapsed="false">
      <c r="A1953" s="0" t="s">
        <v>7044</v>
      </c>
      <c r="D1953" s="0" t="e">
        <f aca="false">- ppv</f>
        <v>#NAME?</v>
      </c>
      <c r="F1953" s="0" t="s">
        <v>7048</v>
      </c>
      <c r="G1953" s="0" t="n">
        <v>1</v>
      </c>
      <c r="H1953" s="0" t="s">
        <v>33</v>
      </c>
      <c r="J1953" s="0" t="s">
        <v>34</v>
      </c>
      <c r="K1953" s="0" t="str">
        <f aca="false">"3.0-3.2 %"</f>
        <v>3.0-3.2 %</v>
      </c>
      <c r="N1953" s="0" t="str">
        <f aca="false">"0.50"</f>
        <v>0.50</v>
      </c>
      <c r="O1953" s="0" t="s">
        <v>7049</v>
      </c>
    </row>
    <row r="1954" customFormat="false" ht="13.8" hidden="false" customHeight="false" outlineLevel="0" collapsed="false">
      <c r="A1954" s="0" t="s">
        <v>7050</v>
      </c>
      <c r="D1954" s="0" t="s">
        <v>109</v>
      </c>
      <c r="E1954" s="0" t="s">
        <v>110</v>
      </c>
      <c r="F1954" s="0" t="s">
        <v>111</v>
      </c>
      <c r="G1954" s="0" t="n">
        <v>1</v>
      </c>
      <c r="H1954" s="0" t="s">
        <v>27</v>
      </c>
      <c r="J1954" s="0" t="s">
        <v>28</v>
      </c>
      <c r="K1954" s="0" t="str">
        <f aca="false">"5.53 %"</f>
        <v>5.53 %</v>
      </c>
      <c r="M1954" s="0" t="str">
        <f aca="false">"11.4 mA cm^{-2}"</f>
        <v>11.4 mA cm^{-2}</v>
      </c>
      <c r="O1954" s="0" t="s">
        <v>7051</v>
      </c>
    </row>
    <row r="1955" customFormat="false" ht="13.8" hidden="false" customHeight="false" outlineLevel="0" collapsed="false">
      <c r="A1955" s="0" t="s">
        <v>7052</v>
      </c>
      <c r="D1955" s="0" t="s">
        <v>208</v>
      </c>
      <c r="E1955" s="0" t="s">
        <v>17</v>
      </c>
      <c r="F1955" s="0" t="s">
        <v>209</v>
      </c>
      <c r="G1955" s="0" t="n">
        <v>1</v>
      </c>
      <c r="H1955" s="0" t="s">
        <v>76</v>
      </c>
      <c r="J1955" s="0" t="s">
        <v>77</v>
      </c>
      <c r="K1955" s="0" t="str">
        <f aca="false">"4.1 %"</f>
        <v>4.1 %</v>
      </c>
      <c r="O1955" s="0" t="s">
        <v>7053</v>
      </c>
    </row>
    <row r="1956" customFormat="false" ht="13.8" hidden="false" customHeight="false" outlineLevel="0" collapsed="false">
      <c r="A1956" s="0" t="s">
        <v>7054</v>
      </c>
      <c r="D1956" s="0" t="s">
        <v>7055</v>
      </c>
      <c r="E1956" s="0" t="s">
        <v>7056</v>
      </c>
      <c r="F1956" s="0" t="s">
        <v>7057</v>
      </c>
      <c r="G1956" s="0" t="n">
        <v>1</v>
      </c>
      <c r="H1956" s="0" t="s">
        <v>27</v>
      </c>
      <c r="J1956" s="0" t="s">
        <v>28</v>
      </c>
      <c r="K1956" s="0" t="str">
        <f aca="false">"5.5 %"</f>
        <v>5.5 %</v>
      </c>
      <c r="O1956" s="0" t="s">
        <v>7058</v>
      </c>
    </row>
    <row r="1957" customFormat="false" ht="13.8" hidden="false" customHeight="false" outlineLevel="0" collapsed="false">
      <c r="A1957" s="0" t="s">
        <v>7059</v>
      </c>
      <c r="D1957" s="0" t="s">
        <v>7060</v>
      </c>
      <c r="F1957" s="0" t="s">
        <v>40</v>
      </c>
      <c r="G1957" s="0" t="n">
        <v>1</v>
      </c>
      <c r="H1957" s="0" t="s">
        <v>33</v>
      </c>
      <c r="J1957" s="0" t="s">
        <v>34</v>
      </c>
      <c r="K1957" s="0" t="str">
        <f aca="false">"0.09 %"</f>
        <v>0.09 %</v>
      </c>
      <c r="O1957" s="0" t="s">
        <v>7061</v>
      </c>
    </row>
    <row r="1958" customFormat="false" ht="13.8" hidden="false" customHeight="false" outlineLevel="0" collapsed="false">
      <c r="A1958" s="0" t="s">
        <v>7062</v>
      </c>
      <c r="D1958" s="0" t="s">
        <v>7063</v>
      </c>
      <c r="E1958" s="0" t="s">
        <v>7064</v>
      </c>
      <c r="F1958" s="0" t="s">
        <v>7065</v>
      </c>
      <c r="G1958" s="0" t="n">
        <v>1</v>
      </c>
      <c r="H1958" s="0" t="s">
        <v>66</v>
      </c>
      <c r="J1958" s="0" t="s">
        <v>7066</v>
      </c>
      <c r="K1958" s="0" t="str">
        <f aca="false">"0.89 %"</f>
        <v>0.89 %</v>
      </c>
      <c r="L1958" s="0" t="str">
        <f aca="false">"0.52 V"</f>
        <v>0.52 V</v>
      </c>
      <c r="M1958" s="0" t="str">
        <f aca="false">"5.0 mA/cm^{2}"</f>
        <v>5.0 mA/cm^{2}</v>
      </c>
      <c r="N1958" s="0" t="str">
        <f aca="false">"34.3 %"</f>
        <v>34.3 %</v>
      </c>
      <c r="O1958" s="0" t="s">
        <v>7067</v>
      </c>
    </row>
    <row r="1959" customFormat="false" ht="13.8" hidden="false" customHeight="false" outlineLevel="0" collapsed="false">
      <c r="A1959" s="0" t="s">
        <v>7068</v>
      </c>
      <c r="D1959" s="0" t="s">
        <v>7069</v>
      </c>
      <c r="F1959" s="0" t="s">
        <v>7070</v>
      </c>
      <c r="G1959" s="0" t="n">
        <v>1</v>
      </c>
      <c r="H1959" s="0" t="s">
        <v>33</v>
      </c>
      <c r="J1959" s="0" t="s">
        <v>34</v>
      </c>
      <c r="O1959" s="0" t="s">
        <v>7071</v>
      </c>
    </row>
    <row r="1960" customFormat="false" ht="13.8" hidden="false" customHeight="false" outlineLevel="0" collapsed="false">
      <c r="A1960" s="0" t="s">
        <v>7068</v>
      </c>
      <c r="D1960" s="0" t="s">
        <v>5782</v>
      </c>
      <c r="E1960" s="0" t="s">
        <v>1169</v>
      </c>
      <c r="F1960" s="0" t="s">
        <v>5783</v>
      </c>
      <c r="G1960" s="0" t="n">
        <v>1</v>
      </c>
      <c r="H1960" s="0" t="s">
        <v>33</v>
      </c>
      <c r="J1960" s="0" t="s">
        <v>34</v>
      </c>
      <c r="K1960" s="0" t="str">
        <f aca="false">"0.80-0.92 %"</f>
        <v>0.80-0.92 %</v>
      </c>
      <c r="O1960" s="0" t="s">
        <v>7072</v>
      </c>
    </row>
    <row r="1961" customFormat="false" ht="13.8" hidden="false" customHeight="false" outlineLevel="0" collapsed="false">
      <c r="A1961" s="0" t="s">
        <v>7073</v>
      </c>
      <c r="D1961" s="0" t="s">
        <v>7074</v>
      </c>
      <c r="F1961" s="0" t="s">
        <v>7075</v>
      </c>
      <c r="G1961" s="0" t="n">
        <v>1</v>
      </c>
      <c r="H1961" s="0" t="s">
        <v>33</v>
      </c>
      <c r="J1961" s="0" t="s">
        <v>34</v>
      </c>
      <c r="K1961" s="0" t="str">
        <f aca="false">"0.9 %"</f>
        <v>0.9 %</v>
      </c>
      <c r="L1961" s="0" t="str">
        <f aca="false">"0.83 V"</f>
        <v>0.83 V</v>
      </c>
      <c r="M1961" s="0" t="str">
        <f aca="false">"3.4 mA/cm^{2}"</f>
        <v>3.4 mA/cm^{2}</v>
      </c>
      <c r="N1961" s="0" t="str">
        <f aca="false">"32 %"</f>
        <v>32 %</v>
      </c>
      <c r="O1961" s="0" t="s">
        <v>7076</v>
      </c>
    </row>
    <row r="1962" customFormat="false" ht="13.8" hidden="false" customHeight="false" outlineLevel="0" collapsed="false">
      <c r="A1962" s="0" t="s">
        <v>7077</v>
      </c>
      <c r="D1962" s="0" t="s">
        <v>1567</v>
      </c>
      <c r="F1962" s="0" t="s">
        <v>1569</v>
      </c>
      <c r="G1962" s="0" t="n">
        <v>1</v>
      </c>
      <c r="H1962" s="0" t="s">
        <v>33</v>
      </c>
      <c r="J1962" s="0" t="s">
        <v>60</v>
      </c>
      <c r="K1962" s="0" t="str">
        <f aca="false">"3.8 %"</f>
        <v>3.8 %</v>
      </c>
      <c r="L1962" s="0" t="str">
        <f aca="false">"0.88 V"</f>
        <v>0.88 V</v>
      </c>
      <c r="M1962" s="0" t="str">
        <f aca="false">"7.3 mA cm^{-2}"</f>
        <v>7.3 mA cm^{-2}</v>
      </c>
      <c r="N1962" s="0" t="str">
        <f aca="false">"59.1 %"</f>
        <v>59.1 %</v>
      </c>
      <c r="O1962" s="0" t="s">
        <v>7078</v>
      </c>
    </row>
    <row r="1963" customFormat="false" ht="13.8" hidden="false" customHeight="false" outlineLevel="0" collapsed="false">
      <c r="A1963" s="0" t="s">
        <v>7079</v>
      </c>
      <c r="D1963" s="0" t="s">
        <v>7080</v>
      </c>
      <c r="E1963" s="0" t="s">
        <v>7081</v>
      </c>
      <c r="F1963" s="0" t="s">
        <v>7082</v>
      </c>
      <c r="G1963" s="0" t="n">
        <v>1</v>
      </c>
      <c r="H1963" s="0" t="s">
        <v>33</v>
      </c>
      <c r="J1963" s="0" t="s">
        <v>34</v>
      </c>
      <c r="K1963" s="0" t="str">
        <f aca="false">"3.54 %"</f>
        <v>3.54 %</v>
      </c>
      <c r="O1963" s="0" t="s">
        <v>7083</v>
      </c>
    </row>
    <row r="1964" customFormat="false" ht="13.8" hidden="false" customHeight="false" outlineLevel="0" collapsed="false">
      <c r="A1964" s="0" t="s">
        <v>7084</v>
      </c>
      <c r="D1964" s="0" t="s">
        <v>124</v>
      </c>
      <c r="F1964" s="0" t="s">
        <v>427</v>
      </c>
      <c r="G1964" s="0" t="n">
        <v>1</v>
      </c>
      <c r="H1964" s="0" t="s">
        <v>76</v>
      </c>
      <c r="J1964" s="0" t="s">
        <v>77</v>
      </c>
      <c r="K1964" s="0" t="str">
        <f aca="false">"2.72 %"</f>
        <v>2.72 %</v>
      </c>
      <c r="O1964" s="0" t="s">
        <v>7085</v>
      </c>
    </row>
    <row r="1965" customFormat="false" ht="13.8" hidden="false" customHeight="false" outlineLevel="0" collapsed="false">
      <c r="A1965" s="0" t="s">
        <v>7086</v>
      </c>
      <c r="D1965" s="0" t="s">
        <v>16</v>
      </c>
      <c r="E1965" s="0" t="s">
        <v>17</v>
      </c>
      <c r="F1965" s="0" t="s">
        <v>709</v>
      </c>
      <c r="G1965" s="0" t="n">
        <v>1</v>
      </c>
      <c r="H1965" s="0" t="s">
        <v>33</v>
      </c>
      <c r="J1965" s="0" t="s">
        <v>34</v>
      </c>
      <c r="K1965" s="0" t="str">
        <f aca="false">"3.40 %"</f>
        <v>3.40 %</v>
      </c>
      <c r="O1965" s="0" t="s">
        <v>7087</v>
      </c>
    </row>
    <row r="1966" customFormat="false" ht="13.8" hidden="false" customHeight="false" outlineLevel="0" collapsed="false">
      <c r="A1966" s="0" t="s">
        <v>7088</v>
      </c>
      <c r="D1966" s="0" t="s">
        <v>7089</v>
      </c>
      <c r="F1966" s="0" t="s">
        <v>7090</v>
      </c>
      <c r="G1966" s="0" t="n">
        <v>1</v>
      </c>
      <c r="H1966" s="0" t="s">
        <v>33</v>
      </c>
      <c r="J1966" s="0" t="s">
        <v>34</v>
      </c>
      <c r="K1966" s="0" t="str">
        <f aca="false">"4.14 %"</f>
        <v>4.14 %</v>
      </c>
      <c r="O1966" s="0" t="s">
        <v>7091</v>
      </c>
    </row>
    <row r="1967" customFormat="false" ht="13.8" hidden="false" customHeight="false" outlineLevel="0" collapsed="false">
      <c r="A1967" s="0" t="s">
        <v>7092</v>
      </c>
      <c r="D1967" s="0" t="s">
        <v>16</v>
      </c>
      <c r="E1967" s="0" t="s">
        <v>17</v>
      </c>
      <c r="F1967" s="0" t="s">
        <v>116</v>
      </c>
      <c r="G1967" s="0" t="n">
        <v>1</v>
      </c>
      <c r="H1967" s="0" t="s">
        <v>33</v>
      </c>
      <c r="J1967" s="0" t="s">
        <v>34</v>
      </c>
      <c r="K1967" s="0" t="str">
        <f aca="false">"5.32 %"</f>
        <v>5.32 %</v>
      </c>
      <c r="L1967" s="0" t="str">
        <f aca="false">"0.80 V"</f>
        <v>0.80 V</v>
      </c>
      <c r="M1967" s="0" t="str">
        <f aca="false">"9.0 mA/cm^{2}"</f>
        <v>9.0 mA/cm^{2}</v>
      </c>
      <c r="O1967" s="0" t="s">
        <v>7093</v>
      </c>
    </row>
    <row r="1968" customFormat="false" ht="13.8" hidden="false" customHeight="false" outlineLevel="0" collapsed="false">
      <c r="A1968" s="0" t="s">
        <v>7094</v>
      </c>
      <c r="D1968" s="0" t="s">
        <v>7095</v>
      </c>
      <c r="F1968" s="0" t="s">
        <v>7096</v>
      </c>
      <c r="G1968" s="0" t="n">
        <v>1</v>
      </c>
      <c r="H1968" s="0" t="s">
        <v>66</v>
      </c>
      <c r="J1968" s="0" t="s">
        <v>67</v>
      </c>
      <c r="K1968" s="0" t="str">
        <f aca="false">"1.32 %"</f>
        <v>1.32 %</v>
      </c>
      <c r="O1968" s="0" t="s">
        <v>7097</v>
      </c>
    </row>
    <row r="1969" customFormat="false" ht="13.8" hidden="false" customHeight="false" outlineLevel="0" collapsed="false">
      <c r="A1969" s="0" t="s">
        <v>7098</v>
      </c>
      <c r="D1969" s="0" t="s">
        <v>599</v>
      </c>
      <c r="E1969" s="0" t="s">
        <v>600</v>
      </c>
      <c r="F1969" s="0" t="s">
        <v>601</v>
      </c>
      <c r="G1969" s="0" t="n">
        <v>0</v>
      </c>
      <c r="H1969" s="0" t="s">
        <v>7099</v>
      </c>
      <c r="J1969" s="0" t="s">
        <v>7100</v>
      </c>
      <c r="K1969" s="0" t="str">
        <f aca="false">"3.93 %"</f>
        <v>3.93 %</v>
      </c>
      <c r="O1969" s="0" t="s">
        <v>7101</v>
      </c>
    </row>
    <row r="1970" customFormat="false" ht="13.8" hidden="false" customHeight="false" outlineLevel="0" collapsed="false">
      <c r="A1970" s="0" t="s">
        <v>7102</v>
      </c>
      <c r="D1970" s="0" t="s">
        <v>163</v>
      </c>
      <c r="F1970" s="0" t="s">
        <v>40</v>
      </c>
      <c r="G1970" s="0" t="n">
        <v>1</v>
      </c>
      <c r="H1970" s="0" t="s">
        <v>27</v>
      </c>
      <c r="J1970" s="0" t="s">
        <v>28</v>
      </c>
      <c r="K1970" s="0" t="str">
        <f aca="false">"10.43 %"</f>
        <v>10.43 %</v>
      </c>
      <c r="M1970" s="0" t="str">
        <f aca="false">"20.75 mA cm^{-2}"</f>
        <v>20.75 mA cm^{-2}</v>
      </c>
      <c r="O1970" s="0" t="s">
        <v>7103</v>
      </c>
    </row>
    <row r="1971" customFormat="false" ht="13.8" hidden="false" customHeight="false" outlineLevel="0" collapsed="false">
      <c r="A1971" s="0" t="s">
        <v>7102</v>
      </c>
      <c r="D1971" s="0" t="s">
        <v>2023</v>
      </c>
      <c r="E1971" s="0" t="s">
        <v>2024</v>
      </c>
      <c r="F1971" s="0" t="s">
        <v>2025</v>
      </c>
      <c r="G1971" s="0" t="n">
        <v>1</v>
      </c>
      <c r="H1971" s="0" t="s">
        <v>27</v>
      </c>
      <c r="J1971" s="0" t="s">
        <v>28</v>
      </c>
      <c r="K1971" s="0" t="str">
        <f aca="false">"11.26"</f>
        <v>11.26</v>
      </c>
      <c r="O1971" s="0" t="s">
        <v>7104</v>
      </c>
    </row>
    <row r="1972" customFormat="false" ht="13.8" hidden="false" customHeight="false" outlineLevel="0" collapsed="false">
      <c r="A1972" s="0" t="s">
        <v>7105</v>
      </c>
      <c r="D1972" s="0" t="s">
        <v>208</v>
      </c>
      <c r="E1972" s="0" t="s">
        <v>17</v>
      </c>
      <c r="F1972" s="0" t="s">
        <v>209</v>
      </c>
      <c r="G1972" s="0" t="n">
        <v>1</v>
      </c>
      <c r="H1972" s="0" t="s">
        <v>27</v>
      </c>
      <c r="J1972" s="0" t="s">
        <v>1799</v>
      </c>
      <c r="K1972" s="0" t="str">
        <f aca="false">"8.0 %"</f>
        <v>8.0 %</v>
      </c>
      <c r="L1972" s="0" t="str">
        <f aca="false">"0.54 to 0.60 V"</f>
        <v>0.54 to 0.60 V</v>
      </c>
      <c r="N1972" s="0" t="str">
        <f aca="false">"3.9 %"</f>
        <v>3.9 %</v>
      </c>
      <c r="O1972" s="0" t="s">
        <v>7106</v>
      </c>
    </row>
    <row r="1973" customFormat="false" ht="13.8" hidden="false" customHeight="false" outlineLevel="0" collapsed="false">
      <c r="A1973" s="0" t="s">
        <v>7105</v>
      </c>
      <c r="D1973" s="0" t="s">
        <v>7107</v>
      </c>
      <c r="F1973" s="0" t="s">
        <v>7108</v>
      </c>
      <c r="G1973" s="0" t="n">
        <v>1</v>
      </c>
      <c r="H1973" s="0" t="s">
        <v>27</v>
      </c>
      <c r="J1973" s="0" t="s">
        <v>1799</v>
      </c>
      <c r="M1973" s="0" t="str">
        <f aca="false">"8.82 to 9.73 mA/cm^{2}"</f>
        <v>8.82 to 9.73 mA/cm^{2}</v>
      </c>
      <c r="O1973" s="0" t="s">
        <v>7109</v>
      </c>
    </row>
    <row r="1974" customFormat="false" ht="13.8" hidden="false" customHeight="false" outlineLevel="0" collapsed="false">
      <c r="A1974" s="0" t="s">
        <v>7110</v>
      </c>
      <c r="D1974" s="0" t="s">
        <v>7111</v>
      </c>
      <c r="F1974" s="0" t="s">
        <v>7112</v>
      </c>
      <c r="G1974" s="0" t="n">
        <v>1</v>
      </c>
      <c r="H1974" s="0" t="s">
        <v>33</v>
      </c>
      <c r="J1974" s="0" t="s">
        <v>34</v>
      </c>
      <c r="K1974" s="0" t="str">
        <f aca="false">"0.048 %"</f>
        <v>0.048 %</v>
      </c>
      <c r="O1974" s="0" t="s">
        <v>7113</v>
      </c>
    </row>
    <row r="1975" customFormat="false" ht="13.8" hidden="false" customHeight="false" outlineLevel="0" collapsed="false">
      <c r="A1975" s="0" t="s">
        <v>7110</v>
      </c>
      <c r="D1975" s="0" t="s">
        <v>7114</v>
      </c>
      <c r="F1975" s="0" t="s">
        <v>7115</v>
      </c>
      <c r="G1975" s="0" t="n">
        <v>1</v>
      </c>
      <c r="H1975" s="0" t="s">
        <v>33</v>
      </c>
      <c r="J1975" s="0" t="s">
        <v>34</v>
      </c>
      <c r="K1975" s="0" t="str">
        <f aca="false">"0.027 %"</f>
        <v>0.027 %</v>
      </c>
      <c r="O1975" s="0" t="s">
        <v>7116</v>
      </c>
    </row>
    <row r="1976" customFormat="false" ht="13.8" hidden="false" customHeight="false" outlineLevel="0" collapsed="false">
      <c r="A1976" s="0" t="s">
        <v>7117</v>
      </c>
      <c r="D1976" s="0" t="s">
        <v>7055</v>
      </c>
      <c r="E1976" s="0" t="s">
        <v>7056</v>
      </c>
      <c r="F1976" s="0" t="s">
        <v>7118</v>
      </c>
      <c r="G1976" s="0" t="n">
        <v>1</v>
      </c>
      <c r="H1976" s="0" t="s">
        <v>27</v>
      </c>
      <c r="J1976" s="0" t="s">
        <v>28</v>
      </c>
      <c r="K1976" s="0" t="str">
        <f aca="false">"6.40 %"</f>
        <v>6.40 %</v>
      </c>
      <c r="O1976" s="0" t="s">
        <v>7119</v>
      </c>
    </row>
    <row r="1977" customFormat="false" ht="13.8" hidden="false" customHeight="false" outlineLevel="0" collapsed="false">
      <c r="A1977" s="0" t="s">
        <v>7120</v>
      </c>
      <c r="D1977" s="0" t="s">
        <v>7121</v>
      </c>
      <c r="F1977" s="0" t="s">
        <v>7122</v>
      </c>
      <c r="G1977" s="0" t="n">
        <v>1</v>
      </c>
      <c r="H1977" s="0" t="s">
        <v>33</v>
      </c>
      <c r="J1977" s="0" t="s">
        <v>34</v>
      </c>
      <c r="K1977" s="0" t="str">
        <f aca="false">"~7 %"</f>
        <v>~7 %</v>
      </c>
      <c r="O1977" s="0" t="s">
        <v>7123</v>
      </c>
    </row>
    <row r="1978" customFormat="false" ht="13.8" hidden="false" customHeight="false" outlineLevel="0" collapsed="false">
      <c r="A1978" s="0" t="s">
        <v>7124</v>
      </c>
      <c r="B1978" s="0" t="n">
        <v>1</v>
      </c>
      <c r="D1978" s="0" t="s">
        <v>63</v>
      </c>
      <c r="E1978" s="0" t="s">
        <v>64</v>
      </c>
      <c r="F1978" s="0" t="s">
        <v>65</v>
      </c>
      <c r="G1978" s="0" t="n">
        <v>1</v>
      </c>
      <c r="H1978" s="0" t="s">
        <v>27</v>
      </c>
      <c r="J1978" s="0" t="s">
        <v>28</v>
      </c>
      <c r="K1978" s="0" t="str">
        <f aca="false">"7.10 %"</f>
        <v>7.10 %</v>
      </c>
      <c r="O1978" s="0" t="s">
        <v>7125</v>
      </c>
    </row>
    <row r="1979" customFormat="false" ht="13.8" hidden="false" customHeight="false" outlineLevel="0" collapsed="false">
      <c r="A1979" s="0" t="s">
        <v>7126</v>
      </c>
      <c r="B1979" s="0" t="n">
        <v>1</v>
      </c>
      <c r="D1979" s="0" t="s">
        <v>7127</v>
      </c>
      <c r="E1979" s="0" t="s">
        <v>7128</v>
      </c>
      <c r="F1979" s="0" t="s">
        <v>7129</v>
      </c>
      <c r="G1979" s="0" t="n">
        <v>0</v>
      </c>
      <c r="H1979" s="0" t="s">
        <v>5040</v>
      </c>
      <c r="I1979" s="0" t="s">
        <v>5041</v>
      </c>
      <c r="J1979" s="0" t="s">
        <v>5042</v>
      </c>
      <c r="K1979" s="0" t="str">
        <f aca="false">"4.11 %"</f>
        <v>4.11 %</v>
      </c>
      <c r="L1979" s="0" t="str">
        <f aca="false">"0.88 V"</f>
        <v>0.88 V</v>
      </c>
      <c r="O1979" s="0" t="s">
        <v>7130</v>
      </c>
    </row>
    <row r="1980" customFormat="false" ht="13.8" hidden="false" customHeight="false" outlineLevel="0" collapsed="false">
      <c r="A1980" s="0" t="s">
        <v>7126</v>
      </c>
      <c r="B1980" s="0" t="n">
        <v>1</v>
      </c>
      <c r="D1980" s="0" t="s">
        <v>7131</v>
      </c>
      <c r="E1980" s="0" t="s">
        <v>7132</v>
      </c>
      <c r="F1980" s="0" t="s">
        <v>7133</v>
      </c>
      <c r="G1980" s="0" t="n">
        <v>0</v>
      </c>
      <c r="H1980" s="0" t="s">
        <v>5040</v>
      </c>
      <c r="I1980" s="0" t="s">
        <v>5041</v>
      </c>
      <c r="J1980" s="0" t="s">
        <v>5042</v>
      </c>
      <c r="K1980" s="0" t="str">
        <f aca="false">"10.21 %"</f>
        <v>10.21 %</v>
      </c>
      <c r="L1980" s="0" t="str">
        <f aca="false">"0.90 V"</f>
        <v>0.90 V</v>
      </c>
    </row>
    <row r="1981" customFormat="false" ht="13.8" hidden="false" customHeight="false" outlineLevel="0" collapsed="false">
      <c r="A1981" s="0" t="s">
        <v>7134</v>
      </c>
      <c r="D1981" s="0" t="s">
        <v>1341</v>
      </c>
      <c r="E1981" s="0" t="s">
        <v>1342</v>
      </c>
      <c r="F1981" s="0" t="s">
        <v>7135</v>
      </c>
      <c r="G1981" s="0" t="n">
        <v>1</v>
      </c>
      <c r="H1981" s="0" t="s">
        <v>1829</v>
      </c>
      <c r="J1981" s="0" t="s">
        <v>40</v>
      </c>
      <c r="K1981" s="0" t="str">
        <f aca="false">"7.13 %"</f>
        <v>7.13 %</v>
      </c>
      <c r="L1981" s="0" t="str">
        <f aca="false">"0.77 V"</f>
        <v>0.77 V</v>
      </c>
      <c r="M1981" s="0" t="str">
        <f aca="false">"14.64 mA*cm^{-2}"</f>
        <v>14.64 mA*cm^{-2}</v>
      </c>
      <c r="N1981" s="0" t="str">
        <f aca="false">"0.64"</f>
        <v>0.64</v>
      </c>
      <c r="O1981" s="0" t="s">
        <v>7136</v>
      </c>
    </row>
    <row r="1982" customFormat="false" ht="13.8" hidden="false" customHeight="false" outlineLevel="0" collapsed="false">
      <c r="A1982" s="0" t="s">
        <v>7137</v>
      </c>
      <c r="D1982" s="0" t="s">
        <v>7138</v>
      </c>
      <c r="F1982" s="0" t="s">
        <v>7139</v>
      </c>
      <c r="G1982" s="0" t="n">
        <v>1</v>
      </c>
      <c r="H1982" s="0" t="s">
        <v>76</v>
      </c>
      <c r="J1982" s="0" t="s">
        <v>77</v>
      </c>
      <c r="K1982" s="0" t="str">
        <f aca="false">"5.6 %"</f>
        <v>5.6 %</v>
      </c>
      <c r="O1982" s="0" t="s">
        <v>7140</v>
      </c>
    </row>
    <row r="1983" customFormat="false" ht="13.8" hidden="false" customHeight="false" outlineLevel="0" collapsed="false">
      <c r="A1983" s="0" t="s">
        <v>7141</v>
      </c>
      <c r="D1983" s="0" t="s">
        <v>7142</v>
      </c>
      <c r="F1983" s="0" t="s">
        <v>7143</v>
      </c>
      <c r="G1983" s="0" t="n">
        <v>1</v>
      </c>
      <c r="H1983" s="0" t="s">
        <v>27</v>
      </c>
      <c r="J1983" s="0" t="s">
        <v>28</v>
      </c>
      <c r="K1983" s="0" t="str">
        <f aca="false">"4.2 %"</f>
        <v>4.2 %</v>
      </c>
      <c r="O1983" s="0" t="s">
        <v>7144</v>
      </c>
    </row>
    <row r="1984" customFormat="false" ht="13.8" hidden="false" customHeight="false" outlineLevel="0" collapsed="false">
      <c r="A1984" s="0" t="s">
        <v>7145</v>
      </c>
      <c r="D1984" s="0" t="s">
        <v>7146</v>
      </c>
      <c r="F1984" s="0" t="s">
        <v>7147</v>
      </c>
      <c r="G1984" s="0" t="n">
        <v>1</v>
      </c>
      <c r="H1984" s="0" t="s">
        <v>27</v>
      </c>
      <c r="J1984" s="0" t="s">
        <v>28</v>
      </c>
      <c r="O1984" s="0" t="s">
        <v>7148</v>
      </c>
    </row>
    <row r="1985" customFormat="false" ht="13.8" hidden="false" customHeight="false" outlineLevel="0" collapsed="false">
      <c r="A1985" s="0" t="s">
        <v>7145</v>
      </c>
      <c r="F1985" s="0" t="s">
        <v>40</v>
      </c>
      <c r="G1985" s="0" t="n">
        <v>1</v>
      </c>
      <c r="H1985" s="0" t="s">
        <v>27</v>
      </c>
      <c r="J1985" s="0" t="s">
        <v>28</v>
      </c>
      <c r="K1985" s="0" t="str">
        <f aca="false">"5.4 %"</f>
        <v>5.4 %</v>
      </c>
      <c r="O1985" s="0" t="s">
        <v>7149</v>
      </c>
    </row>
    <row r="1986" customFormat="false" ht="13.8" hidden="false" customHeight="false" outlineLevel="0" collapsed="false">
      <c r="A1986" s="0" t="s">
        <v>7150</v>
      </c>
      <c r="D1986" s="0" t="s">
        <v>7151</v>
      </c>
      <c r="F1986" s="0" t="s">
        <v>7152</v>
      </c>
      <c r="G1986" s="0" t="n">
        <v>1</v>
      </c>
      <c r="H1986" s="0" t="s">
        <v>27</v>
      </c>
      <c r="J1986" s="0" t="s">
        <v>28</v>
      </c>
      <c r="K1986" s="0" t="str">
        <f aca="false">"6.83 %"</f>
        <v>6.83 %</v>
      </c>
      <c r="L1986" s="0" t="str">
        <f aca="false">"0.80 V"</f>
        <v>0.80 V</v>
      </c>
      <c r="O1986" s="0" t="s">
        <v>7153</v>
      </c>
    </row>
    <row r="1987" customFormat="false" ht="13.8" hidden="false" customHeight="false" outlineLevel="0" collapsed="false">
      <c r="A1987" s="0" t="s">
        <v>7154</v>
      </c>
      <c r="D1987" s="0" t="s">
        <v>7155</v>
      </c>
      <c r="F1987" s="0" t="s">
        <v>7156</v>
      </c>
      <c r="G1987" s="0" t="n">
        <v>1</v>
      </c>
      <c r="H1987" s="0" t="s">
        <v>33</v>
      </c>
      <c r="J1987" s="0" t="s">
        <v>34</v>
      </c>
      <c r="O1987" s="0" t="s">
        <v>7157</v>
      </c>
    </row>
    <row r="1988" customFormat="false" ht="13.8" hidden="false" customHeight="false" outlineLevel="0" collapsed="false">
      <c r="A1988" s="0" t="s">
        <v>7154</v>
      </c>
      <c r="F1988" s="0" t="s">
        <v>40</v>
      </c>
      <c r="G1988" s="0" t="n">
        <v>1</v>
      </c>
      <c r="H1988" s="0" t="s">
        <v>33</v>
      </c>
      <c r="J1988" s="0" t="s">
        <v>34</v>
      </c>
      <c r="K1988" s="0" t="str">
        <f aca="false">"1.6 %"</f>
        <v>1.6 %</v>
      </c>
      <c r="O1988" s="0" t="s">
        <v>7158</v>
      </c>
    </row>
    <row r="1989" customFormat="false" ht="13.8" hidden="false" customHeight="false" outlineLevel="0" collapsed="false">
      <c r="A1989" s="0" t="s">
        <v>7159</v>
      </c>
      <c r="D1989" s="0" t="e">
        <f aca="false">- sq</f>
        <v>#NAME?</v>
      </c>
      <c r="F1989" s="0" t="s">
        <v>7160</v>
      </c>
      <c r="G1989" s="0" t="n">
        <v>1</v>
      </c>
      <c r="H1989" s="0" t="s">
        <v>66</v>
      </c>
      <c r="J1989" s="0" t="s">
        <v>67</v>
      </c>
      <c r="K1989" s="0" t="str">
        <f aca="false">"5.15 %"</f>
        <v>5.15 %</v>
      </c>
      <c r="O1989" s="0" t="s">
        <v>7161</v>
      </c>
    </row>
    <row r="1990" customFormat="false" ht="13.8" hidden="false" customHeight="false" outlineLevel="0" collapsed="false">
      <c r="A1990" s="0" t="s">
        <v>7159</v>
      </c>
      <c r="D1990" s="0" t="s">
        <v>16</v>
      </c>
      <c r="E1990" s="0" t="s">
        <v>17</v>
      </c>
      <c r="F1990" s="0" t="s">
        <v>18</v>
      </c>
      <c r="G1990" s="0" t="n">
        <v>1</v>
      </c>
      <c r="H1990" s="0" t="s">
        <v>66</v>
      </c>
      <c r="J1990" s="0" t="s">
        <v>67</v>
      </c>
      <c r="K1990" s="0" t="str">
        <f aca="false">"3.47 %"</f>
        <v>3.47 %</v>
      </c>
      <c r="O1990" s="0" t="s">
        <v>7162</v>
      </c>
    </row>
    <row r="1991" customFormat="false" ht="13.8" hidden="false" customHeight="false" outlineLevel="0" collapsed="false">
      <c r="A1991" s="0" t="s">
        <v>7163</v>
      </c>
      <c r="B1991" s="0" t="n">
        <v>1</v>
      </c>
      <c r="D1991" s="0" t="s">
        <v>109</v>
      </c>
      <c r="E1991" s="0" t="s">
        <v>110</v>
      </c>
      <c r="F1991" s="0" t="s">
        <v>111</v>
      </c>
      <c r="G1991" s="0" t="n">
        <v>1</v>
      </c>
      <c r="H1991" s="0" t="s">
        <v>27</v>
      </c>
      <c r="J1991" s="0" t="s">
        <v>28</v>
      </c>
      <c r="K1991" s="0" t="str">
        <f aca="false">"6.953 %"</f>
        <v>6.953 %</v>
      </c>
      <c r="O1991" s="0" t="s">
        <v>7164</v>
      </c>
    </row>
    <row r="1992" customFormat="false" ht="13.8" hidden="false" customHeight="false" outlineLevel="0" collapsed="false">
      <c r="A1992" s="0" t="s">
        <v>7165</v>
      </c>
      <c r="D1992" s="0" t="s">
        <v>85</v>
      </c>
      <c r="E1992" s="0" t="s">
        <v>202</v>
      </c>
      <c r="F1992" s="0" t="s">
        <v>7166</v>
      </c>
      <c r="G1992" s="0" t="n">
        <v>0</v>
      </c>
      <c r="H1992" s="0" t="s">
        <v>7167</v>
      </c>
      <c r="J1992" s="0" t="s">
        <v>7168</v>
      </c>
      <c r="K1992" s="0" t="str">
        <f aca="false">"3.58 %"</f>
        <v>3.58 %</v>
      </c>
      <c r="O1992" s="0" t="s">
        <v>7169</v>
      </c>
    </row>
    <row r="1993" customFormat="false" ht="13.8" hidden="false" customHeight="false" outlineLevel="0" collapsed="false">
      <c r="A1993" s="0" t="s">
        <v>7165</v>
      </c>
      <c r="D1993" s="0" t="s">
        <v>201</v>
      </c>
      <c r="E1993" s="0" t="s">
        <v>202</v>
      </c>
      <c r="F1993" s="0" t="s">
        <v>7166</v>
      </c>
      <c r="G1993" s="0" t="n">
        <v>0</v>
      </c>
      <c r="H1993" s="0" t="s">
        <v>7167</v>
      </c>
      <c r="J1993" s="0" t="s">
        <v>7168</v>
      </c>
      <c r="K1993" s="0" t="str">
        <f aca="false">"2.81 %"</f>
        <v>2.81 %</v>
      </c>
      <c r="O1993" s="0" t="s">
        <v>7170</v>
      </c>
    </row>
    <row r="1994" customFormat="false" ht="13.8" hidden="false" customHeight="false" outlineLevel="0" collapsed="false">
      <c r="A1994" s="0" t="s">
        <v>7171</v>
      </c>
      <c r="D1994" s="0" t="s">
        <v>7172</v>
      </c>
      <c r="F1994" s="0" t="s">
        <v>7173</v>
      </c>
      <c r="G1994" s="0" t="n">
        <v>1</v>
      </c>
      <c r="H1994" s="0" t="s">
        <v>27</v>
      </c>
      <c r="J1994" s="0" t="s">
        <v>40</v>
      </c>
      <c r="K1994" s="0" t="str">
        <f aca="false">"6.4 %"</f>
        <v>6.4 %</v>
      </c>
      <c r="O1994" s="0" t="s">
        <v>7174</v>
      </c>
    </row>
    <row r="1995" customFormat="false" ht="13.8" hidden="false" customHeight="false" outlineLevel="0" collapsed="false">
      <c r="A1995" s="0" t="s">
        <v>7171</v>
      </c>
      <c r="D1995" s="0" t="s">
        <v>7175</v>
      </c>
      <c r="F1995" s="0" t="s">
        <v>7176</v>
      </c>
      <c r="G1995" s="0" t="n">
        <v>1</v>
      </c>
      <c r="H1995" s="0" t="s">
        <v>27</v>
      </c>
      <c r="J1995" s="0" t="s">
        <v>40</v>
      </c>
      <c r="K1995" s="0" t="str">
        <f aca="false">"2.3 %"</f>
        <v>2.3 %</v>
      </c>
      <c r="O1995" s="0" t="s">
        <v>7177</v>
      </c>
    </row>
    <row r="1996" customFormat="false" ht="13.8" hidden="false" customHeight="false" outlineLevel="0" collapsed="false">
      <c r="A1996" s="0" t="s">
        <v>7171</v>
      </c>
      <c r="D1996" s="0" t="s">
        <v>7178</v>
      </c>
      <c r="F1996" s="0" t="s">
        <v>7179</v>
      </c>
      <c r="G1996" s="0" t="n">
        <v>1</v>
      </c>
      <c r="H1996" s="0" t="s">
        <v>27</v>
      </c>
      <c r="J1996" s="0" t="s">
        <v>40</v>
      </c>
      <c r="K1996" s="0" t="str">
        <f aca="false">"6.5 %"</f>
        <v>6.5 %</v>
      </c>
      <c r="O1996" s="0" t="s">
        <v>7180</v>
      </c>
    </row>
    <row r="1997" customFormat="false" ht="13.8" hidden="false" customHeight="false" outlineLevel="0" collapsed="false">
      <c r="A1997" s="0" t="s">
        <v>7181</v>
      </c>
      <c r="D1997" s="0" t="s">
        <v>7182</v>
      </c>
      <c r="F1997" s="0" t="s">
        <v>7183</v>
      </c>
      <c r="G1997" s="0" t="n">
        <v>0</v>
      </c>
      <c r="H1997" s="0" t="s">
        <v>7184</v>
      </c>
      <c r="J1997" s="0" t="s">
        <v>7185</v>
      </c>
      <c r="K1997" s="0" t="str">
        <f aca="false">"4.7 %"</f>
        <v>4.7 %</v>
      </c>
      <c r="O1997" s="0" t="s">
        <v>7186</v>
      </c>
    </row>
    <row r="1998" customFormat="false" ht="13.8" hidden="false" customHeight="false" outlineLevel="0" collapsed="false">
      <c r="A1998" s="0" t="s">
        <v>7187</v>
      </c>
      <c r="D1998" s="0" t="s">
        <v>7188</v>
      </c>
      <c r="F1998" s="0" t="s">
        <v>7189</v>
      </c>
      <c r="G1998" s="0" t="n">
        <v>1</v>
      </c>
      <c r="H1998" s="0" t="s">
        <v>66</v>
      </c>
      <c r="J1998" s="0" t="s">
        <v>67</v>
      </c>
      <c r="K1998" s="0" t="str">
        <f aca="false">"6.7 %"</f>
        <v>6.7 %</v>
      </c>
      <c r="O1998" s="0" t="s">
        <v>7190</v>
      </c>
    </row>
    <row r="1999" customFormat="false" ht="13.8" hidden="false" customHeight="false" outlineLevel="0" collapsed="false">
      <c r="A1999" s="0" t="s">
        <v>7191</v>
      </c>
      <c r="D1999" s="0" t="s">
        <v>7192</v>
      </c>
      <c r="F1999" s="0" t="s">
        <v>7193</v>
      </c>
      <c r="G1999" s="0" t="n">
        <v>1</v>
      </c>
      <c r="H1999" s="0" t="s">
        <v>27</v>
      </c>
      <c r="J1999" s="0" t="s">
        <v>28</v>
      </c>
      <c r="K1999" s="0" t="str">
        <f aca="false">"4.5 %"</f>
        <v>4.5 %</v>
      </c>
      <c r="M1999" s="0" t="str">
        <f aca="false">"16.84 mA cm^{-2}"</f>
        <v>16.84 mA cm^{-2}</v>
      </c>
      <c r="O1999" s="0" t="s">
        <v>7194</v>
      </c>
    </row>
    <row r="2000" customFormat="false" ht="13.8" hidden="false" customHeight="false" outlineLevel="0" collapsed="false">
      <c r="A2000" s="0" t="s">
        <v>7191</v>
      </c>
      <c r="D2000" s="0" t="s">
        <v>7195</v>
      </c>
      <c r="F2000" s="0" t="s">
        <v>7196</v>
      </c>
      <c r="G2000" s="0" t="n">
        <v>1</v>
      </c>
      <c r="H2000" s="0" t="s">
        <v>27</v>
      </c>
      <c r="J2000" s="0" t="s">
        <v>28</v>
      </c>
      <c r="K2000" s="0" t="str">
        <f aca="false">"6.91 %"</f>
        <v>6.91 %</v>
      </c>
      <c r="O2000" s="0" t="s">
        <v>7197</v>
      </c>
    </row>
    <row r="2001" customFormat="false" ht="13.8" hidden="false" customHeight="false" outlineLevel="0" collapsed="false">
      <c r="A2001" s="0" t="s">
        <v>7198</v>
      </c>
      <c r="B2001" s="0" t="n">
        <v>1</v>
      </c>
      <c r="D2001" s="0" t="s">
        <v>24</v>
      </c>
      <c r="E2001" s="0" t="s">
        <v>25</v>
      </c>
      <c r="F2001" s="0" t="s">
        <v>26</v>
      </c>
      <c r="G2001" s="0" t="n">
        <v>1</v>
      </c>
      <c r="H2001" s="0" t="s">
        <v>33</v>
      </c>
      <c r="J2001" s="0" t="s">
        <v>34</v>
      </c>
      <c r="K2001" s="0" t="str">
        <f aca="false">"6.9 %"</f>
        <v>6.9 %</v>
      </c>
      <c r="O2001" s="0" t="s">
        <v>7199</v>
      </c>
    </row>
    <row r="2002" customFormat="false" ht="13.8" hidden="false" customHeight="false" outlineLevel="0" collapsed="false">
      <c r="A2002" s="0" t="s">
        <v>7200</v>
      </c>
      <c r="D2002" s="0" t="s">
        <v>85</v>
      </c>
      <c r="E2002" s="0" t="s">
        <v>86</v>
      </c>
      <c r="F2002" s="0" t="s">
        <v>1038</v>
      </c>
      <c r="G2002" s="0" t="n">
        <v>1</v>
      </c>
      <c r="H2002" s="0" t="s">
        <v>27</v>
      </c>
      <c r="J2002" s="0" t="s">
        <v>28</v>
      </c>
      <c r="K2002" s="0" t="str">
        <f aca="false">"8.24 %"</f>
        <v>8.24 %</v>
      </c>
      <c r="O2002" s="0" t="s">
        <v>7201</v>
      </c>
    </row>
    <row r="2003" customFormat="false" ht="13.8" hidden="false" customHeight="false" outlineLevel="0" collapsed="false">
      <c r="A2003" s="0" t="s">
        <v>7202</v>
      </c>
      <c r="D2003" s="0" t="s">
        <v>16</v>
      </c>
      <c r="E2003" s="0" t="s">
        <v>17</v>
      </c>
      <c r="F2003" s="0" t="s">
        <v>709</v>
      </c>
      <c r="G2003" s="0" t="n">
        <v>1</v>
      </c>
      <c r="H2003" s="0" t="s">
        <v>33</v>
      </c>
      <c r="J2003" s="0" t="s">
        <v>34</v>
      </c>
      <c r="K2003" s="0" t="str">
        <f aca="false">"4 %"</f>
        <v>4 %</v>
      </c>
      <c r="O2003" s="0" t="s">
        <v>7203</v>
      </c>
    </row>
    <row r="2004" customFormat="false" ht="13.8" hidden="false" customHeight="false" outlineLevel="0" collapsed="false">
      <c r="A2004" s="0" t="s">
        <v>7204</v>
      </c>
      <c r="B2004" s="0" t="n">
        <v>1</v>
      </c>
      <c r="D2004" s="0" t="s">
        <v>1056</v>
      </c>
      <c r="E2004" s="0" t="s">
        <v>5313</v>
      </c>
      <c r="F2004" s="0" t="s">
        <v>5314</v>
      </c>
      <c r="G2004" s="0" t="n">
        <v>1</v>
      </c>
      <c r="H2004" s="0" t="s">
        <v>27</v>
      </c>
      <c r="J2004" s="0" t="s">
        <v>357</v>
      </c>
      <c r="K2004" s="0" t="str">
        <f aca="false">"1.08 %"</f>
        <v>1.08 %</v>
      </c>
      <c r="O2004" s="0" t="s">
        <v>7205</v>
      </c>
    </row>
    <row r="2005" customFormat="false" ht="13.8" hidden="false" customHeight="false" outlineLevel="0" collapsed="false">
      <c r="A2005" s="0" t="s">
        <v>7204</v>
      </c>
      <c r="B2005" s="0" t="n">
        <v>1</v>
      </c>
      <c r="D2005" s="0" t="s">
        <v>16</v>
      </c>
      <c r="E2005" s="0" t="s">
        <v>17</v>
      </c>
      <c r="F2005" s="0" t="s">
        <v>18</v>
      </c>
      <c r="G2005" s="0" t="n">
        <v>1</v>
      </c>
      <c r="H2005" s="0" t="s">
        <v>27</v>
      </c>
      <c r="J2005" s="0" t="s">
        <v>357</v>
      </c>
      <c r="K2005" s="0" t="str">
        <f aca="false">"3.54 %"</f>
        <v>3.54 %</v>
      </c>
    </row>
    <row r="2006" customFormat="false" ht="13.8" hidden="false" customHeight="false" outlineLevel="0" collapsed="false">
      <c r="A2006" s="0" t="s">
        <v>7206</v>
      </c>
      <c r="D2006" s="0" t="s">
        <v>7207</v>
      </c>
      <c r="F2006" s="0" t="s">
        <v>7208</v>
      </c>
      <c r="G2006" s="0" t="n">
        <v>1</v>
      </c>
      <c r="H2006" s="0" t="s">
        <v>76</v>
      </c>
      <c r="J2006" s="0" t="s">
        <v>40</v>
      </c>
      <c r="K2006" s="0" t="str">
        <f aca="false">"4.31 %"</f>
        <v>4.31 %</v>
      </c>
      <c r="O2006" s="0" t="s">
        <v>7209</v>
      </c>
    </row>
    <row r="2007" customFormat="false" ht="13.8" hidden="false" customHeight="false" outlineLevel="0" collapsed="false">
      <c r="A2007" s="0" t="s">
        <v>7210</v>
      </c>
      <c r="D2007" s="0" t="s">
        <v>85</v>
      </c>
      <c r="E2007" s="0" t="s">
        <v>86</v>
      </c>
      <c r="F2007" s="0" t="s">
        <v>87</v>
      </c>
      <c r="G2007" s="0" t="n">
        <v>1</v>
      </c>
      <c r="H2007" s="0" t="s">
        <v>27</v>
      </c>
      <c r="J2007" s="0" t="s">
        <v>28</v>
      </c>
      <c r="K2007" s="0" t="str">
        <f aca="false">"9.5 %"</f>
        <v>9.5 %</v>
      </c>
      <c r="O2007" s="0" t="s">
        <v>7211</v>
      </c>
    </row>
    <row r="2008" customFormat="false" ht="13.8" hidden="false" customHeight="false" outlineLevel="0" collapsed="false">
      <c r="A2008" s="0" t="s">
        <v>7212</v>
      </c>
      <c r="B2008" s="0" t="n">
        <v>1</v>
      </c>
      <c r="D2008" s="0" t="s">
        <v>403</v>
      </c>
      <c r="E2008" s="0" t="s">
        <v>404</v>
      </c>
      <c r="F2008" s="0" t="s">
        <v>405</v>
      </c>
      <c r="G2008" s="0" t="n">
        <v>1</v>
      </c>
      <c r="H2008" s="0" t="s">
        <v>27</v>
      </c>
      <c r="J2008" s="0" t="s">
        <v>28</v>
      </c>
      <c r="K2008" s="0" t="str">
        <f aca="false">"9.6 %"</f>
        <v>9.6 %</v>
      </c>
      <c r="O2008" s="0" t="s">
        <v>7213</v>
      </c>
    </row>
    <row r="2009" customFormat="false" ht="13.8" hidden="false" customHeight="false" outlineLevel="0" collapsed="false">
      <c r="A2009" s="0" t="s">
        <v>7214</v>
      </c>
      <c r="D2009" s="0" t="s">
        <v>7215</v>
      </c>
      <c r="F2009" s="0" t="s">
        <v>40</v>
      </c>
      <c r="G2009" s="0" t="n">
        <v>1</v>
      </c>
      <c r="H2009" s="0" t="s">
        <v>1829</v>
      </c>
      <c r="J2009" s="0" t="s">
        <v>40</v>
      </c>
      <c r="K2009" s="0" t="str">
        <f aca="false">"12.1 %"</f>
        <v>12.1 %</v>
      </c>
      <c r="O2009" s="0" t="s">
        <v>7216</v>
      </c>
    </row>
    <row r="2010" customFormat="false" ht="13.8" hidden="false" customHeight="false" outlineLevel="0" collapsed="false">
      <c r="A2010" s="0" t="s">
        <v>7217</v>
      </c>
      <c r="D2010" s="0" t="s">
        <v>599</v>
      </c>
      <c r="E2010" s="0" t="s">
        <v>600</v>
      </c>
      <c r="F2010" s="0" t="s">
        <v>601</v>
      </c>
      <c r="G2010" s="0" t="n">
        <v>0</v>
      </c>
      <c r="H2010" s="0" t="s">
        <v>163</v>
      </c>
      <c r="I2010" s="0" t="s">
        <v>164</v>
      </c>
      <c r="J2010" s="0" t="s">
        <v>165</v>
      </c>
      <c r="K2010" s="0" t="str">
        <f aca="false">"13.52 %"</f>
        <v>13.52 %</v>
      </c>
      <c r="N2010" s="0" t="str">
        <f aca="false">"78.07 %"</f>
        <v>78.07 %</v>
      </c>
      <c r="O2010" s="0" t="s">
        <v>7218</v>
      </c>
    </row>
    <row r="2011" customFormat="false" ht="13.8" hidden="false" customHeight="false" outlineLevel="0" collapsed="false">
      <c r="A2011" s="0" t="s">
        <v>7217</v>
      </c>
      <c r="D2011" s="0" t="s">
        <v>599</v>
      </c>
      <c r="E2011" s="0" t="s">
        <v>600</v>
      </c>
      <c r="F2011" s="0" t="s">
        <v>601</v>
      </c>
      <c r="G2011" s="0" t="n">
        <v>0</v>
      </c>
      <c r="H2011" s="0" t="s">
        <v>1472</v>
      </c>
      <c r="I2011" s="0" t="s">
        <v>6174</v>
      </c>
      <c r="J2011" s="0" t="s">
        <v>5341</v>
      </c>
      <c r="K2011" s="0" t="str">
        <f aca="false">"11.71 %"</f>
        <v>11.71 %</v>
      </c>
      <c r="N2011" s="0" t="str">
        <f aca="false">"77.83 %"</f>
        <v>77.83 %</v>
      </c>
      <c r="O2011" s="0" t="s">
        <v>7219</v>
      </c>
    </row>
    <row r="2012" customFormat="false" ht="13.8" hidden="false" customHeight="false" outlineLevel="0" collapsed="false">
      <c r="A2012" s="0" t="s">
        <v>7220</v>
      </c>
      <c r="C2012" s="0" t="n">
        <v>1</v>
      </c>
      <c r="D2012" s="0" t="s">
        <v>7221</v>
      </c>
      <c r="E2012" s="0" t="s">
        <v>7222</v>
      </c>
      <c r="F2012" s="0" t="s">
        <v>7223</v>
      </c>
      <c r="G2012" s="0" t="n">
        <v>1</v>
      </c>
      <c r="H2012" s="0" t="s">
        <v>27</v>
      </c>
      <c r="J2012" s="0" t="s">
        <v>28</v>
      </c>
      <c r="K2012" s="0" t="str">
        <f aca="false">"10.62 %"</f>
        <v>10.62 %</v>
      </c>
      <c r="M2012" s="0" t="str">
        <f aca="false">"19.45 mA cm^{-2}"</f>
        <v>19.45 mA cm^{-2}</v>
      </c>
      <c r="O2012" s="0" t="s">
        <v>7224</v>
      </c>
    </row>
    <row r="2013" customFormat="false" ht="13.8" hidden="false" customHeight="false" outlineLevel="0" collapsed="false">
      <c r="A2013" s="0" t="s">
        <v>7225</v>
      </c>
      <c r="D2013" s="0" t="s">
        <v>214</v>
      </c>
      <c r="E2013" s="0" t="s">
        <v>64</v>
      </c>
      <c r="F2013" s="0" t="s">
        <v>215</v>
      </c>
      <c r="G2013" s="0" t="n">
        <v>1</v>
      </c>
      <c r="H2013" s="0" t="s">
        <v>66</v>
      </c>
      <c r="J2013" s="0" t="s">
        <v>67</v>
      </c>
      <c r="K2013" s="0" t="str">
        <f aca="false">"3.2 %"</f>
        <v>3.2 %</v>
      </c>
      <c r="O2013" s="0" t="s">
        <v>7226</v>
      </c>
    </row>
    <row r="2014" customFormat="false" ht="13.8" hidden="false" customHeight="false" outlineLevel="0" collapsed="false">
      <c r="A2014" s="0" t="s">
        <v>7227</v>
      </c>
      <c r="D2014" s="0" t="s">
        <v>7228</v>
      </c>
      <c r="F2014" s="0" t="s">
        <v>40</v>
      </c>
      <c r="G2014" s="0" t="n">
        <v>1</v>
      </c>
      <c r="H2014" s="0" t="s">
        <v>66</v>
      </c>
      <c r="J2014" s="0" t="s">
        <v>67</v>
      </c>
      <c r="L2014" s="0" t="str">
        <f aca="false">"0.84 V"</f>
        <v>0.84 V</v>
      </c>
      <c r="O2014" s="0" t="s">
        <v>7229</v>
      </c>
    </row>
    <row r="2015" customFormat="false" ht="13.8" hidden="false" customHeight="false" outlineLevel="0" collapsed="false">
      <c r="A2015" s="0" t="s">
        <v>7227</v>
      </c>
      <c r="D2015" s="0" t="s">
        <v>4748</v>
      </c>
      <c r="F2015" s="0" t="s">
        <v>40</v>
      </c>
      <c r="G2015" s="0" t="n">
        <v>1</v>
      </c>
      <c r="H2015" s="0" t="s">
        <v>66</v>
      </c>
      <c r="J2015" s="0" t="s">
        <v>67</v>
      </c>
      <c r="K2015" s="0" t="str">
        <f aca="false">"8.42 %"</f>
        <v>8.42 %</v>
      </c>
      <c r="L2015" s="0" t="str">
        <f aca="false">"0.84 V"</f>
        <v>0.84 V</v>
      </c>
      <c r="O2015" s="0" t="s">
        <v>7230</v>
      </c>
    </row>
    <row r="2016" customFormat="false" ht="13.8" hidden="false" customHeight="false" outlineLevel="0" collapsed="false">
      <c r="A2016" s="0" t="s">
        <v>7231</v>
      </c>
      <c r="D2016" s="0" t="s">
        <v>221</v>
      </c>
      <c r="E2016" s="0" t="s">
        <v>222</v>
      </c>
      <c r="F2016" s="0" t="s">
        <v>4204</v>
      </c>
      <c r="G2016" s="0" t="n">
        <v>1</v>
      </c>
      <c r="H2016" s="0" t="s">
        <v>66</v>
      </c>
      <c r="J2016" s="0" t="s">
        <v>67</v>
      </c>
      <c r="K2016" s="0" t="str">
        <f aca="false">"7 %"</f>
        <v>7 %</v>
      </c>
      <c r="M2016" s="0" t="str">
        <f aca="false">"15.7-16.3 mA cm^{-2}"</f>
        <v>15.7-16.3 mA cm^{-2}</v>
      </c>
      <c r="N2016" s="0" t="str">
        <f aca="false">"0.71-0.73"</f>
        <v>0.71-0.73</v>
      </c>
      <c r="O2016" s="0" t="s">
        <v>7232</v>
      </c>
    </row>
    <row r="2017" customFormat="false" ht="13.8" hidden="false" customHeight="false" outlineLevel="0" collapsed="false">
      <c r="A2017" s="0" t="s">
        <v>7233</v>
      </c>
      <c r="C2017" s="0" t="n">
        <v>1</v>
      </c>
      <c r="D2017" s="0" t="s">
        <v>7234</v>
      </c>
      <c r="E2017" s="0" t="s">
        <v>3880</v>
      </c>
      <c r="F2017" s="0" t="s">
        <v>7235</v>
      </c>
      <c r="G2017" s="0" t="n">
        <v>0</v>
      </c>
      <c r="H2017" s="0" t="s">
        <v>7236</v>
      </c>
      <c r="I2017" s="0" t="s">
        <v>7237</v>
      </c>
      <c r="J2017" s="0" t="s">
        <v>7238</v>
      </c>
      <c r="N2017" s="0" t="str">
        <f aca="false">"78.2 %"</f>
        <v>78.2 %</v>
      </c>
      <c r="O2017" s="0" t="s">
        <v>7239</v>
      </c>
    </row>
    <row r="2018" customFormat="false" ht="13.8" hidden="false" customHeight="false" outlineLevel="0" collapsed="false">
      <c r="A2018" s="0" t="s">
        <v>7233</v>
      </c>
      <c r="C2018" s="0" t="n">
        <v>1</v>
      </c>
      <c r="D2018" s="0" t="s">
        <v>1116</v>
      </c>
      <c r="E2018" s="0" t="s">
        <v>1117</v>
      </c>
      <c r="F2018" s="0" t="s">
        <v>1118</v>
      </c>
      <c r="G2018" s="0" t="n">
        <v>0</v>
      </c>
      <c r="H2018" s="0" t="s">
        <v>7234</v>
      </c>
      <c r="I2018" s="0" t="s">
        <v>3880</v>
      </c>
      <c r="J2018" s="0" t="s">
        <v>7235</v>
      </c>
      <c r="K2018" s="0" t="str">
        <f aca="false">"14.13 %"</f>
        <v>14.13 %</v>
      </c>
      <c r="O2018" s="0" t="s">
        <v>7240</v>
      </c>
    </row>
    <row r="2019" customFormat="false" ht="13.8" hidden="false" customHeight="false" outlineLevel="0" collapsed="false">
      <c r="A2019" s="0" t="s">
        <v>7241</v>
      </c>
      <c r="D2019" s="0" t="s">
        <v>7242</v>
      </c>
      <c r="F2019" s="0" t="s">
        <v>7243</v>
      </c>
      <c r="G2019" s="0" t="n">
        <v>0</v>
      </c>
      <c r="H2019" s="0" t="s">
        <v>7244</v>
      </c>
      <c r="J2019" s="0" t="s">
        <v>40</v>
      </c>
      <c r="K2019" s="0" t="str">
        <f aca="false">"3.68 %"</f>
        <v>3.68 %</v>
      </c>
      <c r="O2019" s="0" t="s">
        <v>7245</v>
      </c>
    </row>
    <row r="2020" customFormat="false" ht="13.8" hidden="false" customHeight="false" outlineLevel="0" collapsed="false">
      <c r="A2020" s="0" t="s">
        <v>7241</v>
      </c>
      <c r="D2020" s="0" t="s">
        <v>7246</v>
      </c>
      <c r="F2020" s="0" t="s">
        <v>7243</v>
      </c>
      <c r="G2020" s="0" t="n">
        <v>0</v>
      </c>
      <c r="H2020" s="0" t="s">
        <v>7244</v>
      </c>
      <c r="J2020" s="0" t="s">
        <v>40</v>
      </c>
      <c r="O2020" s="0" t="s">
        <v>7247</v>
      </c>
    </row>
    <row r="2021" customFormat="false" ht="13.8" hidden="false" customHeight="false" outlineLevel="0" collapsed="false">
      <c r="A2021" s="0" t="s">
        <v>7248</v>
      </c>
      <c r="D2021" s="0" t="s">
        <v>7249</v>
      </c>
      <c r="F2021" s="0" t="s">
        <v>7250</v>
      </c>
      <c r="G2021" s="0" t="n">
        <v>1</v>
      </c>
      <c r="H2021" s="0" t="s">
        <v>27</v>
      </c>
      <c r="J2021" s="0" t="s">
        <v>28</v>
      </c>
      <c r="O2021" s="0" t="s">
        <v>7251</v>
      </c>
    </row>
    <row r="2022" customFormat="false" ht="13.8" hidden="false" customHeight="false" outlineLevel="0" collapsed="false">
      <c r="A2022" s="0" t="s">
        <v>7252</v>
      </c>
      <c r="D2022" s="0" t="s">
        <v>7253</v>
      </c>
      <c r="F2022" s="0" t="s">
        <v>7254</v>
      </c>
      <c r="G2022" s="0" t="n">
        <v>1</v>
      </c>
      <c r="H2022" s="0" t="s">
        <v>27</v>
      </c>
      <c r="J2022" s="0" t="s">
        <v>28</v>
      </c>
      <c r="K2022" s="0" t="str">
        <f aca="false">"3.51 %"</f>
        <v>3.51 %</v>
      </c>
      <c r="O2022" s="0" t="s">
        <v>7255</v>
      </c>
    </row>
    <row r="2023" customFormat="false" ht="13.8" hidden="false" customHeight="false" outlineLevel="0" collapsed="false">
      <c r="A2023" s="0" t="s">
        <v>7256</v>
      </c>
      <c r="D2023" s="0" t="s">
        <v>85</v>
      </c>
      <c r="E2023" s="0" t="s">
        <v>86</v>
      </c>
      <c r="F2023" s="0" t="s">
        <v>1038</v>
      </c>
      <c r="G2023" s="0" t="n">
        <v>1</v>
      </c>
      <c r="H2023" s="0" t="s">
        <v>27</v>
      </c>
      <c r="J2023" s="0" t="s">
        <v>28</v>
      </c>
      <c r="K2023" s="0" t="str">
        <f aca="false">"9.06 %"</f>
        <v>9.06 %</v>
      </c>
      <c r="M2023" s="0" t="str">
        <f aca="false">"16.27 mA cm^{-2}"</f>
        <v>16.27 mA cm^{-2}</v>
      </c>
      <c r="O2023" s="0" t="s">
        <v>7257</v>
      </c>
    </row>
    <row r="2024" customFormat="false" ht="13.8" hidden="false" customHeight="false" outlineLevel="0" collapsed="false">
      <c r="A2024" s="0" t="s">
        <v>7258</v>
      </c>
      <c r="D2024" s="0" t="s">
        <v>85</v>
      </c>
      <c r="E2024" s="0" t="s">
        <v>86</v>
      </c>
      <c r="F2024" s="0" t="s">
        <v>7259</v>
      </c>
      <c r="G2024" s="0" t="n">
        <v>0</v>
      </c>
      <c r="H2024" s="0" t="s">
        <v>7260</v>
      </c>
      <c r="J2024" s="0" t="s">
        <v>40</v>
      </c>
      <c r="K2024" s="0" t="str">
        <f aca="false">"0.80 %"</f>
        <v>0.80 %</v>
      </c>
      <c r="O2024" s="0" t="s">
        <v>7261</v>
      </c>
    </row>
    <row r="2025" customFormat="false" ht="13.8" hidden="false" customHeight="false" outlineLevel="0" collapsed="false">
      <c r="A2025" s="0" t="s">
        <v>7262</v>
      </c>
      <c r="D2025" s="0" t="s">
        <v>201</v>
      </c>
      <c r="E2025" s="0" t="s">
        <v>202</v>
      </c>
      <c r="F2025" s="0" t="s">
        <v>422</v>
      </c>
      <c r="G2025" s="0" t="n">
        <v>1</v>
      </c>
      <c r="H2025" s="0" t="s">
        <v>27</v>
      </c>
      <c r="J2025" s="0" t="s">
        <v>28</v>
      </c>
      <c r="K2025" s="0" t="str">
        <f aca="false">"8.38 %"</f>
        <v>8.38 %</v>
      </c>
      <c r="O2025" s="0" t="s">
        <v>7263</v>
      </c>
    </row>
    <row r="2026" customFormat="false" ht="13.8" hidden="false" customHeight="false" outlineLevel="0" collapsed="false">
      <c r="A2026" s="0" t="s">
        <v>7264</v>
      </c>
      <c r="D2026" s="0" t="s">
        <v>214</v>
      </c>
      <c r="E2026" s="0" t="s">
        <v>64</v>
      </c>
      <c r="F2026" s="0" t="s">
        <v>7265</v>
      </c>
      <c r="G2026" s="0" t="n">
        <v>0</v>
      </c>
      <c r="H2026" s="0" t="s">
        <v>5180</v>
      </c>
      <c r="J2026" s="0" t="s">
        <v>7266</v>
      </c>
      <c r="K2026" s="0" t="str">
        <f aca="false">"3.7 %"</f>
        <v>3.7 %</v>
      </c>
      <c r="O2026" s="0" t="s">
        <v>7267</v>
      </c>
    </row>
    <row r="2027" customFormat="false" ht="13.8" hidden="false" customHeight="false" outlineLevel="0" collapsed="false">
      <c r="A2027" s="0" t="s">
        <v>7268</v>
      </c>
      <c r="D2027" s="0" t="s">
        <v>6620</v>
      </c>
      <c r="E2027" s="0" t="s">
        <v>6621</v>
      </c>
      <c r="F2027" s="0" t="s">
        <v>7269</v>
      </c>
      <c r="G2027" s="0" t="n">
        <v>1</v>
      </c>
      <c r="H2027" s="0" t="s">
        <v>27</v>
      </c>
      <c r="J2027" s="0" t="s">
        <v>1274</v>
      </c>
      <c r="K2027" s="0" t="str">
        <f aca="false">"7 %"</f>
        <v>7 %</v>
      </c>
      <c r="O2027" s="0" t="s">
        <v>7270</v>
      </c>
    </row>
    <row r="2028" customFormat="false" ht="13.8" hidden="false" customHeight="false" outlineLevel="0" collapsed="false">
      <c r="A2028" s="0" t="s">
        <v>7271</v>
      </c>
      <c r="D2028" s="0" t="s">
        <v>7272</v>
      </c>
      <c r="F2028" s="0" t="s">
        <v>7273</v>
      </c>
      <c r="G2028" s="0" t="n">
        <v>1</v>
      </c>
      <c r="H2028" s="0" t="s">
        <v>27</v>
      </c>
      <c r="J2028" s="0" t="s">
        <v>28</v>
      </c>
      <c r="K2028" s="0" t="str">
        <f aca="false">"7.0 %"</f>
        <v>7.0 %</v>
      </c>
      <c r="O2028" s="0" t="s">
        <v>7274</v>
      </c>
    </row>
    <row r="2029" customFormat="false" ht="13.8" hidden="false" customHeight="false" outlineLevel="0" collapsed="false">
      <c r="A2029" s="0" t="s">
        <v>7275</v>
      </c>
      <c r="D2029" s="0" t="s">
        <v>7276</v>
      </c>
      <c r="F2029" s="0" t="s">
        <v>7277</v>
      </c>
      <c r="G2029" s="0" t="n">
        <v>1</v>
      </c>
      <c r="H2029" s="0" t="s">
        <v>27</v>
      </c>
      <c r="J2029" s="0" t="s">
        <v>28</v>
      </c>
      <c r="K2029" s="0" t="str">
        <f aca="false">"9.60 %"</f>
        <v>9.60 %</v>
      </c>
      <c r="O2029" s="0" t="s">
        <v>7278</v>
      </c>
    </row>
    <row r="2030" customFormat="false" ht="13.8" hidden="false" customHeight="false" outlineLevel="0" collapsed="false">
      <c r="A2030" s="0" t="s">
        <v>7279</v>
      </c>
      <c r="D2030" s="0" t="s">
        <v>201</v>
      </c>
      <c r="E2030" s="0" t="s">
        <v>202</v>
      </c>
      <c r="F2030" s="0" t="s">
        <v>422</v>
      </c>
      <c r="G2030" s="0" t="n">
        <v>1</v>
      </c>
      <c r="H2030" s="0" t="s">
        <v>27</v>
      </c>
      <c r="J2030" s="0" t="s">
        <v>28</v>
      </c>
      <c r="K2030" s="0" t="str">
        <f aca="false">"8.59 %"</f>
        <v>8.59 %</v>
      </c>
      <c r="O2030" s="0" t="s">
        <v>7280</v>
      </c>
    </row>
    <row r="2031" customFormat="false" ht="13.8" hidden="false" customHeight="false" outlineLevel="0" collapsed="false">
      <c r="A2031" s="0" t="s">
        <v>7281</v>
      </c>
      <c r="D2031" s="0" t="s">
        <v>16</v>
      </c>
      <c r="E2031" s="0" t="s">
        <v>17</v>
      </c>
      <c r="F2031" s="0" t="s">
        <v>18</v>
      </c>
      <c r="G2031" s="0" t="n">
        <v>0</v>
      </c>
      <c r="H2031" s="0" t="s">
        <v>7282</v>
      </c>
      <c r="J2031" s="0" t="s">
        <v>7283</v>
      </c>
      <c r="K2031" s="0" t="str">
        <f aca="false">"6.26 %"</f>
        <v>6.26 %</v>
      </c>
      <c r="L2031" s="0" t="str">
        <f aca="false">"0.927 V"</f>
        <v>0.927 V</v>
      </c>
      <c r="O2031" s="0" t="s">
        <v>7284</v>
      </c>
    </row>
    <row r="2032" customFormat="false" ht="13.8" hidden="false" customHeight="false" outlineLevel="0" collapsed="false">
      <c r="A2032" s="0" t="s">
        <v>7285</v>
      </c>
      <c r="D2032" s="0" t="s">
        <v>7286</v>
      </c>
      <c r="F2032" s="0" t="s">
        <v>7287</v>
      </c>
      <c r="G2032" s="0" t="n">
        <v>1</v>
      </c>
      <c r="H2032" s="0" t="s">
        <v>27</v>
      </c>
      <c r="J2032" s="0" t="s">
        <v>28</v>
      </c>
      <c r="K2032" s="0" t="str">
        <f aca="false">"8 %"</f>
        <v>8 %</v>
      </c>
      <c r="N2032" s="0" t="str">
        <f aca="false">"0.63"</f>
        <v>0.63</v>
      </c>
      <c r="O2032" s="0" t="s">
        <v>7288</v>
      </c>
    </row>
    <row r="2033" customFormat="false" ht="13.8" hidden="false" customHeight="false" outlineLevel="0" collapsed="false">
      <c r="A2033" s="0" t="s">
        <v>7285</v>
      </c>
      <c r="D2033" s="0" t="s">
        <v>7289</v>
      </c>
      <c r="F2033" s="0" t="s">
        <v>7290</v>
      </c>
      <c r="G2033" s="0" t="n">
        <v>1</v>
      </c>
      <c r="H2033" s="0" t="s">
        <v>27</v>
      </c>
      <c r="J2033" s="0" t="s">
        <v>28</v>
      </c>
      <c r="L2033" s="0" t="str">
        <f aca="false">"0.74 V"</f>
        <v>0.74 V</v>
      </c>
      <c r="M2033" s="0" t="str">
        <f aca="false">"17.19 mA cm^{-2}"</f>
        <v>17.19 mA cm^{-2}</v>
      </c>
      <c r="O2033" s="0" t="s">
        <v>7291</v>
      </c>
    </row>
    <row r="2034" customFormat="false" ht="13.8" hidden="false" customHeight="false" outlineLevel="0" collapsed="false">
      <c r="A2034" s="0" t="s">
        <v>7292</v>
      </c>
      <c r="D2034" s="0" t="s">
        <v>16</v>
      </c>
      <c r="E2034" s="0" t="s">
        <v>17</v>
      </c>
      <c r="F2034" s="0" t="s">
        <v>116</v>
      </c>
      <c r="G2034" s="0" t="n">
        <v>0</v>
      </c>
      <c r="H2034" s="0" t="s">
        <v>7293</v>
      </c>
      <c r="J2034" s="0" t="s">
        <v>40</v>
      </c>
      <c r="K2034" s="0" t="str">
        <f aca="false">"1.1 %"</f>
        <v>1.1 %</v>
      </c>
      <c r="O2034" s="0" t="s">
        <v>7294</v>
      </c>
    </row>
    <row r="2035" customFormat="false" ht="13.8" hidden="false" customHeight="false" outlineLevel="0" collapsed="false">
      <c r="A2035" s="0" t="s">
        <v>7292</v>
      </c>
      <c r="D2035" s="0" t="s">
        <v>510</v>
      </c>
      <c r="E2035" s="0" t="s">
        <v>511</v>
      </c>
      <c r="F2035" s="0" t="s">
        <v>512</v>
      </c>
      <c r="G2035" s="0" t="n">
        <v>0</v>
      </c>
      <c r="H2035" s="0" t="s">
        <v>7293</v>
      </c>
      <c r="J2035" s="0" t="s">
        <v>40</v>
      </c>
      <c r="K2035" s="0" t="str">
        <f aca="false">"3.5 %"</f>
        <v>3.5 %</v>
      </c>
      <c r="O2035" s="0" t="s">
        <v>7295</v>
      </c>
    </row>
    <row r="2036" customFormat="false" ht="13.8" hidden="false" customHeight="false" outlineLevel="0" collapsed="false">
      <c r="A2036" s="0" t="s">
        <v>7296</v>
      </c>
      <c r="D2036" s="0" t="s">
        <v>201</v>
      </c>
      <c r="E2036" s="0" t="s">
        <v>202</v>
      </c>
      <c r="F2036" s="0" t="s">
        <v>422</v>
      </c>
      <c r="G2036" s="0" t="n">
        <v>1</v>
      </c>
      <c r="H2036" s="0" t="s">
        <v>27</v>
      </c>
      <c r="J2036" s="0" t="s">
        <v>28</v>
      </c>
      <c r="K2036" s="0" t="str">
        <f aca="false">"8.65 %"</f>
        <v>8.65 %</v>
      </c>
      <c r="O2036" s="0" t="s">
        <v>7297</v>
      </c>
    </row>
    <row r="2037" customFormat="false" ht="13.8" hidden="false" customHeight="false" outlineLevel="0" collapsed="false">
      <c r="A2037" s="0" t="s">
        <v>7298</v>
      </c>
      <c r="D2037" s="0" t="s">
        <v>7299</v>
      </c>
      <c r="F2037" s="0" t="s">
        <v>7300</v>
      </c>
      <c r="G2037" s="0" t="n">
        <v>1</v>
      </c>
      <c r="H2037" s="0" t="s">
        <v>27</v>
      </c>
      <c r="J2037" s="0" t="s">
        <v>28</v>
      </c>
      <c r="K2037" s="0" t="str">
        <f aca="false">"5.55 %"</f>
        <v>5.55 %</v>
      </c>
      <c r="N2037" s="0" t="str">
        <f aca="false">"0.73"</f>
        <v>0.73</v>
      </c>
      <c r="O2037" s="0" t="s">
        <v>7301</v>
      </c>
    </row>
    <row r="2038" customFormat="false" ht="13.8" hidden="false" customHeight="false" outlineLevel="0" collapsed="false">
      <c r="A2038" s="0" t="s">
        <v>7302</v>
      </c>
      <c r="D2038" s="0" t="s">
        <v>7303</v>
      </c>
      <c r="F2038" s="0" t="s">
        <v>7304</v>
      </c>
      <c r="G2038" s="0" t="n">
        <v>1</v>
      </c>
      <c r="H2038" s="0" t="s">
        <v>33</v>
      </c>
      <c r="J2038" s="0" t="s">
        <v>40</v>
      </c>
      <c r="K2038" s="0" t="str">
        <f aca="false">"5.33 %"</f>
        <v>5.33 %</v>
      </c>
      <c r="O2038" s="0" t="s">
        <v>7305</v>
      </c>
    </row>
    <row r="2039" customFormat="false" ht="13.8" hidden="false" customHeight="false" outlineLevel="0" collapsed="false">
      <c r="A2039" s="0" t="s">
        <v>7302</v>
      </c>
      <c r="D2039" s="0" t="s">
        <v>201</v>
      </c>
      <c r="E2039" s="0" t="s">
        <v>202</v>
      </c>
      <c r="F2039" s="0" t="s">
        <v>422</v>
      </c>
      <c r="G2039" s="0" t="n">
        <v>1</v>
      </c>
      <c r="H2039" s="0" t="s">
        <v>33</v>
      </c>
      <c r="J2039" s="0" t="s">
        <v>40</v>
      </c>
      <c r="K2039" s="0" t="str">
        <f aca="false">"4.12 %"</f>
        <v>4.12 %</v>
      </c>
      <c r="O2039" s="0" t="s">
        <v>7306</v>
      </c>
    </row>
    <row r="2040" customFormat="false" ht="13.8" hidden="false" customHeight="false" outlineLevel="0" collapsed="false">
      <c r="A2040" s="0" t="s">
        <v>7307</v>
      </c>
      <c r="D2040" s="0" t="s">
        <v>201</v>
      </c>
      <c r="E2040" s="0" t="s">
        <v>202</v>
      </c>
      <c r="F2040" s="0" t="s">
        <v>422</v>
      </c>
      <c r="G2040" s="0" t="n">
        <v>1</v>
      </c>
      <c r="H2040" s="0" t="s">
        <v>27</v>
      </c>
      <c r="J2040" s="0" t="s">
        <v>28</v>
      </c>
      <c r="K2040" s="0" t="str">
        <f aca="false">"9.44 %"</f>
        <v>9.44 %</v>
      </c>
      <c r="O2040" s="0" t="s">
        <v>7308</v>
      </c>
    </row>
    <row r="2041" customFormat="false" ht="13.8" hidden="false" customHeight="false" outlineLevel="0" collapsed="false">
      <c r="A2041" s="0" t="s">
        <v>7309</v>
      </c>
      <c r="D2041" s="0" t="s">
        <v>109</v>
      </c>
      <c r="E2041" s="0" t="s">
        <v>110</v>
      </c>
      <c r="F2041" s="0" t="s">
        <v>111</v>
      </c>
      <c r="G2041" s="0" t="n">
        <v>1</v>
      </c>
      <c r="H2041" s="0" t="s">
        <v>27</v>
      </c>
      <c r="J2041" s="0" t="s">
        <v>28</v>
      </c>
      <c r="K2041" s="0" t="str">
        <f aca="false">"6.88 %"</f>
        <v>6.88 %</v>
      </c>
      <c r="O2041" s="0" t="s">
        <v>7310</v>
      </c>
    </row>
    <row r="2042" customFormat="false" ht="13.8" hidden="false" customHeight="false" outlineLevel="0" collapsed="false">
      <c r="A2042" s="0" t="s">
        <v>7309</v>
      </c>
      <c r="D2042" s="0" t="s">
        <v>85</v>
      </c>
      <c r="E2042" s="0" t="s">
        <v>86</v>
      </c>
      <c r="F2042" s="0" t="s">
        <v>87</v>
      </c>
      <c r="G2042" s="0" t="n">
        <v>1</v>
      </c>
      <c r="H2042" s="0" t="s">
        <v>27</v>
      </c>
      <c r="J2042" s="0" t="s">
        <v>28</v>
      </c>
      <c r="K2042" s="0" t="str">
        <f aca="false">"6.00 %"</f>
        <v>6.00 %</v>
      </c>
      <c r="O2042" s="0" t="s">
        <v>7311</v>
      </c>
    </row>
    <row r="2043" customFormat="false" ht="13.8" hidden="false" customHeight="false" outlineLevel="0" collapsed="false">
      <c r="A2043" s="0" t="s">
        <v>7312</v>
      </c>
      <c r="D2043" s="0" t="s">
        <v>7313</v>
      </c>
      <c r="F2043" s="0" t="s">
        <v>7314</v>
      </c>
      <c r="G2043" s="0" t="n">
        <v>0</v>
      </c>
      <c r="H2043" s="0" t="s">
        <v>7315</v>
      </c>
      <c r="J2043" s="0" t="s">
        <v>7314</v>
      </c>
      <c r="K2043" s="0" t="str">
        <f aca="false">"12.36 %"</f>
        <v>12.36 %</v>
      </c>
      <c r="O2043" s="0" t="s">
        <v>7316</v>
      </c>
    </row>
    <row r="2044" customFormat="false" ht="13.8" hidden="false" customHeight="false" outlineLevel="0" collapsed="false">
      <c r="A2044" s="0" t="s">
        <v>7312</v>
      </c>
      <c r="D2044" s="0" t="s">
        <v>5364</v>
      </c>
      <c r="F2044" s="0" t="s">
        <v>5366</v>
      </c>
      <c r="G2044" s="0" t="n">
        <v>0</v>
      </c>
      <c r="H2044" s="0" t="s">
        <v>7315</v>
      </c>
      <c r="J2044" s="0" t="s">
        <v>7314</v>
      </c>
      <c r="K2044" s="0" t="str">
        <f aca="false">"10.35 %"</f>
        <v>10.35 %</v>
      </c>
      <c r="O2044" s="0" t="s">
        <v>7317</v>
      </c>
    </row>
    <row r="2045" customFormat="false" ht="13.8" hidden="false" customHeight="false" outlineLevel="0" collapsed="false">
      <c r="A2045" s="0" t="s">
        <v>7318</v>
      </c>
      <c r="D2045" s="0" t="s">
        <v>7319</v>
      </c>
      <c r="F2045" s="0" t="s">
        <v>7320</v>
      </c>
      <c r="G2045" s="0" t="n">
        <v>0</v>
      </c>
      <c r="H2045" s="0" t="s">
        <v>163</v>
      </c>
      <c r="I2045" s="0" t="s">
        <v>164</v>
      </c>
      <c r="J2045" s="0" t="s">
        <v>165</v>
      </c>
      <c r="K2045" s="0" t="str">
        <f aca="false">"12.12 %"</f>
        <v>12.12 %</v>
      </c>
      <c r="O2045" s="0" t="s">
        <v>7321</v>
      </c>
    </row>
    <row r="2046" customFormat="false" ht="13.8" hidden="false" customHeight="false" outlineLevel="0" collapsed="false">
      <c r="A2046" s="0" t="s">
        <v>7322</v>
      </c>
      <c r="D2046" s="0" t="s">
        <v>7323</v>
      </c>
      <c r="F2046" s="0" t="s">
        <v>7324</v>
      </c>
      <c r="G2046" s="0" t="n">
        <v>0</v>
      </c>
      <c r="H2046" s="0" t="s">
        <v>7325</v>
      </c>
      <c r="J2046" s="0" t="s">
        <v>40</v>
      </c>
      <c r="K2046" s="0" t="str">
        <f aca="false">"4.2 %"</f>
        <v>4.2 %</v>
      </c>
      <c r="L2046" s="0" t="str">
        <f aca="false">"1.07 V"</f>
        <v>1.07 V</v>
      </c>
      <c r="O2046" s="0" t="s">
        <v>7326</v>
      </c>
    </row>
    <row r="2047" customFormat="false" ht="13.8" hidden="false" customHeight="false" outlineLevel="0" collapsed="false">
      <c r="A2047" s="0" t="s">
        <v>7327</v>
      </c>
      <c r="D2047" s="0" t="s">
        <v>16</v>
      </c>
      <c r="E2047" s="0" t="s">
        <v>17</v>
      </c>
      <c r="F2047" s="0" t="s">
        <v>116</v>
      </c>
      <c r="G2047" s="0" t="n">
        <v>1</v>
      </c>
      <c r="H2047" s="0" t="s">
        <v>1457</v>
      </c>
      <c r="J2047" s="0" t="s">
        <v>2016</v>
      </c>
      <c r="K2047" s="0" t="str">
        <f aca="false">"6.57 %"</f>
        <v>6.57 %</v>
      </c>
      <c r="O2047" s="0" t="s">
        <v>7328</v>
      </c>
    </row>
    <row r="2048" customFormat="false" ht="13.8" hidden="false" customHeight="false" outlineLevel="0" collapsed="false">
      <c r="A2048" s="0" t="s">
        <v>7329</v>
      </c>
      <c r="D2048" s="0" t="s">
        <v>124</v>
      </c>
      <c r="F2048" s="0" t="s">
        <v>427</v>
      </c>
      <c r="G2048" s="0" t="n">
        <v>1</v>
      </c>
      <c r="H2048" s="0" t="s">
        <v>27</v>
      </c>
      <c r="J2048" s="0" t="s">
        <v>28</v>
      </c>
      <c r="K2048" s="0" t="str">
        <f aca="false">"7.30 %"</f>
        <v>7.30 %</v>
      </c>
      <c r="L2048" s="0" t="str">
        <f aca="false">"0.81 V"</f>
        <v>0.81 V</v>
      </c>
      <c r="M2048" s="0" t="str">
        <f aca="false">"13.86 mA cm^{-2}"</f>
        <v>13.86 mA cm^{-2}</v>
      </c>
      <c r="N2048" s="0" t="str">
        <f aca="false">"65 %"</f>
        <v>65 %</v>
      </c>
      <c r="O2048" s="0" t="s">
        <v>7330</v>
      </c>
    </row>
    <row r="2049" customFormat="false" ht="13.8" hidden="false" customHeight="false" outlineLevel="0" collapsed="false">
      <c r="A2049" s="0" t="s">
        <v>7331</v>
      </c>
      <c r="D2049" s="0" t="s">
        <v>2180</v>
      </c>
      <c r="F2049" s="0" t="s">
        <v>40</v>
      </c>
      <c r="G2049" s="0" t="n">
        <v>1</v>
      </c>
      <c r="H2049" s="0" t="s">
        <v>33</v>
      </c>
      <c r="J2049" s="0" t="s">
        <v>40</v>
      </c>
      <c r="K2049" s="0" t="str">
        <f aca="false">"1.40 %"</f>
        <v>1.40 %</v>
      </c>
      <c r="L2049" s="0" t="str">
        <f aca="false">"0.56 V"</f>
        <v>0.56 V</v>
      </c>
      <c r="M2049" s="0" t="str">
        <f aca="false">"-8.18 mA cm^{-2}"</f>
        <v>-8.18 mA cm^{-2}</v>
      </c>
      <c r="N2049" s="0" t="str">
        <f aca="false">"30.7 %"</f>
        <v>30.7 %</v>
      </c>
      <c r="O2049" s="0" t="s">
        <v>7332</v>
      </c>
    </row>
    <row r="2050" customFormat="false" ht="13.8" hidden="false" customHeight="false" outlineLevel="0" collapsed="false">
      <c r="A2050" s="0" t="s">
        <v>7333</v>
      </c>
      <c r="D2050" s="0" t="s">
        <v>16</v>
      </c>
      <c r="E2050" s="0" t="s">
        <v>17</v>
      </c>
      <c r="F2050" s="0" t="s">
        <v>7334</v>
      </c>
      <c r="G2050" s="0" t="n">
        <v>1</v>
      </c>
      <c r="H2050" s="0" t="s">
        <v>33</v>
      </c>
      <c r="J2050" s="0" t="s">
        <v>34</v>
      </c>
      <c r="K2050" s="0" t="str">
        <f aca="false">"3.0 %"</f>
        <v>3.0 %</v>
      </c>
      <c r="O2050" s="0" t="s">
        <v>7335</v>
      </c>
    </row>
    <row r="2051" customFormat="false" ht="13.8" hidden="false" customHeight="false" outlineLevel="0" collapsed="false">
      <c r="A2051" s="0" t="s">
        <v>7336</v>
      </c>
      <c r="D2051" s="0" t="s">
        <v>201</v>
      </c>
      <c r="E2051" s="0" t="s">
        <v>202</v>
      </c>
      <c r="F2051" s="0" t="s">
        <v>422</v>
      </c>
      <c r="G2051" s="0" t="n">
        <v>0</v>
      </c>
      <c r="H2051" s="0" t="s">
        <v>7337</v>
      </c>
      <c r="J2051" s="0" t="s">
        <v>7338</v>
      </c>
      <c r="K2051" s="0" t="str">
        <f aca="false">"6.19 %"</f>
        <v>6.19 %</v>
      </c>
      <c r="O2051" s="0" t="s">
        <v>7339</v>
      </c>
    </row>
    <row r="2052" customFormat="false" ht="13.8" hidden="false" customHeight="false" outlineLevel="0" collapsed="false">
      <c r="A2052" s="0" t="s">
        <v>7340</v>
      </c>
      <c r="D2052" s="0" t="s">
        <v>7341</v>
      </c>
      <c r="F2052" s="0" t="s">
        <v>7342</v>
      </c>
      <c r="G2052" s="0" t="n">
        <v>1</v>
      </c>
      <c r="H2052" s="0" t="s">
        <v>27</v>
      </c>
      <c r="J2052" s="0" t="s">
        <v>28</v>
      </c>
      <c r="K2052" s="0" t="str">
        <f aca="false">"11.1 %"</f>
        <v>11.1 %</v>
      </c>
      <c r="M2052" s="0" t="str">
        <f aca="false">"18.92 mA cm^{-2}"</f>
        <v>18.92 mA cm^{-2}</v>
      </c>
      <c r="N2052" s="0" t="str">
        <f aca="false">"76.14 %"</f>
        <v>76.14 %</v>
      </c>
      <c r="O2052" s="0" t="s">
        <v>7343</v>
      </c>
    </row>
    <row r="2053" customFormat="false" ht="13.8" hidden="false" customHeight="false" outlineLevel="0" collapsed="false">
      <c r="A2053" s="0" t="s">
        <v>7344</v>
      </c>
      <c r="D2053" s="0" t="s">
        <v>201</v>
      </c>
      <c r="E2053" s="0" t="s">
        <v>202</v>
      </c>
      <c r="F2053" s="0" t="s">
        <v>422</v>
      </c>
      <c r="G2053" s="0" t="n">
        <v>1</v>
      </c>
      <c r="H2053" s="0" t="s">
        <v>27</v>
      </c>
      <c r="J2053" s="0" t="s">
        <v>28</v>
      </c>
      <c r="K2053" s="0" t="str">
        <f aca="false">"8.69 %"</f>
        <v>8.69 %</v>
      </c>
      <c r="O2053" s="0" t="s">
        <v>7345</v>
      </c>
    </row>
    <row r="2054" customFormat="false" ht="13.8" hidden="false" customHeight="false" outlineLevel="0" collapsed="false">
      <c r="A2054" s="0" t="s">
        <v>7346</v>
      </c>
      <c r="D2054" s="0" t="s">
        <v>7347</v>
      </c>
      <c r="F2054" s="0" t="s">
        <v>7348</v>
      </c>
      <c r="G2054" s="0" t="n">
        <v>0</v>
      </c>
      <c r="H2054" s="0" t="s">
        <v>7349</v>
      </c>
      <c r="J2054" s="0" t="s">
        <v>40</v>
      </c>
      <c r="K2054" s="0" t="str">
        <f aca="false">"6.94 %"</f>
        <v>6.94 %</v>
      </c>
      <c r="O2054" s="0" t="s">
        <v>7350</v>
      </c>
    </row>
    <row r="2055" customFormat="false" ht="13.8" hidden="false" customHeight="false" outlineLevel="0" collapsed="false">
      <c r="A2055" s="0" t="s">
        <v>7346</v>
      </c>
      <c r="D2055" s="0" t="s">
        <v>7351</v>
      </c>
      <c r="F2055" s="0" t="s">
        <v>40</v>
      </c>
      <c r="G2055" s="0" t="n">
        <v>0</v>
      </c>
      <c r="H2055" s="0" t="s">
        <v>7349</v>
      </c>
      <c r="J2055" s="0" t="s">
        <v>40</v>
      </c>
      <c r="K2055" s="0" t="str">
        <f aca="false">"4.89 %"</f>
        <v>4.89 %</v>
      </c>
      <c r="L2055" s="0" t="str">
        <f aca="false">"~0.8 V"</f>
        <v>~0.8 V</v>
      </c>
      <c r="O2055" s="0" t="s">
        <v>7352</v>
      </c>
    </row>
    <row r="2056" customFormat="false" ht="13.8" hidden="false" customHeight="false" outlineLevel="0" collapsed="false">
      <c r="A2056" s="0" t="s">
        <v>7353</v>
      </c>
      <c r="D2056" s="0" t="s">
        <v>6169</v>
      </c>
      <c r="F2056" s="0" t="s">
        <v>7354</v>
      </c>
      <c r="G2056" s="0" t="n">
        <v>1</v>
      </c>
      <c r="H2056" s="0" t="s">
        <v>76</v>
      </c>
      <c r="J2056" s="0" t="s">
        <v>77</v>
      </c>
      <c r="K2056" s="0" t="str">
        <f aca="false">"4.56 %"</f>
        <v>4.56 %</v>
      </c>
      <c r="O2056" s="0" t="s">
        <v>7355</v>
      </c>
    </row>
    <row r="2057" customFormat="false" ht="13.8" hidden="false" customHeight="false" outlineLevel="0" collapsed="false">
      <c r="A2057" s="0" t="s">
        <v>7353</v>
      </c>
      <c r="D2057" s="0" t="s">
        <v>16</v>
      </c>
      <c r="E2057" s="0" t="s">
        <v>17</v>
      </c>
      <c r="F2057" s="0" t="s">
        <v>116</v>
      </c>
      <c r="G2057" s="0" t="n">
        <v>1</v>
      </c>
      <c r="H2057" s="0" t="s">
        <v>76</v>
      </c>
      <c r="J2057" s="0" t="s">
        <v>77</v>
      </c>
      <c r="L2057" s="0" t="str">
        <f aca="false">"0.96 V"</f>
        <v>0.96 V</v>
      </c>
      <c r="M2057" s="0" t="str">
        <f aca="false">"2.85 mA cm^{-2}"</f>
        <v>2.85 mA cm^{-2}</v>
      </c>
      <c r="N2057" s="0" t="str">
        <f aca="false">"35 %"</f>
        <v>35 %</v>
      </c>
      <c r="O2057" s="0" t="s">
        <v>7356</v>
      </c>
    </row>
    <row r="2058" customFormat="false" ht="13.8" hidden="false" customHeight="false" outlineLevel="0" collapsed="false">
      <c r="A2058" s="0" t="s">
        <v>7357</v>
      </c>
      <c r="D2058" s="0" t="s">
        <v>7358</v>
      </c>
      <c r="F2058" s="0" t="s">
        <v>7359</v>
      </c>
      <c r="G2058" s="0" t="n">
        <v>1</v>
      </c>
      <c r="H2058" s="0" t="s">
        <v>27</v>
      </c>
      <c r="J2058" s="0" t="s">
        <v>28</v>
      </c>
      <c r="K2058" s="0" t="str">
        <f aca="false">"3.6 %"</f>
        <v>3.6 %</v>
      </c>
      <c r="L2058" s="0" t="str">
        <f aca="false">"0.85 V"</f>
        <v>0.85 V</v>
      </c>
      <c r="M2058" s="0" t="str">
        <f aca="false">"7.6 mA cm^{-2}"</f>
        <v>7.6 mA cm^{-2}</v>
      </c>
      <c r="N2058" s="0" t="str">
        <f aca="false">"54.9 %"</f>
        <v>54.9 %</v>
      </c>
      <c r="O2058" s="0" t="s">
        <v>7360</v>
      </c>
    </row>
    <row r="2059" customFormat="false" ht="13.8" hidden="false" customHeight="false" outlineLevel="0" collapsed="false">
      <c r="A2059" s="0" t="s">
        <v>7361</v>
      </c>
      <c r="D2059" s="0" t="s">
        <v>201</v>
      </c>
      <c r="E2059" s="0" t="s">
        <v>202</v>
      </c>
      <c r="F2059" s="0" t="s">
        <v>422</v>
      </c>
      <c r="G2059" s="0" t="n">
        <v>0</v>
      </c>
      <c r="H2059" s="0" t="s">
        <v>4667</v>
      </c>
      <c r="J2059" s="0" t="s">
        <v>4668</v>
      </c>
      <c r="K2059" s="0" t="str">
        <f aca="false">"6.8 %"</f>
        <v>6.8 %</v>
      </c>
      <c r="O2059" s="0" t="s">
        <v>7362</v>
      </c>
    </row>
    <row r="2060" customFormat="false" ht="13.8" hidden="false" customHeight="false" outlineLevel="0" collapsed="false">
      <c r="A2060" s="0" t="s">
        <v>7363</v>
      </c>
      <c r="D2060" s="0" t="s">
        <v>1154</v>
      </c>
      <c r="F2060" s="0" t="s">
        <v>7364</v>
      </c>
      <c r="G2060" s="0" t="n">
        <v>1</v>
      </c>
      <c r="H2060" s="0" t="s">
        <v>27</v>
      </c>
      <c r="J2060" s="0" t="s">
        <v>28</v>
      </c>
      <c r="K2060" s="0" t="str">
        <f aca="false">"5 %"</f>
        <v>5 %</v>
      </c>
      <c r="O2060" s="0" t="s">
        <v>7365</v>
      </c>
    </row>
    <row r="2061" customFormat="false" ht="13.8" hidden="false" customHeight="false" outlineLevel="0" collapsed="false">
      <c r="A2061" s="0" t="s">
        <v>7366</v>
      </c>
      <c r="D2061" s="0" t="s">
        <v>16</v>
      </c>
      <c r="E2061" s="0" t="s">
        <v>17</v>
      </c>
      <c r="F2061" s="0" t="s">
        <v>101</v>
      </c>
      <c r="G2061" s="0" t="n">
        <v>0</v>
      </c>
      <c r="H2061" s="0" t="s">
        <v>7367</v>
      </c>
      <c r="J2061" s="0" t="s">
        <v>7368</v>
      </c>
      <c r="K2061" s="0" t="str">
        <f aca="false">"0.43 %"</f>
        <v>0.43 %</v>
      </c>
      <c r="O2061" s="0" t="s">
        <v>7369</v>
      </c>
    </row>
    <row r="2062" customFormat="false" ht="13.8" hidden="false" customHeight="false" outlineLevel="0" collapsed="false">
      <c r="A2062" s="0" t="s">
        <v>7370</v>
      </c>
      <c r="D2062" s="0" t="s">
        <v>85</v>
      </c>
      <c r="E2062" s="0" t="s">
        <v>86</v>
      </c>
      <c r="F2062" s="0" t="s">
        <v>87</v>
      </c>
      <c r="G2062" s="0" t="n">
        <v>1</v>
      </c>
      <c r="H2062" s="0" t="s">
        <v>27</v>
      </c>
      <c r="J2062" s="0" t="s">
        <v>28</v>
      </c>
      <c r="K2062" s="0" t="str">
        <f aca="false">"10.55 %"</f>
        <v>10.55 %</v>
      </c>
      <c r="O2062" s="0" t="s">
        <v>7371</v>
      </c>
    </row>
    <row r="2063" customFormat="false" ht="13.8" hidden="false" customHeight="false" outlineLevel="0" collapsed="false">
      <c r="A2063" s="0" t="s">
        <v>7372</v>
      </c>
      <c r="D2063" s="0" t="s">
        <v>7373</v>
      </c>
      <c r="F2063" s="0" t="s">
        <v>40</v>
      </c>
      <c r="G2063" s="0" t="n">
        <v>1</v>
      </c>
      <c r="H2063" s="0" t="s">
        <v>27</v>
      </c>
      <c r="J2063" s="0" t="s">
        <v>28</v>
      </c>
      <c r="K2063" s="0" t="str">
        <f aca="false">"6.70 %"</f>
        <v>6.70 %</v>
      </c>
      <c r="L2063" s="0" t="str">
        <f aca="false">"0.838 V"</f>
        <v>0.838 V</v>
      </c>
      <c r="O2063" s="0" t="s">
        <v>7374</v>
      </c>
    </row>
    <row r="2064" customFormat="false" ht="13.8" hidden="false" customHeight="false" outlineLevel="0" collapsed="false">
      <c r="A2064" s="0" t="s">
        <v>7372</v>
      </c>
      <c r="D2064" s="0" t="s">
        <v>7375</v>
      </c>
      <c r="F2064" s="0" t="s">
        <v>40</v>
      </c>
      <c r="G2064" s="0" t="n">
        <v>1</v>
      </c>
      <c r="H2064" s="0" t="s">
        <v>27</v>
      </c>
      <c r="J2064" s="0" t="s">
        <v>28</v>
      </c>
      <c r="K2064" s="0" t="str">
        <f aca="false">"8.45 %"</f>
        <v>8.45 %</v>
      </c>
      <c r="L2064" s="0" t="str">
        <f aca="false">"0.873 V"</f>
        <v>0.873 V</v>
      </c>
      <c r="M2064" s="0" t="str">
        <f aca="false">"17.60 mA cm^{-2}"</f>
        <v>17.60 mA cm^{-2}</v>
      </c>
      <c r="N2064" s="0" t="str">
        <f aca="false">"65.37 %"</f>
        <v>65.37 %</v>
      </c>
      <c r="O2064" s="0" t="s">
        <v>7376</v>
      </c>
    </row>
    <row r="2065" customFormat="false" ht="13.8" hidden="false" customHeight="false" outlineLevel="0" collapsed="false">
      <c r="A2065" s="0" t="s">
        <v>7377</v>
      </c>
      <c r="D2065" s="0" t="s">
        <v>16</v>
      </c>
      <c r="E2065" s="0" t="s">
        <v>17</v>
      </c>
      <c r="F2065" s="0" t="s">
        <v>18</v>
      </c>
      <c r="G2065" s="0" t="n">
        <v>0</v>
      </c>
      <c r="H2065" s="0" t="s">
        <v>7378</v>
      </c>
      <c r="J2065" s="0" t="s">
        <v>7379</v>
      </c>
      <c r="K2065" s="0" t="str">
        <f aca="false">"0.81 %"</f>
        <v>0.81 %</v>
      </c>
      <c r="O2065" s="0" t="s">
        <v>7380</v>
      </c>
    </row>
    <row r="2066" customFormat="false" ht="13.8" hidden="false" customHeight="false" outlineLevel="0" collapsed="false">
      <c r="A2066" s="0" t="s">
        <v>7381</v>
      </c>
      <c r="D2066" s="0" t="s">
        <v>128</v>
      </c>
      <c r="F2066" s="0" t="s">
        <v>130</v>
      </c>
      <c r="G2066" s="0" t="n">
        <v>1</v>
      </c>
      <c r="H2066" s="0" t="s">
        <v>33</v>
      </c>
      <c r="J2066" s="0" t="s">
        <v>34</v>
      </c>
      <c r="K2066" s="0" t="str">
        <f aca="false">"3.45 %"</f>
        <v>3.45 %</v>
      </c>
      <c r="O2066" s="0" t="s">
        <v>7382</v>
      </c>
    </row>
    <row r="2067" customFormat="false" ht="13.8" hidden="false" customHeight="false" outlineLevel="0" collapsed="false">
      <c r="A2067" s="0" t="s">
        <v>7381</v>
      </c>
      <c r="D2067" s="0" t="s">
        <v>124</v>
      </c>
      <c r="F2067" s="0" t="s">
        <v>427</v>
      </c>
      <c r="G2067" s="0" t="n">
        <v>1</v>
      </c>
      <c r="H2067" s="0" t="s">
        <v>33</v>
      </c>
      <c r="J2067" s="0" t="s">
        <v>34</v>
      </c>
      <c r="K2067" s="0" t="str">
        <f aca="false">"1.58 %"</f>
        <v>1.58 %</v>
      </c>
      <c r="O2067" s="0" t="s">
        <v>7383</v>
      </c>
    </row>
    <row r="2068" customFormat="false" ht="13.8" hidden="false" customHeight="false" outlineLevel="0" collapsed="false">
      <c r="A2068" s="0" t="s">
        <v>7384</v>
      </c>
      <c r="D2068" s="0" t="s">
        <v>7385</v>
      </c>
      <c r="F2068" s="0" t="s">
        <v>7386</v>
      </c>
      <c r="G2068" s="0" t="n">
        <v>1</v>
      </c>
      <c r="H2068" s="0" t="s">
        <v>27</v>
      </c>
      <c r="J2068" s="0" t="s">
        <v>1274</v>
      </c>
      <c r="K2068" s="0" t="str">
        <f aca="false">"5.68 %"</f>
        <v>5.68 %</v>
      </c>
      <c r="M2068" s="0" t="str">
        <f aca="false">"15.62 mA cm^{-2}"</f>
        <v>15.62 mA cm^{-2}</v>
      </c>
      <c r="O2068" s="0" t="s">
        <v>7387</v>
      </c>
    </row>
    <row r="2069" customFormat="false" ht="13.8" hidden="false" customHeight="false" outlineLevel="0" collapsed="false">
      <c r="A2069" s="0" t="s">
        <v>7388</v>
      </c>
      <c r="D2069" s="0" t="s">
        <v>7389</v>
      </c>
      <c r="F2069" s="0" t="s">
        <v>40</v>
      </c>
      <c r="G2069" s="0" t="n">
        <v>1</v>
      </c>
      <c r="H2069" s="0" t="s">
        <v>27</v>
      </c>
      <c r="J2069" s="0" t="s">
        <v>28</v>
      </c>
      <c r="K2069" s="0" t="str">
        <f aca="false">"3.52 %"</f>
        <v>3.52 %</v>
      </c>
      <c r="O2069" s="0" t="s">
        <v>7390</v>
      </c>
    </row>
    <row r="2070" customFormat="false" ht="13.8" hidden="false" customHeight="false" outlineLevel="0" collapsed="false">
      <c r="A2070" s="0" t="s">
        <v>7391</v>
      </c>
      <c r="D2070" s="0" t="s">
        <v>201</v>
      </c>
      <c r="E2070" s="0" t="s">
        <v>202</v>
      </c>
      <c r="F2070" s="0" t="s">
        <v>7392</v>
      </c>
      <c r="G2070" s="0" t="n">
        <v>1</v>
      </c>
      <c r="H2070" s="0" t="s">
        <v>27</v>
      </c>
      <c r="J2070" s="0" t="s">
        <v>28</v>
      </c>
      <c r="K2070" s="0" t="str">
        <f aca="false">"10.02 %"</f>
        <v>10.02 %</v>
      </c>
      <c r="O2070" s="0" t="s">
        <v>7393</v>
      </c>
    </row>
    <row r="2071" customFormat="false" ht="13.8" hidden="false" customHeight="false" outlineLevel="0" collapsed="false">
      <c r="A2071" s="0" t="s">
        <v>7394</v>
      </c>
      <c r="D2071" s="0" t="s">
        <v>7395</v>
      </c>
      <c r="F2071" s="0" t="s">
        <v>7396</v>
      </c>
      <c r="G2071" s="0" t="n">
        <v>1</v>
      </c>
      <c r="H2071" s="0" t="s">
        <v>76</v>
      </c>
      <c r="J2071" s="0" t="s">
        <v>77</v>
      </c>
      <c r="K2071" s="0" t="str">
        <f aca="false">"6.41 %"</f>
        <v>6.41 %</v>
      </c>
      <c r="O2071" s="0" t="s">
        <v>7397</v>
      </c>
    </row>
    <row r="2072" customFormat="false" ht="13.8" hidden="false" customHeight="false" outlineLevel="0" collapsed="false">
      <c r="A2072" s="0" t="s">
        <v>7398</v>
      </c>
      <c r="D2072" s="0" t="s">
        <v>7399</v>
      </c>
      <c r="F2072" s="0" t="s">
        <v>7400</v>
      </c>
      <c r="G2072" s="0" t="n">
        <v>1</v>
      </c>
      <c r="H2072" s="0" t="s">
        <v>33</v>
      </c>
      <c r="J2072" s="0" t="s">
        <v>34</v>
      </c>
      <c r="M2072" s="0" t="str">
        <f aca="false">"~22 mA cm^{-2}"</f>
        <v>~22 mA cm^{-2}</v>
      </c>
      <c r="N2072" s="0" t="str">
        <f aca="false">"~61 %"</f>
        <v>~61 %</v>
      </c>
      <c r="O2072" s="0" t="s">
        <v>7401</v>
      </c>
    </row>
    <row r="2073" customFormat="false" ht="13.8" hidden="false" customHeight="false" outlineLevel="0" collapsed="false">
      <c r="A2073" s="0" t="s">
        <v>7398</v>
      </c>
      <c r="D2073" s="0" t="s">
        <v>7402</v>
      </c>
      <c r="F2073" s="0" t="s">
        <v>7400</v>
      </c>
      <c r="G2073" s="0" t="n">
        <v>1</v>
      </c>
      <c r="H2073" s="0" t="s">
        <v>33</v>
      </c>
      <c r="J2073" s="0" t="s">
        <v>34</v>
      </c>
      <c r="K2073" s="0" t="str">
        <f aca="false">"10.7 %"</f>
        <v>10.7 %</v>
      </c>
      <c r="O2073" s="0" t="s">
        <v>7403</v>
      </c>
    </row>
    <row r="2074" customFormat="false" ht="13.8" hidden="false" customHeight="false" outlineLevel="0" collapsed="false">
      <c r="A2074" s="0" t="s">
        <v>7404</v>
      </c>
      <c r="D2074" s="0" t="s">
        <v>7405</v>
      </c>
      <c r="E2074" s="0" t="s">
        <v>1438</v>
      </c>
      <c r="F2074" s="0" t="s">
        <v>7406</v>
      </c>
      <c r="G2074" s="0" t="n">
        <v>1</v>
      </c>
      <c r="H2074" s="0" t="s">
        <v>27</v>
      </c>
      <c r="J2074" s="0" t="s">
        <v>28</v>
      </c>
      <c r="K2074" s="0" t="str">
        <f aca="false">"6.06 %"</f>
        <v>6.06 %</v>
      </c>
      <c r="O2074" s="0" t="s">
        <v>7407</v>
      </c>
    </row>
    <row r="2075" customFormat="false" ht="13.8" hidden="false" customHeight="false" outlineLevel="0" collapsed="false">
      <c r="A2075" s="0" t="s">
        <v>7408</v>
      </c>
      <c r="D2075" s="0" t="s">
        <v>7409</v>
      </c>
      <c r="E2075" s="0" t="s">
        <v>7410</v>
      </c>
      <c r="F2075" s="0" t="s">
        <v>7411</v>
      </c>
      <c r="G2075" s="0" t="n">
        <v>1</v>
      </c>
      <c r="H2075" s="0" t="s">
        <v>27</v>
      </c>
      <c r="J2075" s="0" t="s">
        <v>28</v>
      </c>
      <c r="K2075" s="0" t="str">
        <f aca="false">"6.36 %"</f>
        <v>6.36 %</v>
      </c>
      <c r="L2075" s="0" t="str">
        <f aca="false">"0.78 V"</f>
        <v>0.78 V</v>
      </c>
      <c r="M2075" s="0" t="str">
        <f aca="false">"12.72 mA cm^{-2}"</f>
        <v>12.72 mA cm^{-2}</v>
      </c>
      <c r="N2075" s="0" t="str">
        <f aca="false">"64.3 %"</f>
        <v>64.3 %</v>
      </c>
      <c r="O2075" s="0" t="s">
        <v>7412</v>
      </c>
    </row>
    <row r="2076" customFormat="false" ht="13.8" hidden="false" customHeight="false" outlineLevel="0" collapsed="false">
      <c r="A2076" s="0" t="s">
        <v>7413</v>
      </c>
      <c r="D2076" s="0" t="s">
        <v>7414</v>
      </c>
      <c r="F2076" s="0" t="s">
        <v>7415</v>
      </c>
      <c r="G2076" s="0" t="n">
        <v>1</v>
      </c>
      <c r="H2076" s="0" t="s">
        <v>27</v>
      </c>
      <c r="J2076" s="0" t="s">
        <v>28</v>
      </c>
      <c r="K2076" s="0" t="str">
        <f aca="false">"7.02 %"</f>
        <v>7.02 %</v>
      </c>
      <c r="O2076" s="0" t="s">
        <v>7416</v>
      </c>
    </row>
    <row r="2077" customFormat="false" ht="13.8" hidden="false" customHeight="false" outlineLevel="0" collapsed="false">
      <c r="A2077" s="0" t="s">
        <v>7417</v>
      </c>
      <c r="D2077" s="0" t="s">
        <v>7418</v>
      </c>
      <c r="F2077" s="0" t="s">
        <v>40</v>
      </c>
      <c r="G2077" s="0" t="n">
        <v>0</v>
      </c>
      <c r="H2077" s="0" t="s">
        <v>4748</v>
      </c>
      <c r="J2077" s="0" t="s">
        <v>40</v>
      </c>
      <c r="K2077" s="0" t="str">
        <f aca="false">"5.23 %"</f>
        <v>5.23 %</v>
      </c>
      <c r="O2077" s="0" t="s">
        <v>7419</v>
      </c>
    </row>
    <row r="2078" customFormat="false" ht="13.8" hidden="false" customHeight="false" outlineLevel="0" collapsed="false">
      <c r="A2078" s="0" t="s">
        <v>7420</v>
      </c>
      <c r="D2078" s="0" t="s">
        <v>85</v>
      </c>
      <c r="E2078" s="0" t="s">
        <v>86</v>
      </c>
      <c r="F2078" s="0" t="s">
        <v>87</v>
      </c>
      <c r="G2078" s="0" t="n">
        <v>1</v>
      </c>
      <c r="H2078" s="0" t="s">
        <v>27</v>
      </c>
      <c r="J2078" s="0" t="s">
        <v>28</v>
      </c>
      <c r="K2078" s="0" t="str">
        <f aca="false">"10 %"</f>
        <v>10 %</v>
      </c>
      <c r="O2078" s="0" t="s">
        <v>7421</v>
      </c>
    </row>
    <row r="2079" customFormat="false" ht="13.8" hidden="false" customHeight="false" outlineLevel="0" collapsed="false">
      <c r="A2079" s="0" t="s">
        <v>7422</v>
      </c>
      <c r="D2079" s="0" t="s">
        <v>63</v>
      </c>
      <c r="E2079" s="0" t="s">
        <v>64</v>
      </c>
      <c r="F2079" s="0" t="s">
        <v>65</v>
      </c>
      <c r="G2079" s="0" t="n">
        <v>0</v>
      </c>
      <c r="H2079" s="0" t="s">
        <v>7423</v>
      </c>
      <c r="J2079" s="0" t="s">
        <v>40</v>
      </c>
      <c r="K2079" s="0" t="str">
        <f aca="false">"0.76-3.61 %"</f>
        <v>0.76-3.61 %</v>
      </c>
      <c r="O2079" s="0" t="s">
        <v>7424</v>
      </c>
    </row>
    <row r="2080" customFormat="false" ht="13.8" hidden="false" customHeight="false" outlineLevel="0" collapsed="false">
      <c r="A2080" s="0" t="s">
        <v>7425</v>
      </c>
      <c r="D2080" s="0" t="s">
        <v>7426</v>
      </c>
      <c r="F2080" s="0" t="s">
        <v>7427</v>
      </c>
      <c r="G2080" s="0" t="n">
        <v>1</v>
      </c>
      <c r="H2080" s="0" t="s">
        <v>27</v>
      </c>
      <c r="J2080" s="0" t="s">
        <v>28</v>
      </c>
      <c r="K2080" s="0" t="str">
        <f aca="false">"1.98 %"</f>
        <v>1.98 %</v>
      </c>
      <c r="L2080" s="0" t="str">
        <f aca="false">"0.88 V"</f>
        <v>0.88 V</v>
      </c>
      <c r="O2080" s="0" t="s">
        <v>7428</v>
      </c>
    </row>
    <row r="2081" customFormat="false" ht="13.8" hidden="false" customHeight="false" outlineLevel="0" collapsed="false">
      <c r="A2081" s="0" t="s">
        <v>7429</v>
      </c>
      <c r="D2081" s="0" t="s">
        <v>6007</v>
      </c>
      <c r="F2081" s="0" t="s">
        <v>40</v>
      </c>
      <c r="G2081" s="0" t="n">
        <v>1</v>
      </c>
      <c r="H2081" s="0" t="s">
        <v>27</v>
      </c>
      <c r="J2081" s="0" t="s">
        <v>28</v>
      </c>
      <c r="K2081" s="0" t="str">
        <f aca="false">"5.26 %"</f>
        <v>5.26 %</v>
      </c>
      <c r="O2081" s="0" t="s">
        <v>7430</v>
      </c>
    </row>
    <row r="2082" customFormat="false" ht="13.8" hidden="false" customHeight="false" outlineLevel="0" collapsed="false">
      <c r="A2082" s="0" t="s">
        <v>7431</v>
      </c>
      <c r="D2082" s="0" t="s">
        <v>16</v>
      </c>
      <c r="E2082" s="0" t="s">
        <v>17</v>
      </c>
      <c r="F2082" s="0" t="s">
        <v>18</v>
      </c>
      <c r="G2082" s="0" t="n">
        <v>1</v>
      </c>
      <c r="H2082" s="0" t="s">
        <v>33</v>
      </c>
      <c r="J2082" s="0" t="s">
        <v>34</v>
      </c>
      <c r="K2082" s="0" t="str">
        <f aca="false">"4.20 %"</f>
        <v>4.20 %</v>
      </c>
      <c r="O2082" s="0" t="s">
        <v>7432</v>
      </c>
    </row>
    <row r="2083" customFormat="false" ht="13.8" hidden="false" customHeight="false" outlineLevel="0" collapsed="false">
      <c r="A2083" s="0" t="s">
        <v>7433</v>
      </c>
      <c r="D2083" s="0" t="s">
        <v>201</v>
      </c>
      <c r="E2083" s="0" t="s">
        <v>202</v>
      </c>
      <c r="F2083" s="0" t="s">
        <v>422</v>
      </c>
      <c r="G2083" s="0" t="n">
        <v>1</v>
      </c>
      <c r="H2083" s="0" t="s">
        <v>33</v>
      </c>
      <c r="J2083" s="0" t="s">
        <v>34</v>
      </c>
      <c r="K2083" s="0" t="str">
        <f aca="false">"2.75 %"</f>
        <v>2.75 %</v>
      </c>
      <c r="L2083" s="0" t="str">
        <f aca="false">"0.80 V"</f>
        <v>0.80 V</v>
      </c>
      <c r="M2083" s="0" t="str">
        <f aca="false">"11.51 mA cm^{-2}"</f>
        <v>11.51 mA cm^{-2}</v>
      </c>
      <c r="N2083" s="0" t="str">
        <f aca="false">"51.1 %"</f>
        <v>51.1 %</v>
      </c>
      <c r="O2083" s="0" t="s">
        <v>7434</v>
      </c>
    </row>
    <row r="2084" customFormat="false" ht="13.8" hidden="false" customHeight="false" outlineLevel="0" collapsed="false">
      <c r="A2084" s="0" t="s">
        <v>7435</v>
      </c>
      <c r="D2084" s="0" t="s">
        <v>7436</v>
      </c>
      <c r="F2084" s="0" t="s">
        <v>7437</v>
      </c>
      <c r="G2084" s="0" t="n">
        <v>1</v>
      </c>
      <c r="H2084" s="0" t="s">
        <v>76</v>
      </c>
      <c r="J2084" s="0" t="s">
        <v>77</v>
      </c>
      <c r="K2084" s="0" t="str">
        <f aca="false">"7.46 %"</f>
        <v>7.46 %</v>
      </c>
      <c r="L2084" s="0" t="str">
        <f aca="false">"0.89 V"</f>
        <v>0.89 V</v>
      </c>
      <c r="M2084" s="0" t="str">
        <f aca="false">"14.50 mA cm^{-2}"</f>
        <v>14.50 mA cm^{-2}</v>
      </c>
      <c r="N2084" s="0" t="str">
        <f aca="false">"0.58"</f>
        <v>0.58</v>
      </c>
      <c r="O2084" s="0" t="s">
        <v>7438</v>
      </c>
    </row>
    <row r="2085" customFormat="false" ht="13.8" hidden="false" customHeight="false" outlineLevel="0" collapsed="false">
      <c r="A2085" s="0" t="s">
        <v>7439</v>
      </c>
      <c r="D2085" s="0" t="s">
        <v>7440</v>
      </c>
      <c r="F2085" s="0" t="s">
        <v>40</v>
      </c>
      <c r="G2085" s="0" t="n">
        <v>1</v>
      </c>
      <c r="H2085" s="0" t="s">
        <v>27</v>
      </c>
      <c r="J2085" s="0" t="s">
        <v>28</v>
      </c>
      <c r="O2085" s="0" t="s">
        <v>7441</v>
      </c>
    </row>
    <row r="2086" customFormat="false" ht="13.8" hidden="false" customHeight="false" outlineLevel="0" collapsed="false">
      <c r="A2086" s="0" t="s">
        <v>7442</v>
      </c>
      <c r="D2086" s="0" t="s">
        <v>1695</v>
      </c>
      <c r="F2086" s="0" t="s">
        <v>1697</v>
      </c>
      <c r="G2086" s="0" t="n">
        <v>0</v>
      </c>
      <c r="H2086" s="0" t="s">
        <v>7443</v>
      </c>
      <c r="J2086" s="0" t="s">
        <v>7444</v>
      </c>
      <c r="K2086" s="0" t="str">
        <f aca="false">"3.01 %"</f>
        <v>3.01 %</v>
      </c>
      <c r="L2086" s="0" t="str">
        <f aca="false">"0.68 V"</f>
        <v>0.68 V</v>
      </c>
      <c r="M2086" s="0" t="str">
        <f aca="false">"7.59 mA cm^{-2}"</f>
        <v>7.59 mA cm^{-2}</v>
      </c>
      <c r="N2086" s="0" t="str">
        <f aca="false">"0.58"</f>
        <v>0.58</v>
      </c>
      <c r="O2086" s="0" t="s">
        <v>7445</v>
      </c>
    </row>
    <row r="2087" customFormat="false" ht="13.8" hidden="false" customHeight="false" outlineLevel="0" collapsed="false">
      <c r="A2087" s="0" t="s">
        <v>7446</v>
      </c>
      <c r="D2087" s="0" t="s">
        <v>7375</v>
      </c>
      <c r="F2087" s="0" t="s">
        <v>7447</v>
      </c>
      <c r="G2087" s="0" t="n">
        <v>1</v>
      </c>
      <c r="H2087" s="0" t="s">
        <v>27</v>
      </c>
      <c r="J2087" s="0" t="s">
        <v>28</v>
      </c>
      <c r="K2087" s="0" t="str">
        <f aca="false">"7.68 %"</f>
        <v>7.68 %</v>
      </c>
      <c r="O2087" s="0" t="s">
        <v>7448</v>
      </c>
    </row>
    <row r="2088" customFormat="false" ht="13.8" hidden="false" customHeight="false" outlineLevel="0" collapsed="false">
      <c r="A2088" s="0" t="s">
        <v>7446</v>
      </c>
      <c r="F2088" s="0" t="s">
        <v>40</v>
      </c>
      <c r="G2088" s="0" t="n">
        <v>1</v>
      </c>
      <c r="H2088" s="0" t="s">
        <v>27</v>
      </c>
      <c r="J2088" s="0" t="s">
        <v>28</v>
      </c>
      <c r="K2088" s="0" t="str">
        <f aca="false">"6.6 %"</f>
        <v>6.6 %</v>
      </c>
      <c r="O2088" s="0" t="s">
        <v>7449</v>
      </c>
    </row>
    <row r="2089" customFormat="false" ht="13.8" hidden="false" customHeight="false" outlineLevel="0" collapsed="false">
      <c r="A2089" s="0" t="s">
        <v>7450</v>
      </c>
      <c r="D2089" s="0" t="s">
        <v>1695</v>
      </c>
      <c r="F2089" s="0" t="s">
        <v>1697</v>
      </c>
      <c r="G2089" s="0" t="n">
        <v>1</v>
      </c>
      <c r="H2089" s="0" t="s">
        <v>27</v>
      </c>
      <c r="J2089" s="0" t="s">
        <v>28</v>
      </c>
      <c r="K2089" s="0" t="str">
        <f aca="false">"2.1 %"</f>
        <v>2.1 %</v>
      </c>
      <c r="O2089" s="0" t="s">
        <v>7451</v>
      </c>
    </row>
    <row r="2090" customFormat="false" ht="13.8" hidden="false" customHeight="false" outlineLevel="0" collapsed="false">
      <c r="A2090" s="0" t="s">
        <v>7452</v>
      </c>
      <c r="D2090" s="0" t="s">
        <v>7453</v>
      </c>
      <c r="F2090" s="0" t="s">
        <v>7454</v>
      </c>
      <c r="G2090" s="0" t="n">
        <v>0</v>
      </c>
      <c r="H2090" s="0" t="s">
        <v>7455</v>
      </c>
      <c r="I2090" s="0" t="s">
        <v>7456</v>
      </c>
      <c r="J2090" s="0" t="s">
        <v>7457</v>
      </c>
      <c r="K2090" s="0" t="str">
        <f aca="false">"7.76 %"</f>
        <v>7.76 %</v>
      </c>
      <c r="M2090" s="0" t="str">
        <f aca="false">"17.48 mA cm^{-2}"</f>
        <v>17.48 mA cm^{-2}</v>
      </c>
      <c r="O2090" s="0" t="s">
        <v>7458</v>
      </c>
    </row>
    <row r="2091" customFormat="false" ht="13.8" hidden="false" customHeight="false" outlineLevel="0" collapsed="false">
      <c r="A2091" s="0" t="s">
        <v>7459</v>
      </c>
      <c r="D2091" s="0" t="s">
        <v>7460</v>
      </c>
      <c r="E2091" s="0" t="s">
        <v>7461</v>
      </c>
      <c r="F2091" s="0" t="s">
        <v>7462</v>
      </c>
      <c r="G2091" s="0" t="n">
        <v>0</v>
      </c>
      <c r="H2091" s="0" t="s">
        <v>7463</v>
      </c>
      <c r="J2091" s="0" t="s">
        <v>7464</v>
      </c>
      <c r="K2091" s="0" t="str">
        <f aca="false">"10.71 %"</f>
        <v>10.71 %</v>
      </c>
      <c r="O2091" s="0" t="s">
        <v>7465</v>
      </c>
    </row>
    <row r="2092" customFormat="false" ht="13.8" hidden="false" customHeight="false" outlineLevel="0" collapsed="false">
      <c r="A2092" s="0" t="s">
        <v>7466</v>
      </c>
      <c r="D2092" s="0" t="s">
        <v>7467</v>
      </c>
      <c r="E2092" s="0" t="s">
        <v>17</v>
      </c>
      <c r="F2092" s="0" t="s">
        <v>7468</v>
      </c>
      <c r="G2092" s="0" t="n">
        <v>1</v>
      </c>
      <c r="H2092" s="0" t="s">
        <v>27</v>
      </c>
      <c r="J2092" s="0" t="s">
        <v>40</v>
      </c>
      <c r="K2092" s="0" t="str">
        <f aca="false">"15 %"</f>
        <v>15 %</v>
      </c>
      <c r="O2092" s="0" t="s">
        <v>7469</v>
      </c>
    </row>
    <row r="2093" customFormat="false" ht="13.8" hidden="false" customHeight="false" outlineLevel="0" collapsed="false">
      <c r="A2093" s="0" t="s">
        <v>7470</v>
      </c>
      <c r="D2093" s="0" t="s">
        <v>85</v>
      </c>
      <c r="E2093" s="0" t="s">
        <v>86</v>
      </c>
      <c r="F2093" s="0" t="s">
        <v>87</v>
      </c>
      <c r="G2093" s="0" t="n">
        <v>1</v>
      </c>
      <c r="H2093" s="0" t="s">
        <v>27</v>
      </c>
      <c r="J2093" s="0" t="s">
        <v>28</v>
      </c>
      <c r="K2093" s="0" t="str">
        <f aca="false">"9.7 %"</f>
        <v>9.7 %</v>
      </c>
      <c r="O2093" s="0" t="s">
        <v>7471</v>
      </c>
    </row>
    <row r="2094" customFormat="false" ht="13.8" hidden="false" customHeight="false" outlineLevel="0" collapsed="false">
      <c r="A2094" s="0" t="s">
        <v>7472</v>
      </c>
      <c r="D2094" s="0" t="s">
        <v>85</v>
      </c>
      <c r="E2094" s="0" t="s">
        <v>86</v>
      </c>
      <c r="F2094" s="0" t="s">
        <v>87</v>
      </c>
      <c r="G2094" s="0" t="n">
        <v>1</v>
      </c>
      <c r="H2094" s="0" t="s">
        <v>33</v>
      </c>
      <c r="J2094" s="0" t="s">
        <v>34</v>
      </c>
      <c r="K2094" s="0" t="str">
        <f aca="false">"6.5 %"</f>
        <v>6.5 %</v>
      </c>
      <c r="O2094" s="0" t="s">
        <v>7473</v>
      </c>
    </row>
    <row r="2095" customFormat="false" ht="13.8" hidden="false" customHeight="false" outlineLevel="0" collapsed="false">
      <c r="A2095" s="0" t="s">
        <v>7472</v>
      </c>
      <c r="D2095" s="0" t="s">
        <v>16</v>
      </c>
      <c r="E2095" s="0" t="s">
        <v>17</v>
      </c>
      <c r="F2095" s="0" t="s">
        <v>116</v>
      </c>
      <c r="G2095" s="0" t="n">
        <v>1</v>
      </c>
      <c r="H2095" s="0" t="s">
        <v>33</v>
      </c>
      <c r="J2095" s="0" t="s">
        <v>34</v>
      </c>
      <c r="K2095" s="0" t="str">
        <f aca="false">"6.7 %"</f>
        <v>6.7 %</v>
      </c>
      <c r="O2095" s="0" t="s">
        <v>7474</v>
      </c>
    </row>
    <row r="2096" customFormat="false" ht="13.8" hidden="false" customHeight="false" outlineLevel="0" collapsed="false">
      <c r="A2096" s="0" t="s">
        <v>7475</v>
      </c>
      <c r="B2096" s="0" t="n">
        <v>1</v>
      </c>
      <c r="D2096" s="0" t="s">
        <v>7476</v>
      </c>
      <c r="E2096" s="0" t="s">
        <v>7477</v>
      </c>
      <c r="F2096" s="0" t="s">
        <v>7478</v>
      </c>
      <c r="G2096" s="0" t="n">
        <v>1</v>
      </c>
      <c r="H2096" s="0" t="s">
        <v>27</v>
      </c>
      <c r="J2096" s="0" t="s">
        <v>28</v>
      </c>
      <c r="K2096" s="0" t="str">
        <f aca="false">"5.04 %"</f>
        <v>5.04 %</v>
      </c>
      <c r="O2096" s="0" t="s">
        <v>7479</v>
      </c>
    </row>
    <row r="2097" customFormat="false" ht="13.8" hidden="false" customHeight="false" outlineLevel="0" collapsed="false">
      <c r="A2097" s="0" t="s">
        <v>7475</v>
      </c>
      <c r="B2097" s="0" t="n">
        <v>1</v>
      </c>
      <c r="D2097" s="0" t="s">
        <v>7480</v>
      </c>
      <c r="E2097" s="0" t="s">
        <v>7481</v>
      </c>
      <c r="F2097" s="0" t="s">
        <v>7482</v>
      </c>
      <c r="G2097" s="0" t="n">
        <v>1</v>
      </c>
      <c r="H2097" s="0" t="s">
        <v>27</v>
      </c>
      <c r="J2097" s="0" t="s">
        <v>28</v>
      </c>
      <c r="K2097" s="0" t="str">
        <f aca="false">"6.35 %"</f>
        <v>6.35 %</v>
      </c>
      <c r="O2097" s="0" t="s">
        <v>7483</v>
      </c>
    </row>
    <row r="2098" customFormat="false" ht="13.8" hidden="false" customHeight="false" outlineLevel="0" collapsed="false">
      <c r="A2098" s="0" t="s">
        <v>7484</v>
      </c>
      <c r="D2098" s="0" t="s">
        <v>7485</v>
      </c>
      <c r="F2098" s="0" t="s">
        <v>7486</v>
      </c>
      <c r="G2098" s="0" t="n">
        <v>1</v>
      </c>
      <c r="H2098" s="0" t="s">
        <v>33</v>
      </c>
      <c r="J2098" s="0" t="s">
        <v>34</v>
      </c>
      <c r="K2098" s="0" t="str">
        <f aca="false">"5.9 %"</f>
        <v>5.9 %</v>
      </c>
      <c r="L2098" s="0" t="str">
        <f aca="false">"0.84 V"</f>
        <v>0.84 V</v>
      </c>
      <c r="O2098" s="0" t="s">
        <v>7487</v>
      </c>
    </row>
    <row r="2099" customFormat="false" ht="13.8" hidden="false" customHeight="false" outlineLevel="0" collapsed="false">
      <c r="A2099" s="0" t="s">
        <v>7488</v>
      </c>
      <c r="D2099" s="0" t="s">
        <v>16</v>
      </c>
      <c r="E2099" s="0" t="s">
        <v>17</v>
      </c>
      <c r="F2099" s="0" t="s">
        <v>18</v>
      </c>
      <c r="G2099" s="0" t="n">
        <v>0</v>
      </c>
      <c r="H2099" s="0" t="s">
        <v>7489</v>
      </c>
      <c r="J2099" s="0" t="s">
        <v>7490</v>
      </c>
      <c r="K2099" s="0" t="str">
        <f aca="false">"~0.1 %"</f>
        <v>~0.1 %</v>
      </c>
      <c r="O2099" s="0" t="s">
        <v>7491</v>
      </c>
    </row>
    <row r="2100" customFormat="false" ht="13.8" hidden="false" customHeight="false" outlineLevel="0" collapsed="false">
      <c r="A2100" s="0" t="s">
        <v>7488</v>
      </c>
      <c r="D2100" s="0" t="s">
        <v>16</v>
      </c>
      <c r="E2100" s="0" t="s">
        <v>17</v>
      </c>
      <c r="F2100" s="0" t="s">
        <v>18</v>
      </c>
      <c r="G2100" s="0" t="n">
        <v>0</v>
      </c>
      <c r="H2100" s="0" t="s">
        <v>7492</v>
      </c>
      <c r="J2100" s="0" t="s">
        <v>7493</v>
      </c>
      <c r="K2100" s="0" t="str">
        <f aca="false">"~2.2 %"</f>
        <v>~2.2 %</v>
      </c>
      <c r="O2100" s="0" t="s">
        <v>7494</v>
      </c>
    </row>
    <row r="2101" customFormat="false" ht="13.8" hidden="false" customHeight="false" outlineLevel="0" collapsed="false">
      <c r="A2101" s="0" t="s">
        <v>7495</v>
      </c>
      <c r="D2101" s="0" t="s">
        <v>7496</v>
      </c>
      <c r="F2101" s="0" t="s">
        <v>7497</v>
      </c>
      <c r="G2101" s="0" t="n">
        <v>1</v>
      </c>
      <c r="H2101" s="0" t="s">
        <v>27</v>
      </c>
      <c r="J2101" s="0" t="s">
        <v>28</v>
      </c>
      <c r="K2101" s="0" t="str">
        <f aca="false">"8.91 %"</f>
        <v>8.91 %</v>
      </c>
      <c r="O2101" s="0" t="s">
        <v>7498</v>
      </c>
    </row>
    <row r="2102" customFormat="false" ht="13.8" hidden="false" customHeight="false" outlineLevel="0" collapsed="false">
      <c r="A2102" s="0" t="s">
        <v>7495</v>
      </c>
      <c r="D2102" s="0" t="s">
        <v>201</v>
      </c>
      <c r="E2102" s="0" t="s">
        <v>202</v>
      </c>
      <c r="F2102" s="0" t="s">
        <v>422</v>
      </c>
      <c r="G2102" s="0" t="n">
        <v>1</v>
      </c>
      <c r="H2102" s="0" t="s">
        <v>27</v>
      </c>
      <c r="J2102" s="0" t="s">
        <v>28</v>
      </c>
      <c r="K2102" s="0" t="str">
        <f aca="false">"76 %"</f>
        <v>76 %</v>
      </c>
      <c r="O2102" s="0" t="s">
        <v>7499</v>
      </c>
    </row>
    <row r="2103" customFormat="false" ht="13.8" hidden="false" customHeight="false" outlineLevel="0" collapsed="false">
      <c r="A2103" s="0" t="s">
        <v>7500</v>
      </c>
      <c r="D2103" s="0" t="s">
        <v>201</v>
      </c>
      <c r="E2103" s="0" t="s">
        <v>202</v>
      </c>
      <c r="F2103" s="0" t="s">
        <v>422</v>
      </c>
      <c r="G2103" s="0" t="n">
        <v>1</v>
      </c>
      <c r="H2103" s="0" t="s">
        <v>27</v>
      </c>
      <c r="J2103" s="0" t="s">
        <v>28</v>
      </c>
      <c r="K2103" s="0" t="str">
        <f aca="false">"10.15 %"</f>
        <v>10.15 %</v>
      </c>
      <c r="O2103" s="0" t="s">
        <v>7501</v>
      </c>
    </row>
    <row r="2104" customFormat="false" ht="13.8" hidden="false" customHeight="false" outlineLevel="0" collapsed="false">
      <c r="A2104" s="0" t="s">
        <v>7502</v>
      </c>
      <c r="D2104" s="0" t="s">
        <v>201</v>
      </c>
      <c r="E2104" s="0" t="s">
        <v>202</v>
      </c>
      <c r="F2104" s="0" t="s">
        <v>422</v>
      </c>
      <c r="G2104" s="0" t="n">
        <v>1</v>
      </c>
      <c r="H2104" s="0" t="s">
        <v>27</v>
      </c>
      <c r="J2104" s="0" t="s">
        <v>2066</v>
      </c>
      <c r="K2104" s="0" t="str">
        <f aca="false">"9.55 %"</f>
        <v>9.55 %</v>
      </c>
      <c r="O2104" s="0" t="s">
        <v>7503</v>
      </c>
    </row>
    <row r="2105" customFormat="false" ht="13.8" hidden="false" customHeight="false" outlineLevel="0" collapsed="false">
      <c r="A2105" s="0" t="s">
        <v>7502</v>
      </c>
      <c r="D2105" s="0" t="s">
        <v>31</v>
      </c>
      <c r="E2105" s="0" t="s">
        <v>17</v>
      </c>
      <c r="F2105" s="0" t="s">
        <v>32</v>
      </c>
      <c r="G2105" s="0" t="n">
        <v>1</v>
      </c>
      <c r="H2105" s="0" t="s">
        <v>27</v>
      </c>
      <c r="J2105" s="0" t="s">
        <v>2066</v>
      </c>
      <c r="K2105" s="0" t="str">
        <f aca="false">"4.18 %"</f>
        <v>4.18 %</v>
      </c>
      <c r="O2105" s="0" t="s">
        <v>7504</v>
      </c>
    </row>
    <row r="2106" customFormat="false" ht="13.8" hidden="false" customHeight="false" outlineLevel="0" collapsed="false">
      <c r="A2106" s="0" t="s">
        <v>7505</v>
      </c>
      <c r="D2106" s="0" t="s">
        <v>85</v>
      </c>
      <c r="E2106" s="0" t="s">
        <v>86</v>
      </c>
      <c r="F2106" s="0" t="s">
        <v>87</v>
      </c>
      <c r="G2106" s="0" t="n">
        <v>1</v>
      </c>
      <c r="H2106" s="0" t="s">
        <v>27</v>
      </c>
      <c r="J2106" s="0" t="s">
        <v>28</v>
      </c>
      <c r="K2106" s="0" t="str">
        <f aca="false">"8.39 %"</f>
        <v>8.39 %</v>
      </c>
      <c r="O2106" s="0" t="s">
        <v>7506</v>
      </c>
    </row>
    <row r="2107" customFormat="false" ht="13.8" hidden="false" customHeight="false" outlineLevel="0" collapsed="false">
      <c r="A2107" s="0" t="s">
        <v>7507</v>
      </c>
      <c r="D2107" s="0" t="s">
        <v>16</v>
      </c>
      <c r="E2107" s="0" t="s">
        <v>17</v>
      </c>
      <c r="F2107" s="0" t="s">
        <v>116</v>
      </c>
      <c r="G2107" s="0" t="n">
        <v>1</v>
      </c>
      <c r="H2107" s="0" t="s">
        <v>27</v>
      </c>
      <c r="J2107" s="0" t="s">
        <v>28</v>
      </c>
      <c r="K2107" s="0" t="str">
        <f aca="false">"80 %"</f>
        <v>80 %</v>
      </c>
      <c r="O2107" s="0" t="s">
        <v>7508</v>
      </c>
    </row>
    <row r="2108" customFormat="false" ht="13.8" hidden="false" customHeight="false" outlineLevel="0" collapsed="false">
      <c r="A2108" s="0" t="s">
        <v>7509</v>
      </c>
      <c r="D2108" s="0" t="s">
        <v>201</v>
      </c>
      <c r="E2108" s="0" t="s">
        <v>202</v>
      </c>
      <c r="F2108" s="0" t="s">
        <v>422</v>
      </c>
      <c r="G2108" s="0" t="n">
        <v>0</v>
      </c>
      <c r="H2108" s="0" t="s">
        <v>5180</v>
      </c>
      <c r="J2108" s="0" t="s">
        <v>7510</v>
      </c>
      <c r="K2108" s="0" t="str">
        <f aca="false">"6.44 %"</f>
        <v>6.44 %</v>
      </c>
      <c r="O2108" s="0" t="s">
        <v>7511</v>
      </c>
    </row>
    <row r="2109" customFormat="false" ht="13.8" hidden="false" customHeight="false" outlineLevel="0" collapsed="false">
      <c r="A2109" s="0" t="s">
        <v>7509</v>
      </c>
      <c r="D2109" s="0" t="s">
        <v>201</v>
      </c>
      <c r="E2109" s="0" t="s">
        <v>202</v>
      </c>
      <c r="F2109" s="0" t="s">
        <v>422</v>
      </c>
      <c r="G2109" s="0" t="n">
        <v>0</v>
      </c>
      <c r="H2109" s="0" t="s">
        <v>7512</v>
      </c>
      <c r="J2109" s="0" t="s">
        <v>7510</v>
      </c>
      <c r="K2109" s="0" t="str">
        <f aca="false">"2.48 %"</f>
        <v>2.48 %</v>
      </c>
      <c r="O2109" s="0" t="s">
        <v>7513</v>
      </c>
    </row>
    <row r="2110" customFormat="false" ht="13.8" hidden="false" customHeight="false" outlineLevel="0" collapsed="false">
      <c r="A2110" s="0" t="s">
        <v>7514</v>
      </c>
      <c r="D2110" s="0" t="s">
        <v>7515</v>
      </c>
      <c r="F2110" s="0" t="s">
        <v>7516</v>
      </c>
      <c r="G2110" s="0" t="n">
        <v>0</v>
      </c>
      <c r="H2110" s="0" t="s">
        <v>7517</v>
      </c>
      <c r="I2110" s="0" t="s">
        <v>679</v>
      </c>
      <c r="J2110" s="0" t="s">
        <v>7518</v>
      </c>
      <c r="K2110" s="0" t="str">
        <f aca="false">"14.5 %"</f>
        <v>14.5 %</v>
      </c>
      <c r="N2110" s="0" t="str">
        <f aca="false">"13.2 %"</f>
        <v>13.2 %</v>
      </c>
      <c r="O2110" s="0" t="s">
        <v>7519</v>
      </c>
    </row>
    <row r="2111" customFormat="false" ht="13.8" hidden="false" customHeight="false" outlineLevel="0" collapsed="false">
      <c r="A2111" s="0" t="s">
        <v>7514</v>
      </c>
      <c r="D2111" s="0" t="s">
        <v>7515</v>
      </c>
      <c r="F2111" s="0" t="s">
        <v>7516</v>
      </c>
      <c r="G2111" s="0" t="n">
        <v>0</v>
      </c>
      <c r="H2111" s="0" t="s">
        <v>678</v>
      </c>
      <c r="I2111" s="0" t="s">
        <v>679</v>
      </c>
      <c r="J2111" s="0" t="s">
        <v>7518</v>
      </c>
      <c r="N2111" s="0" t="str">
        <f aca="false">"76.5 %"</f>
        <v>76.5 %</v>
      </c>
      <c r="O2111" s="0" t="s">
        <v>7520</v>
      </c>
    </row>
    <row r="2112" customFormat="false" ht="13.8" hidden="false" customHeight="false" outlineLevel="0" collapsed="false">
      <c r="A2112" s="0" t="s">
        <v>7521</v>
      </c>
      <c r="B2112" s="0" t="n">
        <v>1</v>
      </c>
      <c r="D2112" s="0" t="s">
        <v>2023</v>
      </c>
      <c r="E2112" s="0" t="s">
        <v>2024</v>
      </c>
      <c r="F2112" s="0" t="s">
        <v>2025</v>
      </c>
      <c r="G2112" s="0" t="n">
        <v>0</v>
      </c>
      <c r="H2112" s="0" t="s">
        <v>1472</v>
      </c>
      <c r="I2112" s="18" t="s">
        <v>1473</v>
      </c>
      <c r="J2112" s="0" t="s">
        <v>5341</v>
      </c>
      <c r="K2112" s="0" t="str">
        <f aca="false">"10.39 %"</f>
        <v>10.39 %</v>
      </c>
      <c r="O2112" s="0" t="s">
        <v>7522</v>
      </c>
    </row>
    <row r="2113" customFormat="false" ht="13.8" hidden="false" customHeight="false" outlineLevel="0" collapsed="false">
      <c r="A2113" s="0" t="s">
        <v>7521</v>
      </c>
      <c r="B2113" s="0" t="n">
        <v>1</v>
      </c>
      <c r="D2113" s="0" t="s">
        <v>2023</v>
      </c>
      <c r="E2113" s="0" t="s">
        <v>2024</v>
      </c>
      <c r="F2113" s="0" t="s">
        <v>2025</v>
      </c>
      <c r="G2113" s="0" t="n">
        <v>1</v>
      </c>
      <c r="H2113" s="0" t="s">
        <v>27</v>
      </c>
      <c r="J2113" s="0" t="s">
        <v>28</v>
      </c>
      <c r="K2113" s="0" t="str">
        <f aca="false">"9.20 %"</f>
        <v>9.20 %</v>
      </c>
      <c r="O2113" s="0" t="s">
        <v>7523</v>
      </c>
    </row>
    <row r="2114" customFormat="false" ht="13.8" hidden="false" customHeight="false" outlineLevel="0" collapsed="false">
      <c r="A2114" s="0" t="s">
        <v>7524</v>
      </c>
      <c r="D2114" s="0" t="s">
        <v>16</v>
      </c>
      <c r="E2114" s="0" t="s">
        <v>17</v>
      </c>
      <c r="F2114" s="0" t="s">
        <v>18</v>
      </c>
      <c r="G2114" s="0" t="n">
        <v>0</v>
      </c>
      <c r="H2114" s="0" t="s">
        <v>7525</v>
      </c>
      <c r="J2114" s="0" t="s">
        <v>40</v>
      </c>
      <c r="K2114" s="0" t="str">
        <f aca="false">"2.37 %"</f>
        <v>2.37 %</v>
      </c>
      <c r="L2114" s="0" t="str">
        <f aca="false">"0.97 V"</f>
        <v>0.97 V</v>
      </c>
      <c r="M2114" s="0" t="str">
        <f aca="false">"6.25 mA cm^{-2}"</f>
        <v>6.25 mA cm^{-2}</v>
      </c>
      <c r="N2114" s="0" t="str">
        <f aca="false">"0.39"</f>
        <v>0.39</v>
      </c>
      <c r="O2114" s="0" t="s">
        <v>7526</v>
      </c>
    </row>
    <row r="2115" customFormat="false" ht="13.8" hidden="false" customHeight="false" outlineLevel="0" collapsed="false">
      <c r="A2115" s="0" t="s">
        <v>7527</v>
      </c>
      <c r="D2115" s="0" t="s">
        <v>7528</v>
      </c>
      <c r="F2115" s="0" t="s">
        <v>7529</v>
      </c>
      <c r="G2115" s="0" t="n">
        <v>1</v>
      </c>
      <c r="H2115" s="0" t="s">
        <v>66</v>
      </c>
      <c r="J2115" s="0" t="s">
        <v>67</v>
      </c>
      <c r="K2115" s="0" t="str">
        <f aca="false">"4.25 %"</f>
        <v>4.25 %</v>
      </c>
      <c r="O2115" s="0" t="s">
        <v>7530</v>
      </c>
    </row>
    <row r="2116" customFormat="false" ht="13.8" hidden="false" customHeight="false" outlineLevel="0" collapsed="false">
      <c r="A2116" s="0" t="s">
        <v>7531</v>
      </c>
      <c r="D2116" s="0" t="s">
        <v>16</v>
      </c>
      <c r="E2116" s="0" t="s">
        <v>17</v>
      </c>
      <c r="F2116" s="0" t="s">
        <v>7532</v>
      </c>
      <c r="G2116" s="0" t="n">
        <v>1</v>
      </c>
      <c r="H2116" s="0" t="s">
        <v>33</v>
      </c>
      <c r="J2116" s="0" t="s">
        <v>34</v>
      </c>
      <c r="K2116" s="0" t="str">
        <f aca="false">"4.46 %"</f>
        <v>4.46 %</v>
      </c>
      <c r="M2116" s="0" t="str">
        <f aca="false">"16.15 mA cm^{-2}"</f>
        <v>16.15 mA cm^{-2}</v>
      </c>
      <c r="O2116" s="0" t="s">
        <v>7533</v>
      </c>
    </row>
    <row r="2117" customFormat="false" ht="13.8" hidden="false" customHeight="false" outlineLevel="0" collapsed="false">
      <c r="A2117" s="0" t="s">
        <v>7534</v>
      </c>
      <c r="D2117" s="0" t="s">
        <v>7535</v>
      </c>
      <c r="F2117" s="0" t="s">
        <v>7536</v>
      </c>
      <c r="G2117" s="0" t="n">
        <v>0</v>
      </c>
      <c r="H2117" s="0" t="s">
        <v>599</v>
      </c>
      <c r="I2117" s="0" t="s">
        <v>600</v>
      </c>
      <c r="J2117" s="0" t="s">
        <v>601</v>
      </c>
      <c r="K2117" s="0" t="str">
        <f aca="false">"15.22 %"</f>
        <v>15.22 %</v>
      </c>
      <c r="O2117" s="0" t="s">
        <v>7537</v>
      </c>
    </row>
    <row r="2118" customFormat="false" ht="13.8" hidden="false" customHeight="false" outlineLevel="0" collapsed="false">
      <c r="A2118" s="0" t="s">
        <v>7538</v>
      </c>
      <c r="D2118" s="0" t="s">
        <v>7539</v>
      </c>
      <c r="F2118" s="0" t="s">
        <v>7540</v>
      </c>
      <c r="G2118" s="0" t="n">
        <v>0</v>
      </c>
      <c r="H2118" s="0" t="s">
        <v>7541</v>
      </c>
      <c r="J2118" s="0" t="s">
        <v>40</v>
      </c>
      <c r="K2118" s="0" t="str">
        <f aca="false">"8.4 %"</f>
        <v>8.4 %</v>
      </c>
      <c r="O2118" s="0" t="s">
        <v>7542</v>
      </c>
    </row>
    <row r="2119" customFormat="false" ht="13.8" hidden="false" customHeight="false" outlineLevel="0" collapsed="false">
      <c r="A2119" s="0" t="s">
        <v>7543</v>
      </c>
      <c r="D2119" s="0" t="s">
        <v>7544</v>
      </c>
      <c r="F2119" s="0" t="s">
        <v>7545</v>
      </c>
      <c r="G2119" s="0" t="n">
        <v>0</v>
      </c>
      <c r="H2119" s="0" t="s">
        <v>7546</v>
      </c>
      <c r="J2119" s="0" t="s">
        <v>40</v>
      </c>
      <c r="K2119" s="0" t="str">
        <f aca="false">"11.12 %"</f>
        <v>11.12 %</v>
      </c>
      <c r="O2119" s="0" t="s">
        <v>7547</v>
      </c>
    </row>
    <row r="2120" customFormat="false" ht="13.8" hidden="false" customHeight="false" outlineLevel="0" collapsed="false">
      <c r="A2120" s="0" t="s">
        <v>7548</v>
      </c>
      <c r="D2120" s="0" t="s">
        <v>201</v>
      </c>
      <c r="E2120" s="0" t="s">
        <v>202</v>
      </c>
      <c r="F2120" s="0" t="s">
        <v>422</v>
      </c>
      <c r="G2120" s="0" t="n">
        <v>1</v>
      </c>
      <c r="H2120" s="0" t="s">
        <v>76</v>
      </c>
      <c r="J2120" s="0" t="s">
        <v>77</v>
      </c>
      <c r="K2120" s="0" t="str">
        <f aca="false">"17 %"</f>
        <v>17 %</v>
      </c>
      <c r="O2120" s="0" t="s">
        <v>7549</v>
      </c>
    </row>
    <row r="2121" customFormat="false" ht="13.8" hidden="false" customHeight="false" outlineLevel="0" collapsed="false">
      <c r="A2121" s="0" t="s">
        <v>7548</v>
      </c>
      <c r="D2121" s="0" t="s">
        <v>1341</v>
      </c>
      <c r="E2121" s="0" t="s">
        <v>1342</v>
      </c>
      <c r="F2121" s="0" t="s">
        <v>1343</v>
      </c>
      <c r="G2121" s="0" t="n">
        <v>1</v>
      </c>
      <c r="H2121" s="0" t="s">
        <v>76</v>
      </c>
      <c r="J2121" s="0" t="s">
        <v>77</v>
      </c>
      <c r="O2121" s="0" t="s">
        <v>7550</v>
      </c>
    </row>
    <row r="2122" customFormat="false" ht="13.8" hidden="false" customHeight="false" outlineLevel="0" collapsed="false">
      <c r="A2122" s="0" t="s">
        <v>7551</v>
      </c>
      <c r="D2122" s="0" t="s">
        <v>7552</v>
      </c>
      <c r="F2122" s="0" t="s">
        <v>7553</v>
      </c>
      <c r="G2122" s="0" t="n">
        <v>0</v>
      </c>
      <c r="H2122" s="0" t="s">
        <v>7554</v>
      </c>
      <c r="J2122" s="0" t="s">
        <v>7555</v>
      </c>
      <c r="K2122" s="0" t="str">
        <f aca="false">"12.26 %"</f>
        <v>12.26 %</v>
      </c>
      <c r="N2122" s="0" t="str">
        <f aca="false">"75.6 %"</f>
        <v>75.6 %</v>
      </c>
      <c r="O2122" s="0" t="s">
        <v>7556</v>
      </c>
    </row>
    <row r="2123" customFormat="false" ht="13.8" hidden="false" customHeight="false" outlineLevel="0" collapsed="false">
      <c r="A2123" s="0" t="s">
        <v>7557</v>
      </c>
      <c r="D2123" s="0" t="s">
        <v>16</v>
      </c>
      <c r="E2123" s="0" t="s">
        <v>17</v>
      </c>
      <c r="F2123" s="0" t="s">
        <v>18</v>
      </c>
      <c r="G2123" s="0" t="n">
        <v>1</v>
      </c>
      <c r="H2123" s="0" t="s">
        <v>575</v>
      </c>
      <c r="J2123" s="0" t="s">
        <v>40</v>
      </c>
      <c r="K2123" s="0" t="str">
        <f aca="false">"5 %"</f>
        <v>5 %</v>
      </c>
      <c r="O2123" s="0" t="s">
        <v>7558</v>
      </c>
    </row>
    <row r="2124" customFormat="false" ht="13.8" hidden="false" customHeight="false" outlineLevel="0" collapsed="false">
      <c r="A2124" s="0" t="s">
        <v>7559</v>
      </c>
      <c r="D2124" s="0" t="s">
        <v>1437</v>
      </c>
      <c r="E2124" s="0" t="s">
        <v>1438</v>
      </c>
      <c r="F2124" s="0" t="s">
        <v>2236</v>
      </c>
      <c r="G2124" s="0" t="n">
        <v>1</v>
      </c>
      <c r="H2124" s="0" t="s">
        <v>27</v>
      </c>
      <c r="J2124" s="0" t="s">
        <v>28</v>
      </c>
      <c r="K2124" s="0" t="str">
        <f aca="false">"8.78 %"</f>
        <v>8.78 %</v>
      </c>
      <c r="O2124" s="0" t="s">
        <v>7560</v>
      </c>
    </row>
    <row r="2125" customFormat="false" ht="13.8" hidden="false" customHeight="false" outlineLevel="0" collapsed="false">
      <c r="A2125" s="0" t="s">
        <v>7561</v>
      </c>
      <c r="D2125" s="0" t="s">
        <v>7562</v>
      </c>
      <c r="E2125" s="0" t="s">
        <v>7563</v>
      </c>
      <c r="F2125" s="0" t="s">
        <v>7564</v>
      </c>
      <c r="G2125" s="0" t="n">
        <v>1</v>
      </c>
      <c r="H2125" s="0" t="s">
        <v>27</v>
      </c>
      <c r="J2125" s="0" t="s">
        <v>28</v>
      </c>
      <c r="K2125" s="0" t="str">
        <f aca="false">"3.4 %"</f>
        <v>3.4 %</v>
      </c>
      <c r="N2125" s="0" t="str">
        <f aca="false">"0.55"</f>
        <v>0.55</v>
      </c>
      <c r="O2125" s="0" t="s">
        <v>7565</v>
      </c>
    </row>
    <row r="2126" customFormat="false" ht="13.8" hidden="false" customHeight="false" outlineLevel="0" collapsed="false">
      <c r="A2126" s="0" t="s">
        <v>7566</v>
      </c>
      <c r="D2126" s="0" t="s">
        <v>7567</v>
      </c>
      <c r="F2126" s="0" t="s">
        <v>7568</v>
      </c>
      <c r="G2126" s="0" t="n">
        <v>0</v>
      </c>
      <c r="H2126" s="0" t="s">
        <v>7569</v>
      </c>
      <c r="J2126" s="0" t="s">
        <v>7570</v>
      </c>
      <c r="K2126" s="0" t="str">
        <f aca="false">"12.3 %"</f>
        <v>12.3 %</v>
      </c>
      <c r="O2126" s="0" t="s">
        <v>7571</v>
      </c>
    </row>
    <row r="2127" customFormat="false" ht="13.8" hidden="false" customHeight="false" outlineLevel="0" collapsed="false">
      <c r="A2127" s="0" t="s">
        <v>7572</v>
      </c>
      <c r="D2127" s="0" t="s">
        <v>201</v>
      </c>
      <c r="E2127" s="0" t="s">
        <v>202</v>
      </c>
      <c r="F2127" s="0" t="s">
        <v>422</v>
      </c>
      <c r="G2127" s="0" t="n">
        <v>0</v>
      </c>
      <c r="H2127" s="0" t="s">
        <v>7573</v>
      </c>
      <c r="J2127" s="0" t="s">
        <v>7574</v>
      </c>
      <c r="O2127" s="0" t="s">
        <v>7575</v>
      </c>
    </row>
    <row r="2128" customFormat="false" ht="13.8" hidden="false" customHeight="false" outlineLevel="0" collapsed="false">
      <c r="A2128" s="0" t="s">
        <v>7572</v>
      </c>
      <c r="D2128" s="0" t="s">
        <v>201</v>
      </c>
      <c r="E2128" s="0" t="s">
        <v>202</v>
      </c>
      <c r="F2128" s="0" t="s">
        <v>422</v>
      </c>
      <c r="G2128" s="0" t="n">
        <v>0</v>
      </c>
      <c r="H2128" s="0" t="s">
        <v>7576</v>
      </c>
      <c r="J2128" s="0" t="s">
        <v>7577</v>
      </c>
      <c r="K2128" s="0" t="str">
        <f aca="false">"11.55 %"</f>
        <v>11.55 %</v>
      </c>
      <c r="O2128" s="0" t="s">
        <v>7578</v>
      </c>
    </row>
    <row r="2129" customFormat="false" ht="13.8" hidden="false" customHeight="false" outlineLevel="0" collapsed="false">
      <c r="A2129" s="0" t="s">
        <v>7579</v>
      </c>
      <c r="D2129" s="0" t="s">
        <v>7580</v>
      </c>
      <c r="E2129" s="0" t="s">
        <v>7581</v>
      </c>
      <c r="F2129" s="0" t="s">
        <v>7582</v>
      </c>
      <c r="G2129" s="0" t="n">
        <v>1</v>
      </c>
      <c r="H2129" s="0" t="s">
        <v>27</v>
      </c>
      <c r="J2129" s="0" t="s">
        <v>40</v>
      </c>
      <c r="K2129" s="0" t="str">
        <f aca="false">"11.77 %"</f>
        <v>11.77 %</v>
      </c>
      <c r="O2129" s="0" t="s">
        <v>7583</v>
      </c>
    </row>
    <row r="2130" customFormat="false" ht="13.8" hidden="false" customHeight="false" outlineLevel="0" collapsed="false">
      <c r="A2130" s="0" t="s">
        <v>7584</v>
      </c>
      <c r="D2130" s="0" t="s">
        <v>201</v>
      </c>
      <c r="E2130" s="0" t="s">
        <v>202</v>
      </c>
      <c r="F2130" s="0" t="s">
        <v>422</v>
      </c>
      <c r="G2130" s="0" t="n">
        <v>0</v>
      </c>
      <c r="H2130" s="0" t="s">
        <v>7585</v>
      </c>
      <c r="J2130" s="0" t="s">
        <v>40</v>
      </c>
      <c r="K2130" s="0" t="str">
        <f aca="false">"7.31 %"</f>
        <v>7.31 %</v>
      </c>
      <c r="O2130" s="0" t="s">
        <v>7586</v>
      </c>
    </row>
    <row r="2131" customFormat="false" ht="13.8" hidden="false" customHeight="false" outlineLevel="0" collapsed="false">
      <c r="A2131" s="0" t="s">
        <v>7587</v>
      </c>
      <c r="D2131" s="0" t="s">
        <v>599</v>
      </c>
      <c r="E2131" s="0" t="s">
        <v>600</v>
      </c>
      <c r="F2131" s="0" t="s">
        <v>601</v>
      </c>
      <c r="G2131" s="0" t="n">
        <v>0</v>
      </c>
      <c r="H2131" s="0" t="s">
        <v>7588</v>
      </c>
      <c r="J2131" s="0" t="s">
        <v>7589</v>
      </c>
      <c r="K2131" s="0" t="str">
        <f aca="false">"9.36 %"</f>
        <v>9.36 %</v>
      </c>
      <c r="L2131" s="0" t="str">
        <f aca="false">"0.79 V"</f>
        <v>0.79 V</v>
      </c>
      <c r="M2131" s="0" t="str">
        <f aca="false">"21.49 mA cm^{-2}"</f>
        <v>21.49 mA cm^{-2}</v>
      </c>
      <c r="N2131" s="0" t="str">
        <f aca="false">"65.9 %"</f>
        <v>65.9 %</v>
      </c>
      <c r="O2131" s="0" t="s">
        <v>7590</v>
      </c>
    </row>
    <row r="2132" customFormat="false" ht="13.8" hidden="false" customHeight="false" outlineLevel="0" collapsed="false">
      <c r="A2132" s="0" t="s">
        <v>7591</v>
      </c>
      <c r="D2132" s="0" t="s">
        <v>7592</v>
      </c>
      <c r="F2132" s="0" t="s">
        <v>7593</v>
      </c>
      <c r="G2132" s="0" t="n">
        <v>0</v>
      </c>
      <c r="H2132" s="0" t="s">
        <v>163</v>
      </c>
      <c r="I2132" s="0" t="s">
        <v>164</v>
      </c>
      <c r="J2132" s="0" t="s">
        <v>165</v>
      </c>
      <c r="K2132" s="0" t="str">
        <f aca="false">"8.47 %"</f>
        <v>8.47 %</v>
      </c>
      <c r="O2132" s="0" t="s">
        <v>7594</v>
      </c>
    </row>
    <row r="2133" customFormat="false" ht="13.8" hidden="false" customHeight="false" outlineLevel="0" collapsed="false">
      <c r="A2133" s="0" t="s">
        <v>7591</v>
      </c>
      <c r="D2133" s="0" t="s">
        <v>7595</v>
      </c>
      <c r="F2133" s="0" t="s">
        <v>7596</v>
      </c>
      <c r="G2133" s="0" t="n">
        <v>0</v>
      </c>
      <c r="H2133" s="0" t="s">
        <v>163</v>
      </c>
      <c r="I2133" s="0" t="s">
        <v>164</v>
      </c>
      <c r="J2133" s="0" t="s">
        <v>165</v>
      </c>
      <c r="K2133" s="0" t="str">
        <f aca="false">"9.21 %"</f>
        <v>9.21 %</v>
      </c>
      <c r="O2133" s="0" t="s">
        <v>7597</v>
      </c>
    </row>
    <row r="2134" customFormat="false" ht="13.8" hidden="false" customHeight="false" outlineLevel="0" collapsed="false">
      <c r="A2134" s="0" t="s">
        <v>7598</v>
      </c>
      <c r="D2134" s="0" t="s">
        <v>1116</v>
      </c>
      <c r="E2134" s="0" t="s">
        <v>1117</v>
      </c>
      <c r="F2134" s="0" t="s">
        <v>1118</v>
      </c>
      <c r="G2134" s="0" t="n">
        <v>0</v>
      </c>
      <c r="H2134" s="0" t="s">
        <v>7599</v>
      </c>
      <c r="J2134" s="0" t="s">
        <v>40</v>
      </c>
      <c r="K2134" s="0" t="str">
        <f aca="false">"15.4 %"</f>
        <v>15.4 %</v>
      </c>
      <c r="M2134" s="0" t="str">
        <f aca="false">"24.37 mA cm^{-2}"</f>
        <v>24.37 mA cm^{-2}</v>
      </c>
      <c r="O2134" s="0" t="s">
        <v>7600</v>
      </c>
    </row>
    <row r="2135" customFormat="false" ht="13.8" hidden="false" customHeight="false" outlineLevel="0" collapsed="false">
      <c r="A2135" s="0" t="s">
        <v>7601</v>
      </c>
      <c r="B2135" s="0" t="n">
        <v>1</v>
      </c>
      <c r="D2135" s="0" t="s">
        <v>7602</v>
      </c>
      <c r="E2135" s="0" t="s">
        <v>7603</v>
      </c>
      <c r="F2135" s="0" t="s">
        <v>7604</v>
      </c>
      <c r="G2135" s="0" t="n">
        <v>0</v>
      </c>
      <c r="H2135" s="0" t="s">
        <v>5040</v>
      </c>
      <c r="I2135" s="0" t="s">
        <v>5041</v>
      </c>
      <c r="J2135" s="0" t="s">
        <v>5042</v>
      </c>
      <c r="K2135" s="0" t="str">
        <f aca="false">"14.31 %"</f>
        <v>14.31 %</v>
      </c>
      <c r="N2135" s="0" t="str">
        <f aca="false">"0.694"</f>
        <v>0.694</v>
      </c>
      <c r="O2135" s="0" t="s">
        <v>7605</v>
      </c>
    </row>
    <row r="2136" customFormat="false" ht="13.8" hidden="false" customHeight="false" outlineLevel="0" collapsed="false">
      <c r="A2136" s="0" t="s">
        <v>7601</v>
      </c>
      <c r="B2136" s="0" t="n">
        <v>1</v>
      </c>
      <c r="D2136" s="0" t="s">
        <v>7606</v>
      </c>
      <c r="E2136" s="0" t="s">
        <v>7607</v>
      </c>
      <c r="F2136" s="0" t="s">
        <v>7608</v>
      </c>
      <c r="G2136" s="0" t="n">
        <v>0</v>
      </c>
      <c r="H2136" s="0" t="s">
        <v>5040</v>
      </c>
      <c r="I2136" s="0" t="s">
        <v>5041</v>
      </c>
      <c r="J2136" s="0" t="s">
        <v>5042</v>
      </c>
      <c r="K2136" s="0" t="str">
        <f aca="false">"11.10 %"</f>
        <v>11.10 %</v>
      </c>
      <c r="N2136" s="0" t="str">
        <f aca="false">"0.605"</f>
        <v>0.605</v>
      </c>
      <c r="O2136" s="0" t="s">
        <v>7609</v>
      </c>
    </row>
    <row r="2137" customFormat="false" ht="13.8" hidden="false" customHeight="false" outlineLevel="0" collapsed="false">
      <c r="A2137" s="0" t="s">
        <v>7610</v>
      </c>
      <c r="D2137" s="0" t="s">
        <v>1154</v>
      </c>
      <c r="F2137" s="0" t="s">
        <v>40</v>
      </c>
      <c r="G2137" s="0" t="n">
        <v>1</v>
      </c>
      <c r="H2137" s="0" t="s">
        <v>27</v>
      </c>
      <c r="J2137" s="0" t="s">
        <v>28</v>
      </c>
      <c r="K2137" s="0" t="str">
        <f aca="false">"9.02 %"</f>
        <v>9.02 %</v>
      </c>
      <c r="O2137" s="0" t="s">
        <v>7611</v>
      </c>
    </row>
    <row r="2138" customFormat="false" ht="13.8" hidden="false" customHeight="false" outlineLevel="0" collapsed="false">
      <c r="A2138" s="0" t="s">
        <v>7612</v>
      </c>
      <c r="D2138" s="0" t="s">
        <v>7613</v>
      </c>
      <c r="F2138" s="0" t="s">
        <v>40</v>
      </c>
      <c r="G2138" s="0" t="n">
        <v>0</v>
      </c>
      <c r="H2138" s="0" t="s">
        <v>7614</v>
      </c>
      <c r="J2138" s="0" t="s">
        <v>40</v>
      </c>
      <c r="K2138" s="0" t="str">
        <f aca="false">"10.4 %"</f>
        <v>10.4 %</v>
      </c>
      <c r="O2138" s="0" t="s">
        <v>7615</v>
      </c>
    </row>
    <row r="2139" customFormat="false" ht="13.8" hidden="false" customHeight="false" outlineLevel="0" collapsed="false">
      <c r="A2139" s="0" t="s">
        <v>7616</v>
      </c>
      <c r="D2139" s="0" t="s">
        <v>7617</v>
      </c>
      <c r="E2139" s="0" t="s">
        <v>7618</v>
      </c>
      <c r="F2139" s="0" t="s">
        <v>7619</v>
      </c>
      <c r="G2139" s="0" t="n">
        <v>0</v>
      </c>
      <c r="H2139" s="0" t="s">
        <v>7620</v>
      </c>
      <c r="I2139" s="0" t="s">
        <v>164</v>
      </c>
      <c r="J2139" s="0" t="s">
        <v>7621</v>
      </c>
      <c r="K2139" s="0" t="str">
        <f aca="false">"12.04 %"</f>
        <v>12.04 %</v>
      </c>
      <c r="O2139" s="0" t="s">
        <v>7622</v>
      </c>
    </row>
    <row r="2140" customFormat="false" ht="13.8" hidden="false" customHeight="false" outlineLevel="0" collapsed="false">
      <c r="A2140" s="0" t="s">
        <v>7623</v>
      </c>
      <c r="D2140" s="0" t="s">
        <v>16</v>
      </c>
      <c r="E2140" s="0" t="s">
        <v>17</v>
      </c>
      <c r="F2140" s="0" t="s">
        <v>1839</v>
      </c>
      <c r="G2140" s="0" t="n">
        <v>1</v>
      </c>
      <c r="H2140" s="0" t="s">
        <v>33</v>
      </c>
      <c r="J2140" s="0" t="s">
        <v>7624</v>
      </c>
      <c r="K2140" s="0" t="str">
        <f aca="false">"~3.04 %"</f>
        <v>~3.04 %</v>
      </c>
      <c r="L2140" s="0" t="str">
        <f aca="false">"0.65 V"</f>
        <v>0.65 V</v>
      </c>
      <c r="M2140" s="0" t="str">
        <f aca="false">"10.20 mA cm^{-2}"</f>
        <v>10.20 mA cm^{-2}</v>
      </c>
      <c r="N2140" s="0" t="str">
        <f aca="false">"0.52"</f>
        <v>0.52</v>
      </c>
      <c r="O2140" s="0" t="s">
        <v>7625</v>
      </c>
    </row>
    <row r="2141" customFormat="false" ht="13.8" hidden="false" customHeight="false" outlineLevel="0" collapsed="false">
      <c r="A2141" s="0" t="s">
        <v>7626</v>
      </c>
      <c r="D2141" s="0" t="s">
        <v>208</v>
      </c>
      <c r="E2141" s="0" t="s">
        <v>17</v>
      </c>
      <c r="F2141" s="0" t="s">
        <v>209</v>
      </c>
      <c r="G2141" s="0" t="n">
        <v>0</v>
      </c>
      <c r="H2141" s="0" t="s">
        <v>6786</v>
      </c>
      <c r="J2141" s="0" t="s">
        <v>6787</v>
      </c>
      <c r="K2141" s="0" t="str">
        <f aca="false">"4.15 %"</f>
        <v>4.15 %</v>
      </c>
      <c r="O2141" s="0" t="s">
        <v>7627</v>
      </c>
    </row>
    <row r="2142" customFormat="false" ht="13.8" hidden="false" customHeight="false" outlineLevel="0" collapsed="false">
      <c r="A2142" s="0" t="s">
        <v>7628</v>
      </c>
      <c r="D2142" s="0" t="s">
        <v>7629</v>
      </c>
      <c r="F2142" s="0" t="s">
        <v>7630</v>
      </c>
      <c r="G2142" s="0" t="n">
        <v>1</v>
      </c>
      <c r="H2142" s="0" t="s">
        <v>33</v>
      </c>
      <c r="J2142" s="0" t="s">
        <v>40</v>
      </c>
      <c r="K2142" s="0" t="str">
        <f aca="false">"5.2 %"</f>
        <v>5.2 %</v>
      </c>
      <c r="O2142" s="0" t="s">
        <v>7631</v>
      </c>
    </row>
    <row r="2143" customFormat="false" ht="13.8" hidden="false" customHeight="false" outlineLevel="0" collapsed="false">
      <c r="A2143" s="0" t="s">
        <v>7632</v>
      </c>
      <c r="D2143" s="0" t="s">
        <v>2493</v>
      </c>
      <c r="E2143" s="0" t="s">
        <v>2494</v>
      </c>
      <c r="F2143" s="0" t="s">
        <v>2780</v>
      </c>
      <c r="G2143" s="0" t="n">
        <v>0</v>
      </c>
      <c r="H2143" s="0" t="s">
        <v>7633</v>
      </c>
      <c r="J2143" s="0" t="s">
        <v>7634</v>
      </c>
      <c r="K2143" s="0" t="str">
        <f aca="false">"12.5 %"</f>
        <v>12.5 %</v>
      </c>
      <c r="N2143" s="0" t="str">
        <f aca="false">"75.5 %"</f>
        <v>75.5 %</v>
      </c>
      <c r="O2143" s="0" t="s">
        <v>7635</v>
      </c>
    </row>
    <row r="2144" customFormat="false" ht="13.8" hidden="false" customHeight="false" outlineLevel="0" collapsed="false">
      <c r="A2144" s="0" t="s">
        <v>7636</v>
      </c>
      <c r="D2144" s="0" t="s">
        <v>16</v>
      </c>
      <c r="E2144" s="0" t="s">
        <v>17</v>
      </c>
      <c r="F2144" s="0" t="s">
        <v>18</v>
      </c>
      <c r="G2144" s="0" t="n">
        <v>1</v>
      </c>
      <c r="H2144" s="0" t="s">
        <v>33</v>
      </c>
      <c r="J2144" s="0" t="s">
        <v>34</v>
      </c>
      <c r="K2144" s="0" t="str">
        <f aca="false">"2.47 %"</f>
        <v>2.47 %</v>
      </c>
      <c r="O2144" s="0" t="s">
        <v>7637</v>
      </c>
    </row>
    <row r="2145" customFormat="false" ht="13.8" hidden="false" customHeight="false" outlineLevel="0" collapsed="false">
      <c r="A2145" s="0" t="s">
        <v>7638</v>
      </c>
      <c r="D2145" s="0" t="s">
        <v>642</v>
      </c>
      <c r="E2145" s="0" t="s">
        <v>643</v>
      </c>
      <c r="F2145" s="0" t="s">
        <v>644</v>
      </c>
      <c r="G2145" s="0" t="n">
        <v>0</v>
      </c>
      <c r="H2145" s="0" t="s">
        <v>7639</v>
      </c>
      <c r="J2145" s="0" t="s">
        <v>7640</v>
      </c>
      <c r="K2145" s="0" t="str">
        <f aca="false">"9.7 %"</f>
        <v>9.7 %</v>
      </c>
      <c r="L2145" s="0" t="str">
        <f aca="false">"0.96 V"</f>
        <v>0.96 V</v>
      </c>
      <c r="M2145" s="0" t="str">
        <f aca="false">"17.5 mA cm^{-2}"</f>
        <v>17.5 mA cm^{-2}</v>
      </c>
      <c r="N2145" s="0" t="str">
        <f aca="false">"68.8 %"</f>
        <v>68.8 %</v>
      </c>
      <c r="O2145" s="0" t="s">
        <v>7641</v>
      </c>
    </row>
    <row r="2146" customFormat="false" ht="13.8" hidden="false" customHeight="false" outlineLevel="0" collapsed="false">
      <c r="A2146" s="0" t="s">
        <v>7642</v>
      </c>
      <c r="D2146" s="0" t="s">
        <v>1116</v>
      </c>
      <c r="E2146" s="0" t="s">
        <v>1117</v>
      </c>
      <c r="F2146" s="0" t="s">
        <v>1118</v>
      </c>
      <c r="G2146" s="0" t="n">
        <v>0</v>
      </c>
      <c r="H2146" s="0" t="s">
        <v>7643</v>
      </c>
      <c r="J2146" s="0" t="s">
        <v>7644</v>
      </c>
      <c r="K2146" s="0" t="str">
        <f aca="false">"13.39 %"</f>
        <v>13.39 %</v>
      </c>
      <c r="L2146" s="0" t="str">
        <f aca="false">"0.845 V"</f>
        <v>0.845 V</v>
      </c>
      <c r="M2146" s="0" t="str">
        <f aca="false">"20.88 mA cm^{-2}"</f>
        <v>20.88 mA cm^{-2}</v>
      </c>
      <c r="N2146" s="0" t="str">
        <f aca="false">"75.87 %"</f>
        <v>75.87 %</v>
      </c>
      <c r="O2146" s="0" t="s">
        <v>7645</v>
      </c>
    </row>
    <row r="2147" customFormat="false" ht="13.8" hidden="false" customHeight="false" outlineLevel="0" collapsed="false">
      <c r="A2147" s="0" t="s">
        <v>7646</v>
      </c>
      <c r="D2147" s="0" t="s">
        <v>16</v>
      </c>
      <c r="E2147" s="0" t="s">
        <v>17</v>
      </c>
      <c r="F2147" s="0" t="s">
        <v>116</v>
      </c>
      <c r="G2147" s="0" t="n">
        <v>1</v>
      </c>
      <c r="H2147" s="0" t="s">
        <v>76</v>
      </c>
      <c r="J2147" s="0" t="s">
        <v>77</v>
      </c>
      <c r="K2147" s="0" t="str">
        <f aca="false">"1.72 %"</f>
        <v>1.72 %</v>
      </c>
      <c r="O2147" s="0" t="s">
        <v>7647</v>
      </c>
    </row>
    <row r="2148" customFormat="false" ht="13.8" hidden="false" customHeight="false" outlineLevel="0" collapsed="false">
      <c r="A2148" s="0" t="s">
        <v>7648</v>
      </c>
      <c r="D2148" s="0" t="s">
        <v>201</v>
      </c>
      <c r="E2148" s="0" t="s">
        <v>202</v>
      </c>
      <c r="F2148" s="0" t="s">
        <v>422</v>
      </c>
      <c r="G2148" s="0" t="n">
        <v>0</v>
      </c>
      <c r="H2148" s="0" t="s">
        <v>7649</v>
      </c>
      <c r="J2148" s="0" t="s">
        <v>40</v>
      </c>
      <c r="K2148" s="0" t="str">
        <f aca="false">"5.89 %"</f>
        <v>5.89 %</v>
      </c>
      <c r="L2148" s="0" t="str">
        <f aca="false">"0.81 V"</f>
        <v>0.81 V</v>
      </c>
      <c r="M2148" s="0" t="str">
        <f aca="false">"12.30 mA cm^{-2}"</f>
        <v>12.30 mA cm^{-2}</v>
      </c>
      <c r="O2148" s="0" t="s">
        <v>7650</v>
      </c>
    </row>
    <row r="2149" customFormat="false" ht="13.8" hidden="false" customHeight="false" outlineLevel="0" collapsed="false">
      <c r="A2149" s="0" t="s">
        <v>7651</v>
      </c>
      <c r="D2149" s="0" t="s">
        <v>7652</v>
      </c>
      <c r="F2149" s="0" t="s">
        <v>7653</v>
      </c>
      <c r="G2149" s="0" t="n">
        <v>0</v>
      </c>
      <c r="H2149" s="0" t="s">
        <v>7654</v>
      </c>
      <c r="J2149" s="0" t="s">
        <v>7653</v>
      </c>
      <c r="K2149" s="0" t="str">
        <f aca="false">"10.2 %"</f>
        <v>10.2 %</v>
      </c>
      <c r="O2149" s="0" t="s">
        <v>7655</v>
      </c>
    </row>
    <row r="2150" customFormat="false" ht="13.8" hidden="false" customHeight="false" outlineLevel="0" collapsed="false">
      <c r="A2150" s="0" t="s">
        <v>7656</v>
      </c>
      <c r="B2150" s="0" t="n">
        <v>1</v>
      </c>
      <c r="D2150" s="0" t="s">
        <v>7657</v>
      </c>
      <c r="E2150" s="0" t="s">
        <v>7658</v>
      </c>
      <c r="F2150" s="0" t="s">
        <v>7659</v>
      </c>
      <c r="G2150" s="0" t="n">
        <v>0</v>
      </c>
      <c r="H2150" s="0" t="s">
        <v>5040</v>
      </c>
      <c r="I2150" s="0" t="s">
        <v>5041</v>
      </c>
      <c r="J2150" s="0" t="s">
        <v>5042</v>
      </c>
      <c r="K2150" s="0" t="str">
        <f aca="false">"12.7 %"</f>
        <v>12.7 %</v>
      </c>
      <c r="L2150" s="0" t="str">
        <f aca="false">"0.80 V"</f>
        <v>0.80 V</v>
      </c>
      <c r="M2150" s="0" t="str">
        <f aca="false">"22.61 mA cm^{-2}"</f>
        <v>22.61 mA cm^{-2}</v>
      </c>
      <c r="N2150" s="0" t="str">
        <f aca="false">"70.28 %"</f>
        <v>70.28 %</v>
      </c>
      <c r="O2150" s="0" t="s">
        <v>7660</v>
      </c>
    </row>
    <row r="2151" customFormat="false" ht="13.8" hidden="false" customHeight="false" outlineLevel="0" collapsed="false">
      <c r="A2151" s="0" t="s">
        <v>7661</v>
      </c>
      <c r="D2151" s="0" t="s">
        <v>2493</v>
      </c>
      <c r="E2151" s="0" t="s">
        <v>2494</v>
      </c>
      <c r="F2151" s="0" t="s">
        <v>2780</v>
      </c>
      <c r="G2151" s="0" t="n">
        <v>0</v>
      </c>
      <c r="H2151" s="0" t="s">
        <v>7662</v>
      </c>
      <c r="J2151" s="0" t="s">
        <v>7663</v>
      </c>
      <c r="K2151" s="0" t="str">
        <f aca="false">"11.32 %"</f>
        <v>11.32 %</v>
      </c>
      <c r="O2151" s="0" t="s">
        <v>7664</v>
      </c>
    </row>
    <row r="2152" customFormat="false" ht="13.8" hidden="false" customHeight="false" outlineLevel="0" collapsed="false">
      <c r="A2152" s="0" t="s">
        <v>7661</v>
      </c>
      <c r="D2152" s="0" t="s">
        <v>2493</v>
      </c>
      <c r="E2152" s="0" t="s">
        <v>2494</v>
      </c>
      <c r="F2152" s="0" t="s">
        <v>2780</v>
      </c>
      <c r="G2152" s="0" t="n">
        <v>0</v>
      </c>
      <c r="H2152" s="0" t="s">
        <v>7665</v>
      </c>
      <c r="J2152" s="0" t="s">
        <v>7666</v>
      </c>
      <c r="K2152" s="0" t="str">
        <f aca="false">"6.48 %"</f>
        <v>6.48 %</v>
      </c>
      <c r="L2152" s="0" t="str">
        <f aca="false">"0.92 V"</f>
        <v>0.92 V</v>
      </c>
      <c r="N2152" s="0" t="str">
        <f aca="false">"68.30 %"</f>
        <v>68.30 %</v>
      </c>
      <c r="O2152" s="0" t="s">
        <v>7667</v>
      </c>
    </row>
    <row r="2153" customFormat="false" ht="13.8" hidden="false" customHeight="false" outlineLevel="0" collapsed="false">
      <c r="A2153" s="0" t="s">
        <v>7661</v>
      </c>
      <c r="D2153" s="0" t="s">
        <v>628</v>
      </c>
      <c r="F2153" s="0" t="s">
        <v>629</v>
      </c>
      <c r="G2153" s="0" t="n">
        <v>0</v>
      </c>
      <c r="H2153" s="0" t="s">
        <v>7665</v>
      </c>
      <c r="J2153" s="0" t="s">
        <v>7666</v>
      </c>
      <c r="M2153" s="0" t="str">
        <f aca="false">"18.01 mA cm^{-2}"</f>
        <v>18.01 mA cm^{-2}</v>
      </c>
      <c r="O2153" s="0" t="s">
        <v>7668</v>
      </c>
    </row>
    <row r="2154" customFormat="false" ht="13.8" hidden="false" customHeight="false" outlineLevel="0" collapsed="false">
      <c r="A2154" s="0" t="s">
        <v>7669</v>
      </c>
      <c r="D2154" s="0" t="s">
        <v>599</v>
      </c>
      <c r="E2154" s="0" t="s">
        <v>600</v>
      </c>
      <c r="F2154" s="0" t="s">
        <v>601</v>
      </c>
      <c r="G2154" s="0" t="n">
        <v>0</v>
      </c>
      <c r="H2154" s="0" t="s">
        <v>7670</v>
      </c>
      <c r="J2154" s="0" t="s">
        <v>7671</v>
      </c>
      <c r="K2154" s="0" t="str">
        <f aca="false">"13.15 %"</f>
        <v>13.15 %</v>
      </c>
      <c r="O2154" s="0" t="s">
        <v>7672</v>
      </c>
    </row>
    <row r="2155" customFormat="false" ht="13.8" hidden="false" customHeight="false" outlineLevel="0" collapsed="false">
      <c r="A2155" s="0" t="s">
        <v>7673</v>
      </c>
      <c r="D2155" s="0" t="s">
        <v>599</v>
      </c>
      <c r="E2155" s="0" t="s">
        <v>600</v>
      </c>
      <c r="F2155" s="0" t="s">
        <v>601</v>
      </c>
      <c r="G2155" s="0" t="n">
        <v>0</v>
      </c>
      <c r="H2155" s="0" t="s">
        <v>7674</v>
      </c>
      <c r="J2155" s="0" t="s">
        <v>40</v>
      </c>
      <c r="K2155" s="0" t="str">
        <f aca="false">"6.81 %"</f>
        <v>6.81 %</v>
      </c>
      <c r="O2155" s="0" t="s">
        <v>7675</v>
      </c>
    </row>
    <row r="2156" customFormat="false" ht="13.8" hidden="false" customHeight="false" outlineLevel="0" collapsed="false">
      <c r="A2156" s="0" t="s">
        <v>7676</v>
      </c>
      <c r="D2156" s="0" t="s">
        <v>7677</v>
      </c>
      <c r="F2156" s="0" t="s">
        <v>7678</v>
      </c>
      <c r="G2156" s="0" t="n">
        <v>0</v>
      </c>
      <c r="H2156" s="0" t="s">
        <v>163</v>
      </c>
      <c r="I2156" s="0" t="s">
        <v>164</v>
      </c>
      <c r="J2156" s="0" t="s">
        <v>7679</v>
      </c>
      <c r="K2156" s="0" t="str">
        <f aca="false">"9.12 %"</f>
        <v>9.12 %</v>
      </c>
      <c r="O2156" s="0" t="s">
        <v>7680</v>
      </c>
    </row>
    <row r="2157" customFormat="false" ht="13.8" hidden="false" customHeight="false" outlineLevel="0" collapsed="false">
      <c r="A2157" s="0" t="s">
        <v>7681</v>
      </c>
      <c r="D2157" s="0" t="s">
        <v>1116</v>
      </c>
      <c r="E2157" s="0" t="s">
        <v>1117</v>
      </c>
      <c r="F2157" s="0" t="s">
        <v>1118</v>
      </c>
      <c r="G2157" s="0" t="n">
        <v>0</v>
      </c>
      <c r="H2157" s="0" t="s">
        <v>7682</v>
      </c>
      <c r="J2157" s="0" t="s">
        <v>40</v>
      </c>
      <c r="K2157" s="0" t="str">
        <f aca="false">"11.5 %"</f>
        <v>11.5 %</v>
      </c>
      <c r="O2157" s="0" t="s">
        <v>7683</v>
      </c>
    </row>
    <row r="2158" customFormat="false" ht="13.8" hidden="false" customHeight="false" outlineLevel="0" collapsed="false">
      <c r="A2158" s="0" t="s">
        <v>7684</v>
      </c>
      <c r="D2158" s="0" t="s">
        <v>208</v>
      </c>
      <c r="E2158" s="0" t="s">
        <v>17</v>
      </c>
      <c r="F2158" s="0" t="s">
        <v>209</v>
      </c>
      <c r="G2158" s="0" t="n">
        <v>1</v>
      </c>
      <c r="H2158" s="0" t="s">
        <v>33</v>
      </c>
      <c r="J2158" s="0" t="s">
        <v>34</v>
      </c>
      <c r="K2158" s="0" t="str">
        <f aca="false">"2.3 %"</f>
        <v>2.3 %</v>
      </c>
      <c r="O2158" s="0" t="s">
        <v>7685</v>
      </c>
    </row>
    <row r="2159" customFormat="false" ht="13.8" hidden="false" customHeight="false" outlineLevel="0" collapsed="false">
      <c r="A2159" s="0" t="s">
        <v>7686</v>
      </c>
      <c r="D2159" s="0" t="s">
        <v>7687</v>
      </c>
      <c r="F2159" s="0" t="s">
        <v>40</v>
      </c>
      <c r="G2159" s="0" t="n">
        <v>0</v>
      </c>
      <c r="H2159" s="0" t="s">
        <v>7688</v>
      </c>
      <c r="J2159" s="0" t="s">
        <v>40</v>
      </c>
      <c r="K2159" s="0" t="str">
        <f aca="false">"4.86 %"</f>
        <v>4.86 %</v>
      </c>
      <c r="O2159" s="0" t="s">
        <v>7689</v>
      </c>
    </row>
    <row r="2160" customFormat="false" ht="13.8" hidden="false" customHeight="false" outlineLevel="0" collapsed="false">
      <c r="A2160" s="0" t="s">
        <v>7690</v>
      </c>
      <c r="D2160" s="0" t="s">
        <v>599</v>
      </c>
      <c r="E2160" s="0" t="s">
        <v>600</v>
      </c>
      <c r="F2160" s="0" t="s">
        <v>601</v>
      </c>
      <c r="G2160" s="0" t="n">
        <v>0</v>
      </c>
      <c r="H2160" s="0" t="s">
        <v>7691</v>
      </c>
      <c r="J2160" s="0" t="s">
        <v>7692</v>
      </c>
      <c r="K2160" s="0" t="str">
        <f aca="false">"1.78 %"</f>
        <v>1.78 %</v>
      </c>
      <c r="O2160" s="0" t="s">
        <v>7693</v>
      </c>
    </row>
    <row r="2161" customFormat="false" ht="13.8" hidden="false" customHeight="false" outlineLevel="0" collapsed="false">
      <c r="A2161" s="0" t="s">
        <v>7694</v>
      </c>
      <c r="D2161" s="0" t="s">
        <v>7695</v>
      </c>
      <c r="F2161" s="0" t="s">
        <v>7696</v>
      </c>
      <c r="G2161" s="0" t="n">
        <v>1</v>
      </c>
      <c r="H2161" s="0" t="s">
        <v>27</v>
      </c>
      <c r="J2161" s="0" t="s">
        <v>28</v>
      </c>
      <c r="K2161" s="0" t="str">
        <f aca="false">"4.03 %"</f>
        <v>4.03 %</v>
      </c>
      <c r="L2161" s="0" t="str">
        <f aca="false">"0.73 V"</f>
        <v>0.73 V</v>
      </c>
      <c r="M2161" s="0" t="str">
        <f aca="false">"8.55 mA cm^{-2}"</f>
        <v>8.55 mA cm^{-2}</v>
      </c>
      <c r="N2161" s="0" t="str">
        <f aca="false">"0.65"</f>
        <v>0.65</v>
      </c>
      <c r="O2161" s="0" t="s">
        <v>7697</v>
      </c>
    </row>
    <row r="2162" customFormat="false" ht="13.8" hidden="false" customHeight="false" outlineLevel="0" collapsed="false">
      <c r="A2162" s="0" t="s">
        <v>7698</v>
      </c>
      <c r="D2162" s="0" t="s">
        <v>7699</v>
      </c>
      <c r="F2162" s="0" t="s">
        <v>7700</v>
      </c>
      <c r="G2162" s="0" t="n">
        <v>1</v>
      </c>
      <c r="H2162" s="0" t="s">
        <v>76</v>
      </c>
      <c r="J2162" s="0" t="s">
        <v>7701</v>
      </c>
      <c r="K2162" s="0" t="str">
        <f aca="false">"5.11 %"</f>
        <v>5.11 %</v>
      </c>
      <c r="O2162" s="0" t="s">
        <v>7702</v>
      </c>
    </row>
    <row r="2163" customFormat="false" ht="13.8" hidden="false" customHeight="false" outlineLevel="0" collapsed="false">
      <c r="A2163" s="0" t="s">
        <v>7703</v>
      </c>
      <c r="D2163" s="0" t="s">
        <v>16</v>
      </c>
      <c r="E2163" s="0" t="s">
        <v>17</v>
      </c>
      <c r="F2163" s="0" t="s">
        <v>18</v>
      </c>
      <c r="G2163" s="0" t="n">
        <v>0</v>
      </c>
      <c r="H2163" s="0" t="s">
        <v>7704</v>
      </c>
      <c r="J2163" s="0" t="s">
        <v>7705</v>
      </c>
      <c r="K2163" s="0" t="str">
        <f aca="false">"5.31 %"</f>
        <v>5.31 %</v>
      </c>
      <c r="M2163" s="0" t="str">
        <f aca="false">"8.56 mA cm^{-2}"</f>
        <v>8.56 mA cm^{-2}</v>
      </c>
      <c r="N2163" s="0" t="str">
        <f aca="false">"0.66"</f>
        <v>0.66</v>
      </c>
      <c r="O2163" s="0" t="s">
        <v>7706</v>
      </c>
    </row>
    <row r="2164" customFormat="false" ht="13.8" hidden="false" customHeight="false" outlineLevel="0" collapsed="false">
      <c r="A2164" s="0" t="s">
        <v>7703</v>
      </c>
      <c r="D2164" s="0" t="s">
        <v>16</v>
      </c>
      <c r="E2164" s="0" t="s">
        <v>17</v>
      </c>
      <c r="F2164" s="0" t="s">
        <v>18</v>
      </c>
      <c r="G2164" s="0" t="n">
        <v>0</v>
      </c>
      <c r="H2164" s="0" t="s">
        <v>7707</v>
      </c>
      <c r="J2164" s="0" t="s">
        <v>7705</v>
      </c>
      <c r="L2164" s="0" t="str">
        <f aca="false">"1.34 V"</f>
        <v>1.34 V</v>
      </c>
      <c r="O2164" s="0" t="s">
        <v>7708</v>
      </c>
    </row>
    <row r="2165" customFormat="false" ht="13.8" hidden="false" customHeight="false" outlineLevel="0" collapsed="false">
      <c r="A2165" s="0" t="s">
        <v>7709</v>
      </c>
      <c r="D2165" s="0" t="s">
        <v>7710</v>
      </c>
      <c r="F2165" s="0" t="s">
        <v>40</v>
      </c>
      <c r="G2165" s="0" t="n">
        <v>0</v>
      </c>
      <c r="H2165" s="0" t="s">
        <v>7711</v>
      </c>
      <c r="J2165" s="0" t="s">
        <v>40</v>
      </c>
      <c r="O2165" s="0" t="s">
        <v>7712</v>
      </c>
    </row>
    <row r="2166" customFormat="false" ht="13.8" hidden="false" customHeight="false" outlineLevel="0" collapsed="false">
      <c r="A2166" s="0" t="s">
        <v>7709</v>
      </c>
      <c r="D2166" s="0" t="s">
        <v>7713</v>
      </c>
      <c r="F2166" s="0" t="s">
        <v>7714</v>
      </c>
      <c r="G2166" s="0" t="n">
        <v>0</v>
      </c>
      <c r="H2166" s="0" t="s">
        <v>7711</v>
      </c>
      <c r="J2166" s="0" t="s">
        <v>40</v>
      </c>
      <c r="K2166" s="0" t="str">
        <f aca="false">"6.26 %"</f>
        <v>6.26 %</v>
      </c>
      <c r="O2166" s="0" t="s">
        <v>7715</v>
      </c>
    </row>
    <row r="2167" customFormat="false" ht="13.8" hidden="false" customHeight="false" outlineLevel="0" collapsed="false">
      <c r="A2167" s="0" t="s">
        <v>7716</v>
      </c>
      <c r="D2167" s="0" t="s">
        <v>7717</v>
      </c>
      <c r="F2167" s="0" t="s">
        <v>40</v>
      </c>
      <c r="G2167" s="0" t="n">
        <v>1</v>
      </c>
      <c r="H2167" s="0" t="s">
        <v>66</v>
      </c>
      <c r="J2167" s="0" t="s">
        <v>67</v>
      </c>
      <c r="K2167" s="0" t="str">
        <f aca="false">"3.92 %"</f>
        <v>3.92 %</v>
      </c>
      <c r="L2167" s="0" t="str">
        <f aca="false">"0.86 V"</f>
        <v>0.86 V</v>
      </c>
      <c r="M2167" s="0" t="str">
        <f aca="false">"11.06 mA cm^{-2}"</f>
        <v>11.06 mA cm^{-2}</v>
      </c>
      <c r="N2167" s="0" t="str">
        <f aca="false">"72.9 %"</f>
        <v>72.9 %</v>
      </c>
      <c r="O2167" s="0" t="s">
        <v>7718</v>
      </c>
    </row>
    <row r="2168" customFormat="false" ht="13.8" hidden="false" customHeight="false" outlineLevel="0" collapsed="false">
      <c r="A2168" s="0" t="s">
        <v>7719</v>
      </c>
      <c r="D2168" s="0" t="s">
        <v>201</v>
      </c>
      <c r="E2168" s="0" t="s">
        <v>202</v>
      </c>
      <c r="F2168" s="0" t="s">
        <v>422</v>
      </c>
      <c r="G2168" s="0" t="n">
        <v>1</v>
      </c>
      <c r="H2168" s="0" t="s">
        <v>27</v>
      </c>
      <c r="J2168" s="0" t="s">
        <v>28</v>
      </c>
      <c r="K2168" s="0" t="str">
        <f aca="false">"10.67 %"</f>
        <v>10.67 %</v>
      </c>
      <c r="O2168" s="0" t="s">
        <v>7720</v>
      </c>
    </row>
    <row r="2169" customFormat="false" ht="13.8" hidden="false" customHeight="false" outlineLevel="0" collapsed="false">
      <c r="A2169" s="0" t="s">
        <v>7721</v>
      </c>
      <c r="D2169" s="0" t="s">
        <v>7722</v>
      </c>
      <c r="F2169" s="0" t="s">
        <v>7723</v>
      </c>
      <c r="G2169" s="0" t="n">
        <v>1</v>
      </c>
      <c r="H2169" s="0" t="s">
        <v>27</v>
      </c>
      <c r="J2169" s="0" t="s">
        <v>28</v>
      </c>
      <c r="K2169" s="0" t="str">
        <f aca="false">"5.83 %"</f>
        <v>5.83 %</v>
      </c>
      <c r="L2169" s="0" t="str">
        <f aca="false">"0.69 V"</f>
        <v>0.69 V</v>
      </c>
      <c r="M2169" s="0" t="str">
        <f aca="false">"13.92 mA cm^{-2}"</f>
        <v>13.92 mA cm^{-2}</v>
      </c>
      <c r="N2169" s="0" t="str">
        <f aca="false">"61.8 %"</f>
        <v>61.8 %</v>
      </c>
      <c r="O2169" s="0" t="s">
        <v>7724</v>
      </c>
    </row>
    <row r="2170" customFormat="false" ht="13.8" hidden="false" customHeight="false" outlineLevel="0" collapsed="false">
      <c r="A2170" s="0" t="s">
        <v>7725</v>
      </c>
      <c r="D2170" s="0" t="s">
        <v>3208</v>
      </c>
      <c r="F2170" s="0" t="s">
        <v>7726</v>
      </c>
      <c r="G2170" s="0" t="n">
        <v>1</v>
      </c>
      <c r="H2170" s="0" t="s">
        <v>33</v>
      </c>
      <c r="J2170" s="0" t="s">
        <v>34</v>
      </c>
      <c r="K2170" s="0" t="str">
        <f aca="false">"5.3 %"</f>
        <v>5.3 %</v>
      </c>
      <c r="L2170" s="0" t="str">
        <f aca="false">"950 mV"</f>
        <v>950 mV</v>
      </c>
      <c r="O2170" s="0" t="s">
        <v>7727</v>
      </c>
    </row>
    <row r="2171" customFormat="false" ht="13.8" hidden="false" customHeight="false" outlineLevel="0" collapsed="false">
      <c r="A2171" s="0" t="s">
        <v>7728</v>
      </c>
      <c r="D2171" s="0" t="s">
        <v>201</v>
      </c>
      <c r="E2171" s="0" t="s">
        <v>202</v>
      </c>
      <c r="F2171" s="0" t="s">
        <v>422</v>
      </c>
      <c r="G2171" s="0" t="n">
        <v>1</v>
      </c>
      <c r="H2171" s="0" t="s">
        <v>27</v>
      </c>
      <c r="J2171" s="0" t="s">
        <v>28</v>
      </c>
      <c r="K2171" s="0" t="str">
        <f aca="false">"8.69 %"</f>
        <v>8.69 %</v>
      </c>
      <c r="O2171" s="0" t="s">
        <v>7729</v>
      </c>
    </row>
    <row r="2172" customFormat="false" ht="13.8" hidden="false" customHeight="false" outlineLevel="0" collapsed="false">
      <c r="A2172" s="0" t="s">
        <v>7728</v>
      </c>
      <c r="D2172" s="0" t="s">
        <v>109</v>
      </c>
      <c r="E2172" s="0" t="s">
        <v>110</v>
      </c>
      <c r="F2172" s="0" t="s">
        <v>111</v>
      </c>
      <c r="G2172" s="0" t="n">
        <v>1</v>
      </c>
      <c r="H2172" s="0" t="s">
        <v>27</v>
      </c>
      <c r="J2172" s="0" t="s">
        <v>28</v>
      </c>
      <c r="K2172" s="0" t="str">
        <f aca="false">"6.37 %"</f>
        <v>6.37 %</v>
      </c>
      <c r="O2172" s="0" t="s">
        <v>7730</v>
      </c>
    </row>
    <row r="2173" customFormat="false" ht="13.8" hidden="false" customHeight="false" outlineLevel="0" collapsed="false">
      <c r="A2173" s="0" t="s">
        <v>7731</v>
      </c>
      <c r="D2173" s="0" t="s">
        <v>16</v>
      </c>
      <c r="E2173" s="0" t="s">
        <v>17</v>
      </c>
      <c r="F2173" s="0" t="s">
        <v>5653</v>
      </c>
      <c r="G2173" s="0" t="n">
        <v>1</v>
      </c>
      <c r="H2173" s="0" t="s">
        <v>33</v>
      </c>
      <c r="J2173" s="0" t="s">
        <v>34</v>
      </c>
      <c r="K2173" s="0" t="str">
        <f aca="false">"4.03 %"</f>
        <v>4.03 %</v>
      </c>
      <c r="O2173" s="0" t="s">
        <v>7732</v>
      </c>
    </row>
    <row r="2174" customFormat="false" ht="13.8" hidden="false" customHeight="false" outlineLevel="0" collapsed="false">
      <c r="A2174" s="0" t="s">
        <v>7733</v>
      </c>
      <c r="D2174" s="0" t="s">
        <v>1550</v>
      </c>
      <c r="F2174" s="0" t="s">
        <v>1552</v>
      </c>
      <c r="G2174" s="0" t="n">
        <v>1</v>
      </c>
      <c r="H2174" s="0" t="s">
        <v>27</v>
      </c>
      <c r="J2174" s="0" t="s">
        <v>40</v>
      </c>
      <c r="K2174" s="0" t="str">
        <f aca="false">"5.89 %"</f>
        <v>5.89 %</v>
      </c>
      <c r="O2174" s="0" t="s">
        <v>7734</v>
      </c>
    </row>
    <row r="2175" customFormat="false" ht="13.8" hidden="false" customHeight="false" outlineLevel="0" collapsed="false">
      <c r="A2175" s="0" t="s">
        <v>7735</v>
      </c>
      <c r="D2175" s="0" t="s">
        <v>7736</v>
      </c>
      <c r="F2175" s="0" t="s">
        <v>7737</v>
      </c>
      <c r="G2175" s="0" t="n">
        <v>1</v>
      </c>
      <c r="H2175" s="0" t="s">
        <v>66</v>
      </c>
      <c r="J2175" s="0" t="s">
        <v>67</v>
      </c>
      <c r="K2175" s="0" t="str">
        <f aca="false">"2.23 %"</f>
        <v>2.23 %</v>
      </c>
      <c r="L2175" s="0" t="str">
        <f aca="false">"0.55 V"</f>
        <v>0.55 V</v>
      </c>
      <c r="M2175" s="0" t="str">
        <f aca="false">"7.86 mA cm^{-2}"</f>
        <v>7.86 mA cm^{-2}</v>
      </c>
      <c r="N2175" s="0" t="str">
        <f aca="false">"52 %"</f>
        <v>52 %</v>
      </c>
      <c r="O2175" s="0" t="s">
        <v>7738</v>
      </c>
    </row>
    <row r="2176" customFormat="false" ht="13.8" hidden="false" customHeight="false" outlineLevel="0" collapsed="false">
      <c r="A2176" s="0" t="s">
        <v>7739</v>
      </c>
      <c r="D2176" s="0" t="s">
        <v>16</v>
      </c>
      <c r="E2176" s="0" t="s">
        <v>17</v>
      </c>
      <c r="F2176" s="0" t="s">
        <v>1351</v>
      </c>
      <c r="G2176" s="0" t="n">
        <v>0</v>
      </c>
      <c r="H2176" s="0" t="s">
        <v>31</v>
      </c>
      <c r="I2176" s="0" t="s">
        <v>17</v>
      </c>
      <c r="J2176" s="0" t="s">
        <v>1351</v>
      </c>
      <c r="K2176" s="0" t="str">
        <f aca="false">"3.0 %"</f>
        <v>3.0 %</v>
      </c>
      <c r="O2176" s="0" t="s">
        <v>7740</v>
      </c>
    </row>
    <row r="2177" customFormat="false" ht="13.8" hidden="false" customHeight="false" outlineLevel="0" collapsed="false">
      <c r="A2177" s="0" t="s">
        <v>7741</v>
      </c>
      <c r="D2177" s="0" t="s">
        <v>7742</v>
      </c>
      <c r="E2177" s="0" t="s">
        <v>7743</v>
      </c>
      <c r="F2177" s="0" t="s">
        <v>7744</v>
      </c>
      <c r="G2177" s="0" t="n">
        <v>0</v>
      </c>
      <c r="H2177" s="0" t="s">
        <v>6439</v>
      </c>
      <c r="J2177" s="0" t="s">
        <v>40</v>
      </c>
      <c r="K2177" s="0" t="str">
        <f aca="false">"11.02 %"</f>
        <v>11.02 %</v>
      </c>
      <c r="O2177" s="0" t="s">
        <v>7745</v>
      </c>
    </row>
    <row r="2178" customFormat="false" ht="13.8" hidden="false" customHeight="false" outlineLevel="0" collapsed="false">
      <c r="A2178" s="0" t="s">
        <v>7746</v>
      </c>
      <c r="D2178" s="0" t="s">
        <v>124</v>
      </c>
      <c r="F2178" s="0" t="s">
        <v>2054</v>
      </c>
      <c r="G2178" s="0" t="n">
        <v>0</v>
      </c>
      <c r="H2178" s="0" t="s">
        <v>163</v>
      </c>
      <c r="I2178" s="0" t="s">
        <v>164</v>
      </c>
      <c r="J2178" s="0" t="s">
        <v>165</v>
      </c>
      <c r="K2178" s="0" t="str">
        <f aca="false">"7.14 %"</f>
        <v>7.14 %</v>
      </c>
      <c r="M2178" s="0" t="str">
        <f aca="false">"14.11 ± 0.27 mA cm^{-2}"</f>
        <v>14.11 ± 0.27 mA cm^{-2}</v>
      </c>
      <c r="N2178" s="0" t="str">
        <f aca="false">"63.41 ± 1.46 %"</f>
        <v>63.41 ± 1.46 %</v>
      </c>
      <c r="O2178" s="0" t="s">
        <v>7747</v>
      </c>
    </row>
    <row r="2179" customFormat="false" ht="13.8" hidden="false" customHeight="false" outlineLevel="0" collapsed="false">
      <c r="A2179" s="0" t="s">
        <v>7748</v>
      </c>
      <c r="D2179" s="0" t="s">
        <v>7749</v>
      </c>
      <c r="F2179" s="0" t="s">
        <v>7750</v>
      </c>
      <c r="G2179" s="0" t="n">
        <v>0</v>
      </c>
      <c r="H2179" s="0" t="s">
        <v>7751</v>
      </c>
      <c r="J2179" s="0" t="s">
        <v>40</v>
      </c>
      <c r="K2179" s="0" t="str">
        <f aca="false">"4.91 %"</f>
        <v>4.91 %</v>
      </c>
      <c r="L2179" s="0" t="str">
        <f aca="false">"0.85 V"</f>
        <v>0.85 V</v>
      </c>
      <c r="O2179" s="0" t="s">
        <v>7752</v>
      </c>
    </row>
    <row r="2180" customFormat="false" ht="13.8" hidden="false" customHeight="false" outlineLevel="0" collapsed="false">
      <c r="A2180" s="0" t="s">
        <v>7748</v>
      </c>
      <c r="D2180" s="0" t="s">
        <v>7753</v>
      </c>
      <c r="F2180" s="0" t="s">
        <v>40</v>
      </c>
      <c r="G2180" s="0" t="n">
        <v>0</v>
      </c>
      <c r="H2180" s="0" t="s">
        <v>7751</v>
      </c>
      <c r="J2180" s="0" t="s">
        <v>40</v>
      </c>
      <c r="M2180" s="0" t="str">
        <f aca="false">"12.72 mA cm^{-2}"</f>
        <v>12.72 mA cm^{-2}</v>
      </c>
      <c r="N2180" s="0" t="str">
        <f aca="false">"62.14 %"</f>
        <v>62.14 %</v>
      </c>
      <c r="O2180" s="0" t="s">
        <v>7754</v>
      </c>
    </row>
    <row r="2181" customFormat="false" ht="13.8" hidden="false" customHeight="false" outlineLevel="0" collapsed="false">
      <c r="A2181" s="0" t="s">
        <v>7755</v>
      </c>
      <c r="D2181" s="0" t="s">
        <v>7756</v>
      </c>
      <c r="F2181" s="0" t="s">
        <v>7757</v>
      </c>
      <c r="G2181" s="0" t="n">
        <v>1</v>
      </c>
      <c r="H2181" s="0" t="s">
        <v>66</v>
      </c>
      <c r="J2181" s="0" t="s">
        <v>67</v>
      </c>
      <c r="K2181" s="0" t="str">
        <f aca="false">"9.0 %"</f>
        <v>9.0 %</v>
      </c>
      <c r="L2181" s="0" t="str">
        <f aca="false">"0.91 V"</f>
        <v>0.91 V</v>
      </c>
      <c r="M2181" s="0" t="str">
        <f aca="false">"12.99 mA cm^{-2}"</f>
        <v>12.99 mA cm^{-2}</v>
      </c>
      <c r="N2181" s="0" t="str">
        <f aca="false">"74.9 %"</f>
        <v>74.9 %</v>
      </c>
      <c r="O2181" s="0" t="s">
        <v>7758</v>
      </c>
    </row>
    <row r="2182" customFormat="false" ht="13.8" hidden="false" customHeight="false" outlineLevel="0" collapsed="false">
      <c r="A2182" s="0" t="s">
        <v>7759</v>
      </c>
      <c r="D2182" s="0" t="s">
        <v>599</v>
      </c>
      <c r="E2182" s="0" t="s">
        <v>600</v>
      </c>
      <c r="F2182" s="0" t="s">
        <v>601</v>
      </c>
      <c r="G2182" s="0" t="n">
        <v>0</v>
      </c>
      <c r="H2182" s="0" t="s">
        <v>7760</v>
      </c>
      <c r="I2182" s="0" t="s">
        <v>225</v>
      </c>
      <c r="J2182" s="0" t="s">
        <v>1996</v>
      </c>
      <c r="K2182" s="0" t="str">
        <f aca="false">"5.85 %"</f>
        <v>5.85 %</v>
      </c>
      <c r="L2182" s="0" t="str">
        <f aca="false">"0.812 V"</f>
        <v>0.812 V</v>
      </c>
      <c r="O2182" s="0" t="s">
        <v>7761</v>
      </c>
    </row>
    <row r="2183" customFormat="false" ht="13.8" hidden="false" customHeight="false" outlineLevel="0" collapsed="false">
      <c r="A2183" s="0" t="s">
        <v>7762</v>
      </c>
      <c r="D2183" s="0" t="s">
        <v>85</v>
      </c>
      <c r="E2183" s="0" t="s">
        <v>86</v>
      </c>
      <c r="F2183" s="0" t="s">
        <v>7763</v>
      </c>
      <c r="G2183" s="0" t="n">
        <v>0</v>
      </c>
      <c r="H2183" s="0" t="s">
        <v>7764</v>
      </c>
      <c r="J2183" s="0" t="s">
        <v>40</v>
      </c>
      <c r="K2183" s="0" t="str">
        <f aca="false">"2.69 %"</f>
        <v>2.69 %</v>
      </c>
      <c r="O2183" s="0" t="s">
        <v>7765</v>
      </c>
    </row>
    <row r="2184" customFormat="false" ht="13.8" hidden="false" customHeight="false" outlineLevel="0" collapsed="false">
      <c r="A2184" s="0" t="s">
        <v>7766</v>
      </c>
      <c r="D2184" s="0" t="s">
        <v>7767</v>
      </c>
      <c r="E2184" s="0" t="s">
        <v>600</v>
      </c>
      <c r="F2184" s="0" t="s">
        <v>7768</v>
      </c>
      <c r="G2184" s="0" t="n">
        <v>0</v>
      </c>
      <c r="H2184" s="0" t="s">
        <v>163</v>
      </c>
      <c r="I2184" s="0" t="s">
        <v>164</v>
      </c>
      <c r="J2184" s="0" t="s">
        <v>165</v>
      </c>
      <c r="K2184" s="0" t="str">
        <f aca="false">"11.14 %"</f>
        <v>11.14 %</v>
      </c>
      <c r="O2184" s="0" t="s">
        <v>7769</v>
      </c>
    </row>
    <row r="2185" customFormat="false" ht="13.8" hidden="false" customHeight="false" outlineLevel="0" collapsed="false">
      <c r="A2185" s="0" t="s">
        <v>7770</v>
      </c>
      <c r="D2185" s="0" t="s">
        <v>7771</v>
      </c>
      <c r="F2185" s="0" t="s">
        <v>7772</v>
      </c>
      <c r="G2185" s="0" t="n">
        <v>1</v>
      </c>
      <c r="H2185" s="0" t="s">
        <v>33</v>
      </c>
      <c r="J2185" s="0" t="s">
        <v>34</v>
      </c>
      <c r="K2185" s="0" t="str">
        <f aca="false">"5.29 %"</f>
        <v>5.29 %</v>
      </c>
      <c r="L2185" s="0" t="str">
        <f aca="false">"0.81 V"</f>
        <v>0.81 V</v>
      </c>
      <c r="O2185" s="0" t="s">
        <v>7773</v>
      </c>
    </row>
    <row r="2186" customFormat="false" ht="13.8" hidden="false" customHeight="false" outlineLevel="0" collapsed="false">
      <c r="A2186" s="0" t="s">
        <v>7774</v>
      </c>
      <c r="D2186" s="0" t="s">
        <v>7775</v>
      </c>
      <c r="F2186" s="0" t="s">
        <v>7776</v>
      </c>
      <c r="G2186" s="0" t="n">
        <v>1</v>
      </c>
      <c r="H2186" s="0" t="s">
        <v>27</v>
      </c>
      <c r="J2186" s="0" t="s">
        <v>40</v>
      </c>
      <c r="K2186" s="0" t="str">
        <f aca="false">"0.91 %"</f>
        <v>0.91 %</v>
      </c>
      <c r="O2186" s="0" t="s">
        <v>7777</v>
      </c>
    </row>
    <row r="2187" customFormat="false" ht="13.8" hidden="false" customHeight="false" outlineLevel="0" collapsed="false">
      <c r="A2187" s="0" t="s">
        <v>7774</v>
      </c>
      <c r="D2187" s="0" t="s">
        <v>7778</v>
      </c>
      <c r="F2187" s="0" t="s">
        <v>7779</v>
      </c>
      <c r="G2187" s="0" t="n">
        <v>1</v>
      </c>
      <c r="H2187" s="0" t="s">
        <v>27</v>
      </c>
      <c r="J2187" s="0" t="s">
        <v>40</v>
      </c>
      <c r="K2187" s="0" t="str">
        <f aca="false">"3.47 %"</f>
        <v>3.47 %</v>
      </c>
      <c r="O2187" s="0" t="s">
        <v>7780</v>
      </c>
    </row>
    <row r="2188" customFormat="false" ht="13.8" hidden="false" customHeight="false" outlineLevel="0" collapsed="false">
      <c r="A2188" s="0" t="s">
        <v>7774</v>
      </c>
      <c r="D2188" s="0" t="s">
        <v>7781</v>
      </c>
      <c r="F2188" s="0" t="s">
        <v>7782</v>
      </c>
      <c r="G2188" s="0" t="n">
        <v>1</v>
      </c>
      <c r="H2188" s="0" t="s">
        <v>27</v>
      </c>
      <c r="J2188" s="0" t="s">
        <v>40</v>
      </c>
      <c r="K2188" s="0" t="str">
        <f aca="false">"7.78 %"</f>
        <v>7.78 %</v>
      </c>
      <c r="O2188" s="0" t="s">
        <v>7783</v>
      </c>
    </row>
    <row r="2189" customFormat="false" ht="13.8" hidden="false" customHeight="false" outlineLevel="0" collapsed="false">
      <c r="A2189" s="0" t="s">
        <v>7784</v>
      </c>
      <c r="D2189" s="0" t="s">
        <v>7785</v>
      </c>
      <c r="F2189" s="0" t="s">
        <v>7786</v>
      </c>
      <c r="G2189" s="0" t="n">
        <v>1</v>
      </c>
      <c r="H2189" s="0" t="s">
        <v>33</v>
      </c>
      <c r="J2189" s="0" t="s">
        <v>40</v>
      </c>
      <c r="K2189" s="0" t="str">
        <f aca="false">"6.16 %"</f>
        <v>6.16 %</v>
      </c>
      <c r="M2189" s="0" t="str">
        <f aca="false">"14.41 mA cm^{-2}"</f>
        <v>14.41 mA cm^{-2}</v>
      </c>
      <c r="O2189" s="0" t="s">
        <v>7787</v>
      </c>
    </row>
    <row r="2190" customFormat="false" ht="13.8" hidden="false" customHeight="false" outlineLevel="0" collapsed="false">
      <c r="A2190" s="0" t="s">
        <v>7788</v>
      </c>
      <c r="D2190" s="0" t="s">
        <v>7789</v>
      </c>
      <c r="F2190" s="0" t="s">
        <v>7790</v>
      </c>
      <c r="G2190" s="0" t="n">
        <v>1</v>
      </c>
      <c r="H2190" s="0" t="s">
        <v>33</v>
      </c>
      <c r="J2190" s="0" t="s">
        <v>34</v>
      </c>
      <c r="K2190" s="0" t="str">
        <f aca="false">"5.65 %"</f>
        <v>5.65 %</v>
      </c>
      <c r="L2190" s="0" t="str">
        <f aca="false">"0.58 V"</f>
        <v>0.58 V</v>
      </c>
      <c r="M2190" s="0" t="str">
        <f aca="false">"16.1 mA cm^{-2}"</f>
        <v>16.1 mA cm^{-2}</v>
      </c>
      <c r="N2190" s="0" t="str">
        <f aca="false">"61 %"</f>
        <v>61 %</v>
      </c>
      <c r="O2190" s="0" t="s">
        <v>7791</v>
      </c>
    </row>
    <row r="2191" customFormat="false" ht="13.8" hidden="false" customHeight="false" outlineLevel="0" collapsed="false">
      <c r="A2191" s="0" t="s">
        <v>7792</v>
      </c>
      <c r="D2191" s="0" t="s">
        <v>7793</v>
      </c>
      <c r="E2191" s="0" t="s">
        <v>7794</v>
      </c>
      <c r="F2191" s="0" t="s">
        <v>7795</v>
      </c>
      <c r="G2191" s="0" t="n">
        <v>1</v>
      </c>
      <c r="H2191" s="0" t="s">
        <v>27</v>
      </c>
      <c r="J2191" s="0" t="s">
        <v>28</v>
      </c>
      <c r="K2191" s="0" t="str">
        <f aca="false">"4.02 %"</f>
        <v>4.02 %</v>
      </c>
      <c r="L2191" s="0" t="str">
        <f aca="false">"0.82 V"</f>
        <v>0.82 V</v>
      </c>
      <c r="M2191" s="0" t="str">
        <f aca="false">"8.99 mA cm^{-2}"</f>
        <v>8.99 mA cm^{-2}</v>
      </c>
      <c r="N2191" s="0" t="str">
        <f aca="false">"54.6 %"</f>
        <v>54.6 %</v>
      </c>
      <c r="O2191" s="0" t="s">
        <v>7796</v>
      </c>
    </row>
    <row r="2192" customFormat="false" ht="13.8" hidden="false" customHeight="false" outlineLevel="0" collapsed="false">
      <c r="A2192" s="0" t="s">
        <v>7797</v>
      </c>
      <c r="D2192" s="0" t="s">
        <v>85</v>
      </c>
      <c r="E2192" s="0" t="s">
        <v>86</v>
      </c>
      <c r="F2192" s="0" t="s">
        <v>87</v>
      </c>
      <c r="G2192" s="0" t="n">
        <v>1</v>
      </c>
      <c r="H2192" s="0" t="s">
        <v>27</v>
      </c>
      <c r="J2192" s="0" t="s">
        <v>28</v>
      </c>
      <c r="K2192" s="0" t="str">
        <f aca="false">"5.37 %"</f>
        <v>5.37 %</v>
      </c>
      <c r="O2192" s="0" t="s">
        <v>7798</v>
      </c>
    </row>
    <row r="2193" customFormat="false" ht="13.8" hidden="false" customHeight="false" outlineLevel="0" collapsed="false">
      <c r="A2193" s="0" t="s">
        <v>7799</v>
      </c>
      <c r="D2193" s="0" t="s">
        <v>1924</v>
      </c>
      <c r="E2193" s="0" t="s">
        <v>1925</v>
      </c>
      <c r="F2193" s="0" t="s">
        <v>7800</v>
      </c>
      <c r="G2193" s="0" t="n">
        <v>0</v>
      </c>
      <c r="H2193" s="0" t="s">
        <v>7801</v>
      </c>
      <c r="I2193" s="0" t="s">
        <v>1925</v>
      </c>
      <c r="J2193" s="0" t="s">
        <v>7800</v>
      </c>
      <c r="K2193" s="0" t="str">
        <f aca="false">"4.8 %"</f>
        <v>4.8 %</v>
      </c>
      <c r="O2193" s="0" t="s">
        <v>7802</v>
      </c>
    </row>
    <row r="2194" customFormat="false" ht="13.8" hidden="false" customHeight="false" outlineLevel="0" collapsed="false">
      <c r="A2194" s="0" t="s">
        <v>7803</v>
      </c>
      <c r="D2194" s="0" t="s">
        <v>6214</v>
      </c>
      <c r="F2194" s="0" t="s">
        <v>7804</v>
      </c>
      <c r="G2194" s="0" t="n">
        <v>1</v>
      </c>
      <c r="H2194" s="0" t="s">
        <v>76</v>
      </c>
      <c r="J2194" s="0" t="s">
        <v>77</v>
      </c>
      <c r="K2194" s="0" t="str">
        <f aca="false">"4.76 %"</f>
        <v>4.76 %</v>
      </c>
      <c r="L2194" s="0" t="str">
        <f aca="false">"0.74 V"</f>
        <v>0.74 V</v>
      </c>
      <c r="M2194" s="0" t="str">
        <f aca="false">"10.54 mA cm^{-2}"</f>
        <v>10.54 mA cm^{-2}</v>
      </c>
      <c r="N2194" s="0" t="str">
        <f aca="false">"0.61"</f>
        <v>0.61</v>
      </c>
      <c r="O2194" s="0" t="s">
        <v>7805</v>
      </c>
    </row>
    <row r="2195" customFormat="false" ht="13.8" hidden="false" customHeight="false" outlineLevel="0" collapsed="false">
      <c r="A2195" s="0" t="s">
        <v>7806</v>
      </c>
      <c r="D2195" s="0" t="s">
        <v>7807</v>
      </c>
      <c r="F2195" s="0" t="s">
        <v>7808</v>
      </c>
      <c r="G2195" s="0" t="n">
        <v>0</v>
      </c>
      <c r="H2195" s="0" t="s">
        <v>163</v>
      </c>
      <c r="I2195" s="0" t="s">
        <v>164</v>
      </c>
      <c r="J2195" s="0" t="s">
        <v>165</v>
      </c>
      <c r="K2195" s="0" t="str">
        <f aca="false">"3.95 %"</f>
        <v>3.95 %</v>
      </c>
      <c r="O2195" s="0" t="s">
        <v>7809</v>
      </c>
    </row>
    <row r="2196" customFormat="false" ht="13.8" hidden="false" customHeight="false" outlineLevel="0" collapsed="false">
      <c r="A2196" s="0" t="s">
        <v>7806</v>
      </c>
      <c r="D2196" s="0" t="s">
        <v>7810</v>
      </c>
      <c r="F2196" s="0" t="s">
        <v>7808</v>
      </c>
      <c r="G2196" s="0" t="n">
        <v>0</v>
      </c>
      <c r="H2196" s="0" t="s">
        <v>163</v>
      </c>
      <c r="I2196" s="0" t="s">
        <v>164</v>
      </c>
      <c r="J2196" s="0" t="s">
        <v>165</v>
      </c>
      <c r="K2196" s="0" t="str">
        <f aca="false">"8.13 %"</f>
        <v>8.13 %</v>
      </c>
      <c r="O2196" s="0" t="s">
        <v>7811</v>
      </c>
    </row>
    <row r="2197" customFormat="false" ht="13.8" hidden="false" customHeight="false" outlineLevel="0" collapsed="false">
      <c r="A2197" s="0" t="s">
        <v>7806</v>
      </c>
      <c r="D2197" s="0" t="s">
        <v>7812</v>
      </c>
      <c r="F2197" s="0" t="s">
        <v>7808</v>
      </c>
      <c r="G2197" s="0" t="n">
        <v>0</v>
      </c>
      <c r="H2197" s="0" t="s">
        <v>163</v>
      </c>
      <c r="I2197" s="0" t="s">
        <v>164</v>
      </c>
      <c r="J2197" s="0" t="s">
        <v>165</v>
      </c>
      <c r="K2197" s="0" t="str">
        <f aca="false">"4.93 %"</f>
        <v>4.93 %</v>
      </c>
      <c r="O2197" s="0" t="s">
        <v>7813</v>
      </c>
    </row>
    <row r="2198" customFormat="false" ht="13.8" hidden="false" customHeight="false" outlineLevel="0" collapsed="false">
      <c r="A2198" s="0" t="s">
        <v>7814</v>
      </c>
      <c r="D2198" s="0" t="s">
        <v>16</v>
      </c>
      <c r="E2198" s="0" t="s">
        <v>17</v>
      </c>
      <c r="F2198" s="0" t="s">
        <v>435</v>
      </c>
      <c r="G2198" s="0" t="n">
        <v>1</v>
      </c>
      <c r="H2198" s="0" t="s">
        <v>33</v>
      </c>
      <c r="J2198" s="0" t="s">
        <v>7815</v>
      </c>
      <c r="K2198" s="0" t="str">
        <f aca="false">"4.24 %"</f>
        <v>4.24 %</v>
      </c>
      <c r="O2198" s="0" t="s">
        <v>7816</v>
      </c>
    </row>
    <row r="2199" customFormat="false" ht="13.8" hidden="false" customHeight="false" outlineLevel="0" collapsed="false">
      <c r="A2199" s="0" t="s">
        <v>7814</v>
      </c>
      <c r="D2199" s="0" t="s">
        <v>208</v>
      </c>
      <c r="F2199" s="0" t="s">
        <v>40</v>
      </c>
      <c r="G2199" s="0" t="n">
        <v>1</v>
      </c>
      <c r="H2199" s="0" t="s">
        <v>33</v>
      </c>
      <c r="J2199" s="0" t="s">
        <v>7815</v>
      </c>
      <c r="K2199" s="0" t="str">
        <f aca="false">"3.57 %"</f>
        <v>3.57 %</v>
      </c>
      <c r="O2199" s="0" t="s">
        <v>7817</v>
      </c>
    </row>
    <row r="2200" customFormat="false" ht="13.8" hidden="false" customHeight="false" outlineLevel="0" collapsed="false">
      <c r="A2200" s="0" t="s">
        <v>7818</v>
      </c>
      <c r="D2200" s="0" t="s">
        <v>63</v>
      </c>
      <c r="E2200" s="0" t="s">
        <v>64</v>
      </c>
      <c r="F2200" s="0" t="s">
        <v>65</v>
      </c>
      <c r="G2200" s="0" t="n">
        <v>1</v>
      </c>
      <c r="H2200" s="0" t="s">
        <v>27</v>
      </c>
      <c r="J2200" s="0" t="s">
        <v>28</v>
      </c>
      <c r="K2200" s="0" t="str">
        <f aca="false">"7.3 %"</f>
        <v>7.3 %</v>
      </c>
      <c r="O2200" s="0" t="s">
        <v>7819</v>
      </c>
    </row>
    <row r="2201" customFormat="false" ht="13.8" hidden="false" customHeight="false" outlineLevel="0" collapsed="false">
      <c r="A2201" s="0" t="s">
        <v>7820</v>
      </c>
      <c r="D2201" s="0" t="s">
        <v>7821</v>
      </c>
      <c r="F2201" s="0" t="s">
        <v>7822</v>
      </c>
      <c r="G2201" s="0" t="n">
        <v>1</v>
      </c>
      <c r="H2201" s="0" t="s">
        <v>27</v>
      </c>
      <c r="J2201" s="0" t="s">
        <v>28</v>
      </c>
      <c r="K2201" s="0" t="str">
        <f aca="false">"5.46 %"</f>
        <v>5.46 %</v>
      </c>
      <c r="O2201" s="0" t="s">
        <v>7823</v>
      </c>
    </row>
    <row r="2202" customFormat="false" ht="13.8" hidden="false" customHeight="false" outlineLevel="0" collapsed="false">
      <c r="A2202" s="0" t="s">
        <v>7824</v>
      </c>
      <c r="D2202" s="0" t="s">
        <v>7825</v>
      </c>
      <c r="F2202" s="0" t="s">
        <v>7826</v>
      </c>
      <c r="G2202" s="0" t="n">
        <v>1</v>
      </c>
      <c r="H2202" s="0" t="s">
        <v>33</v>
      </c>
      <c r="J2202" s="0" t="s">
        <v>40</v>
      </c>
      <c r="K2202" s="0" t="str">
        <f aca="false">"5.1 %"</f>
        <v>5.1 %</v>
      </c>
      <c r="O2202" s="0" t="s">
        <v>7827</v>
      </c>
    </row>
    <row r="2203" customFormat="false" ht="13.8" hidden="false" customHeight="false" outlineLevel="0" collapsed="false">
      <c r="A2203" s="0" t="s">
        <v>7828</v>
      </c>
      <c r="D2203" s="0" t="s">
        <v>16</v>
      </c>
      <c r="E2203" s="0" t="s">
        <v>17</v>
      </c>
      <c r="F2203" s="0" t="s">
        <v>116</v>
      </c>
      <c r="G2203" s="0" t="n">
        <v>1</v>
      </c>
      <c r="H2203" s="0" t="s">
        <v>76</v>
      </c>
      <c r="J2203" s="0" t="s">
        <v>77</v>
      </c>
      <c r="K2203" s="0" t="str">
        <f aca="false">"3.54 %"</f>
        <v>3.54 %</v>
      </c>
      <c r="O2203" s="0" t="s">
        <v>7829</v>
      </c>
    </row>
    <row r="2204" customFormat="false" ht="13.8" hidden="false" customHeight="false" outlineLevel="0" collapsed="false">
      <c r="A2204" s="0" t="s">
        <v>7830</v>
      </c>
      <c r="B2204" s="0" t="n">
        <v>1</v>
      </c>
      <c r="D2204" s="0" t="s">
        <v>7831</v>
      </c>
      <c r="E2204" s="0" t="s">
        <v>7832</v>
      </c>
      <c r="F2204" s="0" t="s">
        <v>7833</v>
      </c>
      <c r="G2204" s="0" t="n">
        <v>1</v>
      </c>
      <c r="H2204" s="0" t="s">
        <v>27</v>
      </c>
      <c r="J2204" s="0" t="s">
        <v>28</v>
      </c>
      <c r="K2204" s="0" t="str">
        <f aca="false">"5.18 %"</f>
        <v>5.18 %</v>
      </c>
      <c r="L2204" s="0" t="str">
        <f aca="false">"0.94 V"</f>
        <v>0.94 V</v>
      </c>
      <c r="O2204" s="0" t="s">
        <v>7834</v>
      </c>
    </row>
    <row r="2205" customFormat="false" ht="13.8" hidden="false" customHeight="false" outlineLevel="0" collapsed="false">
      <c r="A2205" s="0" t="s">
        <v>7835</v>
      </c>
      <c r="D2205" s="0" t="s">
        <v>7836</v>
      </c>
      <c r="F2205" s="0" t="s">
        <v>7837</v>
      </c>
      <c r="G2205" s="0" t="n">
        <v>1</v>
      </c>
      <c r="H2205" s="0" t="s">
        <v>27</v>
      </c>
      <c r="J2205" s="0" t="s">
        <v>28</v>
      </c>
      <c r="K2205" s="0" t="str">
        <f aca="false">"0.82 %"</f>
        <v>0.82 %</v>
      </c>
      <c r="O2205" s="0" t="s">
        <v>7838</v>
      </c>
    </row>
    <row r="2206" customFormat="false" ht="13.8" hidden="false" customHeight="false" outlineLevel="0" collapsed="false">
      <c r="A2206" s="0" t="s">
        <v>7835</v>
      </c>
      <c r="D2206" s="0" t="s">
        <v>16</v>
      </c>
      <c r="E2206" s="0" t="s">
        <v>17</v>
      </c>
      <c r="F2206" s="0" t="s">
        <v>116</v>
      </c>
      <c r="G2206" s="0" t="n">
        <v>1</v>
      </c>
      <c r="H2206" s="0" t="s">
        <v>27</v>
      </c>
      <c r="J2206" s="0" t="s">
        <v>28</v>
      </c>
      <c r="K2206" s="0" t="str">
        <f aca="false">"5.48 %"</f>
        <v>5.48 %</v>
      </c>
      <c r="O2206" s="0" t="s">
        <v>7839</v>
      </c>
    </row>
    <row r="2207" customFormat="false" ht="13.8" hidden="false" customHeight="false" outlineLevel="0" collapsed="false">
      <c r="A2207" s="0" t="s">
        <v>7840</v>
      </c>
      <c r="D2207" s="0" t="s">
        <v>7841</v>
      </c>
      <c r="E2207" s="0" t="s">
        <v>7842</v>
      </c>
      <c r="F2207" s="0" t="s">
        <v>7843</v>
      </c>
      <c r="G2207" s="0" t="n">
        <v>1</v>
      </c>
      <c r="H2207" s="0" t="s">
        <v>27</v>
      </c>
      <c r="J2207" s="0" t="s">
        <v>28</v>
      </c>
      <c r="K2207" s="0" t="str">
        <f aca="false">"5.16 %"</f>
        <v>5.16 %</v>
      </c>
      <c r="O2207" s="0" t="s">
        <v>7844</v>
      </c>
    </row>
    <row r="2208" customFormat="false" ht="13.8" hidden="false" customHeight="false" outlineLevel="0" collapsed="false">
      <c r="A2208" s="0" t="s">
        <v>7840</v>
      </c>
      <c r="D2208" s="0" t="s">
        <v>201</v>
      </c>
      <c r="E2208" s="0" t="s">
        <v>202</v>
      </c>
      <c r="F2208" s="0" t="s">
        <v>422</v>
      </c>
      <c r="G2208" s="0" t="n">
        <v>1</v>
      </c>
      <c r="H2208" s="0" t="s">
        <v>27</v>
      </c>
      <c r="J2208" s="0" t="s">
        <v>28</v>
      </c>
      <c r="K2208" s="0" t="str">
        <f aca="false">"1.41 %"</f>
        <v>1.41 %</v>
      </c>
      <c r="O2208" s="0" t="s">
        <v>7845</v>
      </c>
    </row>
    <row r="2209" customFormat="false" ht="13.8" hidden="false" customHeight="false" outlineLevel="0" collapsed="false">
      <c r="A2209" s="0" t="s">
        <v>7846</v>
      </c>
      <c r="D2209" s="0" t="s">
        <v>85</v>
      </c>
      <c r="E2209" s="0" t="s">
        <v>86</v>
      </c>
      <c r="F2209" s="0" t="s">
        <v>87</v>
      </c>
      <c r="G2209" s="0" t="n">
        <v>1</v>
      </c>
      <c r="H2209" s="0" t="s">
        <v>27</v>
      </c>
      <c r="J2209" s="0" t="s">
        <v>28</v>
      </c>
      <c r="K2209" s="0" t="str">
        <f aca="false">"6.29 %"</f>
        <v>6.29 %</v>
      </c>
      <c r="O2209" s="0" t="s">
        <v>7847</v>
      </c>
    </row>
    <row r="2210" customFormat="false" ht="13.8" hidden="false" customHeight="false" outlineLevel="0" collapsed="false">
      <c r="A2210" s="0" t="s">
        <v>7848</v>
      </c>
      <c r="D2210" s="0" t="s">
        <v>5364</v>
      </c>
      <c r="F2210" s="0" t="s">
        <v>5366</v>
      </c>
      <c r="G2210" s="0" t="n">
        <v>0</v>
      </c>
      <c r="H2210" s="0" t="s">
        <v>7849</v>
      </c>
      <c r="J2210" s="0" t="s">
        <v>7850</v>
      </c>
      <c r="K2210" s="0" t="str">
        <f aca="false">"11.03 %"</f>
        <v>11.03 %</v>
      </c>
      <c r="L2210" s="0" t="str">
        <f aca="false">"0.86 V"</f>
        <v>0.86 V</v>
      </c>
      <c r="O2210" s="0" t="s">
        <v>7851</v>
      </c>
    </row>
    <row r="2211" customFormat="false" ht="13.8" hidden="false" customHeight="false" outlineLevel="0" collapsed="false">
      <c r="A2211" s="0" t="s">
        <v>7852</v>
      </c>
      <c r="B2211" s="0" t="n">
        <v>1</v>
      </c>
      <c r="D2211" s="0" t="s">
        <v>7853</v>
      </c>
      <c r="E2211" s="0" t="s">
        <v>7854</v>
      </c>
      <c r="F2211" s="0" t="s">
        <v>7855</v>
      </c>
      <c r="G2211" s="0" t="n">
        <v>1</v>
      </c>
      <c r="H2211" s="0" t="s">
        <v>27</v>
      </c>
      <c r="J2211" s="0" t="s">
        <v>28</v>
      </c>
      <c r="K2211" s="0" t="str">
        <f aca="false">"8.00 %"</f>
        <v>8.00 %</v>
      </c>
      <c r="L2211" s="0" t="str">
        <f aca="false">"0.90 V"</f>
        <v>0.90 V</v>
      </c>
      <c r="O2211" s="0" t="s">
        <v>7856</v>
      </c>
    </row>
    <row r="2212" customFormat="false" ht="13.8" hidden="false" customHeight="false" outlineLevel="0" collapsed="false">
      <c r="A2212" s="0" t="s">
        <v>7857</v>
      </c>
      <c r="D2212" s="0" t="s">
        <v>109</v>
      </c>
      <c r="E2212" s="0" t="s">
        <v>110</v>
      </c>
      <c r="F2212" s="0" t="s">
        <v>111</v>
      </c>
      <c r="G2212" s="0" t="n">
        <v>1</v>
      </c>
      <c r="H2212" s="0" t="s">
        <v>66</v>
      </c>
      <c r="J2212" s="0" t="s">
        <v>67</v>
      </c>
      <c r="K2212" s="0" t="str">
        <f aca="false">"6.30 %"</f>
        <v>6.30 %</v>
      </c>
      <c r="O2212" s="0" t="s">
        <v>7858</v>
      </c>
    </row>
    <row r="2213" customFormat="false" ht="13.8" hidden="false" customHeight="false" outlineLevel="0" collapsed="false">
      <c r="A2213" s="0" t="s">
        <v>7859</v>
      </c>
      <c r="D2213" s="0" t="s">
        <v>208</v>
      </c>
      <c r="E2213" s="0" t="s">
        <v>17</v>
      </c>
      <c r="F2213" s="0" t="s">
        <v>209</v>
      </c>
      <c r="G2213" s="0" t="n">
        <v>0</v>
      </c>
      <c r="H2213" s="0" t="s">
        <v>7860</v>
      </c>
      <c r="J2213" s="0" t="s">
        <v>7861</v>
      </c>
      <c r="K2213" s="0" t="str">
        <f aca="false">"5.04 %"</f>
        <v>5.04 %</v>
      </c>
      <c r="O2213" s="0" t="s">
        <v>7862</v>
      </c>
    </row>
    <row r="2214" customFormat="false" ht="13.8" hidden="false" customHeight="false" outlineLevel="0" collapsed="false">
      <c r="A2214" s="0" t="s">
        <v>7863</v>
      </c>
      <c r="D2214" s="0" t="s">
        <v>7864</v>
      </c>
      <c r="F2214" s="0" t="s">
        <v>7865</v>
      </c>
      <c r="G2214" s="0" t="n">
        <v>1</v>
      </c>
      <c r="H2214" s="0" t="s">
        <v>27</v>
      </c>
      <c r="J2214" s="0" t="s">
        <v>28</v>
      </c>
      <c r="K2214" s="0" t="str">
        <f aca="false">"8.40 %"</f>
        <v>8.40 %</v>
      </c>
      <c r="O2214" s="0" t="s">
        <v>7866</v>
      </c>
    </row>
    <row r="2215" customFormat="false" ht="13.8" hidden="false" customHeight="false" outlineLevel="0" collapsed="false">
      <c r="A2215" s="0" t="s">
        <v>7867</v>
      </c>
      <c r="D2215" s="0" t="s">
        <v>3949</v>
      </c>
      <c r="F2215" s="0" t="s">
        <v>7868</v>
      </c>
      <c r="G2215" s="0" t="n">
        <v>1</v>
      </c>
      <c r="H2215" s="0" t="s">
        <v>27</v>
      </c>
      <c r="J2215" s="0" t="s">
        <v>28</v>
      </c>
      <c r="K2215" s="0" t="str">
        <f aca="false">"6.17 %"</f>
        <v>6.17 %</v>
      </c>
      <c r="L2215" s="0" t="str">
        <f aca="false">"0.92 V"</f>
        <v>0.92 V</v>
      </c>
      <c r="M2215" s="0" t="str">
        <f aca="false">"11.14 mA cm^{-2}"</f>
        <v>11.14 mA cm^{-2}</v>
      </c>
      <c r="N2215" s="0" t="str">
        <f aca="false">"0.61"</f>
        <v>0.61</v>
      </c>
      <c r="O2215" s="0" t="s">
        <v>7869</v>
      </c>
    </row>
    <row r="2216" customFormat="false" ht="13.8" hidden="false" customHeight="false" outlineLevel="0" collapsed="false">
      <c r="A2216" s="0" t="s">
        <v>7870</v>
      </c>
      <c r="D2216" s="0" t="s">
        <v>7871</v>
      </c>
      <c r="F2216" s="0" t="s">
        <v>40</v>
      </c>
      <c r="G2216" s="0" t="n">
        <v>0</v>
      </c>
      <c r="H2216" s="0" t="s">
        <v>7872</v>
      </c>
      <c r="J2216" s="0" t="s">
        <v>40</v>
      </c>
      <c r="K2216" s="0" t="str">
        <f aca="false">"5.85 %"</f>
        <v>5.85 %</v>
      </c>
      <c r="O2216" s="0" t="s">
        <v>7873</v>
      </c>
    </row>
    <row r="2217" customFormat="false" ht="13.8" hidden="false" customHeight="false" outlineLevel="0" collapsed="false">
      <c r="A2217" s="0" t="s">
        <v>7870</v>
      </c>
      <c r="D2217" s="0" t="s">
        <v>7874</v>
      </c>
      <c r="F2217" s="0" t="s">
        <v>7875</v>
      </c>
      <c r="G2217" s="0" t="n">
        <v>0</v>
      </c>
      <c r="H2217" s="0" t="s">
        <v>7872</v>
      </c>
      <c r="J2217" s="0" t="s">
        <v>40</v>
      </c>
      <c r="L2217" s="0" t="str">
        <f aca="false">"0.99 V"</f>
        <v>0.99 V</v>
      </c>
      <c r="O2217" s="0" t="s">
        <v>7876</v>
      </c>
    </row>
    <row r="2218" customFormat="false" ht="13.8" hidden="false" customHeight="false" outlineLevel="0" collapsed="false">
      <c r="A2218" s="0" t="s">
        <v>7870</v>
      </c>
      <c r="D2218" s="0" t="s">
        <v>599</v>
      </c>
      <c r="E2218" s="0" t="s">
        <v>600</v>
      </c>
      <c r="F2218" s="0" t="s">
        <v>601</v>
      </c>
      <c r="G2218" s="0" t="n">
        <v>0</v>
      </c>
      <c r="H2218" s="0" t="s">
        <v>7872</v>
      </c>
      <c r="J2218" s="0" t="s">
        <v>40</v>
      </c>
      <c r="M2218" s="0" t="str">
        <f aca="false">"11.58 mA cm^{-2}"</f>
        <v>11.58 mA cm^{-2}</v>
      </c>
      <c r="O2218" s="0" t="s">
        <v>7877</v>
      </c>
    </row>
    <row r="2219" customFormat="false" ht="13.8" hidden="false" customHeight="false" outlineLevel="0" collapsed="false">
      <c r="A2219" s="0" t="s">
        <v>7878</v>
      </c>
      <c r="D2219" s="0" t="s">
        <v>1386</v>
      </c>
      <c r="E2219" s="0" t="s">
        <v>1387</v>
      </c>
      <c r="F2219" s="0" t="s">
        <v>1388</v>
      </c>
      <c r="G2219" s="0" t="n">
        <v>0</v>
      </c>
      <c r="H2219" s="0" t="s">
        <v>7879</v>
      </c>
      <c r="J2219" s="0" t="s">
        <v>7880</v>
      </c>
      <c r="K2219" s="0" t="str">
        <f aca="false">"11.85 %"</f>
        <v>11.85 %</v>
      </c>
      <c r="O2219" s="0" t="s">
        <v>7881</v>
      </c>
    </row>
    <row r="2220" customFormat="false" ht="13.8" hidden="false" customHeight="false" outlineLevel="0" collapsed="false">
      <c r="A2220" s="0" t="s">
        <v>7882</v>
      </c>
      <c r="B2220" s="0" t="n">
        <v>1</v>
      </c>
      <c r="D2220" s="0" t="s">
        <v>7883</v>
      </c>
      <c r="E2220" s="0" t="s">
        <v>7884</v>
      </c>
      <c r="F2220" s="0" t="s">
        <v>7885</v>
      </c>
      <c r="G2220" s="0" t="n">
        <v>1</v>
      </c>
      <c r="H2220" s="0" t="s">
        <v>27</v>
      </c>
      <c r="J2220" s="0" t="s">
        <v>28</v>
      </c>
      <c r="K2220" s="0" t="str">
        <f aca="false">"7.25 %"</f>
        <v>7.25 %</v>
      </c>
      <c r="O2220" s="0" t="s">
        <v>7886</v>
      </c>
    </row>
    <row r="2221" customFormat="false" ht="13.8" hidden="false" customHeight="false" outlineLevel="0" collapsed="false">
      <c r="A2221" s="0" t="s">
        <v>7887</v>
      </c>
      <c r="D2221" s="0" t="s">
        <v>6214</v>
      </c>
      <c r="F2221" s="0" t="s">
        <v>40</v>
      </c>
      <c r="G2221" s="0" t="n">
        <v>1</v>
      </c>
      <c r="H2221" s="0" t="s">
        <v>27</v>
      </c>
      <c r="J2221" s="0" t="s">
        <v>28</v>
      </c>
      <c r="K2221" s="0" t="str">
        <f aca="false">"4.5 %"</f>
        <v>4.5 %</v>
      </c>
      <c r="L2221" s="0" t="str">
        <f aca="false">"0.75 V"</f>
        <v>0.75 V</v>
      </c>
      <c r="M2221" s="0" t="str">
        <f aca="false">"13.0 mA cm^{-2}"</f>
        <v>13.0 mA cm^{-2}</v>
      </c>
      <c r="N2221" s="0" t="str">
        <f aca="false">"64.8 %"</f>
        <v>64.8 %</v>
      </c>
      <c r="O2221" s="0" t="s">
        <v>7888</v>
      </c>
    </row>
    <row r="2222" customFormat="false" ht="13.8" hidden="false" customHeight="false" outlineLevel="0" collapsed="false">
      <c r="A2222" s="0" t="s">
        <v>7889</v>
      </c>
      <c r="D2222" s="0" t="s">
        <v>201</v>
      </c>
      <c r="E2222" s="0" t="s">
        <v>202</v>
      </c>
      <c r="F2222" s="0" t="s">
        <v>7890</v>
      </c>
      <c r="G2222" s="0" t="n">
        <v>1</v>
      </c>
      <c r="H2222" s="0" t="s">
        <v>27</v>
      </c>
      <c r="J2222" s="0" t="s">
        <v>28</v>
      </c>
      <c r="K2222" s="0" t="str">
        <f aca="false">"8.52 %"</f>
        <v>8.52 %</v>
      </c>
      <c r="O2222" s="0" t="s">
        <v>7891</v>
      </c>
    </row>
    <row r="2223" customFormat="false" ht="13.8" hidden="false" customHeight="false" outlineLevel="0" collapsed="false">
      <c r="A2223" s="0" t="s">
        <v>7892</v>
      </c>
      <c r="D2223" s="0" t="s">
        <v>7893</v>
      </c>
      <c r="E2223" s="0" t="s">
        <v>17</v>
      </c>
      <c r="F2223" s="0" t="s">
        <v>7894</v>
      </c>
      <c r="G2223" s="0" t="n">
        <v>1</v>
      </c>
      <c r="H2223" s="0" t="s">
        <v>33</v>
      </c>
      <c r="J2223" s="0" t="s">
        <v>34</v>
      </c>
      <c r="K2223" s="0" t="str">
        <f aca="false">"3.23 %"</f>
        <v>3.23 %</v>
      </c>
      <c r="O2223" s="0" t="s">
        <v>7895</v>
      </c>
    </row>
    <row r="2224" customFormat="false" ht="13.8" hidden="false" customHeight="false" outlineLevel="0" collapsed="false">
      <c r="A2224" s="0" t="s">
        <v>7896</v>
      </c>
      <c r="D2224" s="0" t="s">
        <v>7107</v>
      </c>
      <c r="F2224" s="0" t="s">
        <v>7108</v>
      </c>
      <c r="G2224" s="0" t="n">
        <v>1</v>
      </c>
      <c r="H2224" s="0" t="s">
        <v>27</v>
      </c>
      <c r="J2224" s="0" t="s">
        <v>1799</v>
      </c>
      <c r="K2224" s="0" t="str">
        <f aca="false">"7.5 %"</f>
        <v>7.5 %</v>
      </c>
      <c r="L2224" s="0" t="str">
        <f aca="false">"0.62 V"</f>
        <v>0.62 V</v>
      </c>
      <c r="O2224" s="0" t="s">
        <v>7897</v>
      </c>
    </row>
    <row r="2225" customFormat="false" ht="13.8" hidden="false" customHeight="false" outlineLevel="0" collapsed="false">
      <c r="A2225" s="0" t="s">
        <v>7896</v>
      </c>
      <c r="D2225" s="0" t="s">
        <v>208</v>
      </c>
      <c r="E2225" s="0" t="s">
        <v>17</v>
      </c>
      <c r="F2225" s="0" t="s">
        <v>209</v>
      </c>
      <c r="G2225" s="0" t="n">
        <v>1</v>
      </c>
      <c r="H2225" s="0" t="s">
        <v>27</v>
      </c>
      <c r="J2225" s="0" t="s">
        <v>1799</v>
      </c>
      <c r="K2225" s="0" t="str">
        <f aca="false">"3.2 %"</f>
        <v>3.2 %</v>
      </c>
      <c r="N2225" s="0" t="str">
        <f aca="false">"0.67"</f>
        <v>0.67</v>
      </c>
      <c r="O2225" s="0" t="s">
        <v>7898</v>
      </c>
    </row>
    <row r="2226" customFormat="false" ht="13.8" hidden="false" customHeight="false" outlineLevel="0" collapsed="false">
      <c r="A2226" s="0" t="s">
        <v>7899</v>
      </c>
      <c r="D2226" s="0" t="s">
        <v>201</v>
      </c>
      <c r="E2226" s="0" t="s">
        <v>202</v>
      </c>
      <c r="F2226" s="0" t="s">
        <v>422</v>
      </c>
      <c r="G2226" s="0" t="n">
        <v>1</v>
      </c>
      <c r="H2226" s="0" t="s">
        <v>33</v>
      </c>
      <c r="J2226" s="0" t="s">
        <v>40</v>
      </c>
      <c r="K2226" s="0" t="str">
        <f aca="false">"9 %"</f>
        <v>9 %</v>
      </c>
      <c r="O2226" s="0" t="s">
        <v>7900</v>
      </c>
    </row>
    <row r="2227" customFormat="false" ht="13.8" hidden="false" customHeight="false" outlineLevel="0" collapsed="false">
      <c r="A2227" s="0" t="s">
        <v>7901</v>
      </c>
      <c r="D2227" s="0" t="s">
        <v>5180</v>
      </c>
      <c r="F2227" s="0" t="s">
        <v>7902</v>
      </c>
      <c r="G2227" s="0" t="n">
        <v>0</v>
      </c>
      <c r="H2227" s="0" t="s">
        <v>7903</v>
      </c>
      <c r="J2227" s="0" t="s">
        <v>40</v>
      </c>
      <c r="K2227" s="0" t="str">
        <f aca="false">"9.05 %"</f>
        <v>9.05 %</v>
      </c>
      <c r="N2227" s="0" t="str">
        <f aca="false">"66.9 %"</f>
        <v>66.9 %</v>
      </c>
      <c r="O2227" s="0" t="s">
        <v>7904</v>
      </c>
    </row>
    <row r="2228" customFormat="false" ht="13.8" hidden="false" customHeight="false" outlineLevel="0" collapsed="false">
      <c r="A2228" s="0" t="s">
        <v>7901</v>
      </c>
      <c r="D2228" s="0" t="s">
        <v>201</v>
      </c>
      <c r="E2228" s="0" t="s">
        <v>202</v>
      </c>
      <c r="F2228" s="0" t="s">
        <v>422</v>
      </c>
      <c r="G2228" s="0" t="n">
        <v>0</v>
      </c>
      <c r="H2228" s="0" t="s">
        <v>7903</v>
      </c>
      <c r="J2228" s="0" t="s">
        <v>40</v>
      </c>
      <c r="K2228" s="0" t="str">
        <f aca="false">"9 %"</f>
        <v>9 %</v>
      </c>
      <c r="O2228" s="0" t="s">
        <v>7905</v>
      </c>
    </row>
    <row r="2229" customFormat="false" ht="13.8" hidden="false" customHeight="false" outlineLevel="0" collapsed="false">
      <c r="A2229" s="0" t="s">
        <v>7906</v>
      </c>
      <c r="D2229" s="0" t="s">
        <v>7907</v>
      </c>
      <c r="F2229" s="0" t="s">
        <v>7908</v>
      </c>
      <c r="G2229" s="0" t="n">
        <v>0</v>
      </c>
      <c r="H2229" s="0" t="s">
        <v>7909</v>
      </c>
      <c r="J2229" s="0" t="s">
        <v>40</v>
      </c>
      <c r="K2229" s="0" t="str">
        <f aca="false">"7.59 %"</f>
        <v>7.59 %</v>
      </c>
      <c r="O2229" s="0" t="s">
        <v>7910</v>
      </c>
    </row>
    <row r="2230" customFormat="false" ht="13.8" hidden="false" customHeight="false" outlineLevel="0" collapsed="false">
      <c r="A2230" s="0" t="s">
        <v>7911</v>
      </c>
      <c r="D2230" s="0" t="s">
        <v>1116</v>
      </c>
      <c r="E2230" s="0" t="s">
        <v>1117</v>
      </c>
      <c r="F2230" s="0" t="s">
        <v>1118</v>
      </c>
      <c r="G2230" s="0" t="n">
        <v>0</v>
      </c>
      <c r="H2230" s="0" t="s">
        <v>7912</v>
      </c>
      <c r="J2230" s="0" t="s">
        <v>7913</v>
      </c>
      <c r="K2230" s="0" t="str">
        <f aca="false">"11.5 %"</f>
        <v>11.5 %</v>
      </c>
      <c r="L2230" s="0" t="str">
        <f aca="false">"0.99 V"</f>
        <v>0.99 V</v>
      </c>
      <c r="M2230" s="0" t="str">
        <f aca="false">"19.1 mA cm^{-2}"</f>
        <v>19.1 mA cm^{-2}</v>
      </c>
      <c r="O2230" s="0" t="s">
        <v>7914</v>
      </c>
    </row>
    <row r="2231" customFormat="false" ht="13.8" hidden="false" customHeight="false" outlineLevel="0" collapsed="false">
      <c r="A2231" s="0" t="s">
        <v>7915</v>
      </c>
      <c r="D2231" s="0" t="s">
        <v>7916</v>
      </c>
      <c r="F2231" s="0" t="s">
        <v>7917</v>
      </c>
      <c r="G2231" s="0" t="n">
        <v>1</v>
      </c>
      <c r="H2231" s="0" t="s">
        <v>33</v>
      </c>
      <c r="J2231" s="0" t="s">
        <v>40</v>
      </c>
      <c r="K2231" s="0" t="str">
        <f aca="false">"8.8 %"</f>
        <v>8.8 %</v>
      </c>
      <c r="O2231" s="0" t="s">
        <v>7918</v>
      </c>
    </row>
    <row r="2232" customFormat="false" ht="13.8" hidden="false" customHeight="false" outlineLevel="0" collapsed="false">
      <c r="A2232" s="0" t="s">
        <v>7919</v>
      </c>
      <c r="D2232" s="0" t="s">
        <v>7920</v>
      </c>
      <c r="F2232" s="0" t="s">
        <v>7921</v>
      </c>
      <c r="G2232" s="0" t="n">
        <v>0</v>
      </c>
      <c r="H2232" s="0" t="s">
        <v>2050</v>
      </c>
      <c r="J2232" s="0" t="s">
        <v>2051</v>
      </c>
      <c r="K2232" s="0" t="str">
        <f aca="false">"11.37 %"</f>
        <v>11.37 %</v>
      </c>
      <c r="L2232" s="0" t="str">
        <f aca="false">"0.921 V"</f>
        <v>0.921 V</v>
      </c>
      <c r="O2232" s="0" t="s">
        <v>7922</v>
      </c>
    </row>
    <row r="2233" customFormat="false" ht="13.8" hidden="false" customHeight="false" outlineLevel="0" collapsed="false">
      <c r="A2233" s="0" t="s">
        <v>7923</v>
      </c>
      <c r="D2233" s="0" t="s">
        <v>7924</v>
      </c>
      <c r="F2233" s="0" t="s">
        <v>7925</v>
      </c>
      <c r="G2233" s="0" t="n">
        <v>0</v>
      </c>
      <c r="H2233" s="0" t="s">
        <v>7926</v>
      </c>
      <c r="J2233" s="0" t="s">
        <v>7927</v>
      </c>
      <c r="K2233" s="0" t="str">
        <f aca="false">"9.79 %"</f>
        <v>9.79 %</v>
      </c>
      <c r="L2233" s="0" t="str">
        <f aca="false">"0.934 V"</f>
        <v>0.934 V</v>
      </c>
      <c r="M2233" s="0" t="str">
        <f aca="false">"16.01 mA cm^{-2}"</f>
        <v>16.01 mA cm^{-2}</v>
      </c>
      <c r="N2233" s="0" t="str">
        <f aca="false">"65.49 %"</f>
        <v>65.49 %</v>
      </c>
      <c r="O2233" s="0" t="s">
        <v>7928</v>
      </c>
    </row>
    <row r="2234" customFormat="false" ht="13.8" hidden="false" customHeight="false" outlineLevel="0" collapsed="false">
      <c r="A2234" s="0" t="s">
        <v>7929</v>
      </c>
      <c r="D2234" s="0" t="s">
        <v>201</v>
      </c>
      <c r="E2234" s="0" t="s">
        <v>202</v>
      </c>
      <c r="F2234" s="0" t="s">
        <v>422</v>
      </c>
      <c r="G2234" s="0" t="n">
        <v>1</v>
      </c>
      <c r="H2234" s="0" t="s">
        <v>27</v>
      </c>
      <c r="J2234" s="0" t="s">
        <v>28</v>
      </c>
      <c r="K2234" s="0" t="str">
        <f aca="false">"9.43 %"</f>
        <v>9.43 %</v>
      </c>
      <c r="O2234" s="0" t="s">
        <v>7930</v>
      </c>
    </row>
    <row r="2235" customFormat="false" ht="13.8" hidden="false" customHeight="false" outlineLevel="0" collapsed="false">
      <c r="A2235" s="0" t="s">
        <v>7931</v>
      </c>
      <c r="D2235" s="0" t="s">
        <v>2311</v>
      </c>
      <c r="F2235" s="0" t="s">
        <v>7932</v>
      </c>
      <c r="G2235" s="0" t="n">
        <v>1</v>
      </c>
      <c r="H2235" s="0" t="s">
        <v>33</v>
      </c>
      <c r="J2235" s="0" t="s">
        <v>34</v>
      </c>
      <c r="K2235" s="0" t="str">
        <f aca="false">"7.36 %"</f>
        <v>7.36 %</v>
      </c>
      <c r="L2235" s="0" t="str">
        <f aca="false">"0.92 V"</f>
        <v>0.92 V</v>
      </c>
      <c r="M2235" s="0" t="str">
        <f aca="false">"12.94 mA cm^{-2}"</f>
        <v>12.94 mA cm^{-2}</v>
      </c>
      <c r="O2235" s="0" t="s">
        <v>7933</v>
      </c>
    </row>
    <row r="2236" customFormat="false" ht="13.8" hidden="false" customHeight="false" outlineLevel="0" collapsed="false">
      <c r="A2236" s="0" t="s">
        <v>7934</v>
      </c>
      <c r="D2236" s="0" t="s">
        <v>201</v>
      </c>
      <c r="E2236" s="0" t="s">
        <v>202</v>
      </c>
      <c r="F2236" s="0" t="s">
        <v>422</v>
      </c>
      <c r="G2236" s="0" t="n">
        <v>0</v>
      </c>
      <c r="H2236" s="0" t="s">
        <v>2258</v>
      </c>
      <c r="J2236" s="0" t="s">
        <v>40</v>
      </c>
      <c r="K2236" s="0" t="str">
        <f aca="false">"10.74 %"</f>
        <v>10.74 %</v>
      </c>
      <c r="O2236" s="0" t="s">
        <v>7935</v>
      </c>
    </row>
    <row r="2237" customFormat="false" ht="13.8" hidden="false" customHeight="false" outlineLevel="0" collapsed="false">
      <c r="A2237" s="0" t="s">
        <v>7936</v>
      </c>
      <c r="D2237" s="0" t="s">
        <v>208</v>
      </c>
      <c r="E2237" s="0" t="s">
        <v>17</v>
      </c>
      <c r="F2237" s="0" t="s">
        <v>209</v>
      </c>
      <c r="G2237" s="0" t="n">
        <v>0</v>
      </c>
      <c r="H2237" s="0" t="s">
        <v>7937</v>
      </c>
      <c r="J2237" s="0" t="s">
        <v>7938</v>
      </c>
      <c r="K2237" s="0" t="str">
        <f aca="false">"5.85 ± 0.25 %"</f>
        <v>5.85 ± 0.25 %</v>
      </c>
      <c r="O2237" s="0" t="s">
        <v>7939</v>
      </c>
    </row>
    <row r="2238" customFormat="false" ht="13.8" hidden="false" customHeight="false" outlineLevel="0" collapsed="false">
      <c r="A2238" s="0" t="s">
        <v>7940</v>
      </c>
      <c r="D2238" s="0" t="s">
        <v>124</v>
      </c>
      <c r="F2238" s="0" t="s">
        <v>126</v>
      </c>
      <c r="G2238" s="0" t="n">
        <v>1</v>
      </c>
      <c r="H2238" s="0" t="s">
        <v>27</v>
      </c>
      <c r="J2238" s="0" t="s">
        <v>28</v>
      </c>
      <c r="K2238" s="0" t="str">
        <f aca="false">"18.2 %"</f>
        <v>18.2 %</v>
      </c>
      <c r="O2238" s="0" t="s">
        <v>7941</v>
      </c>
    </row>
    <row r="2239" customFormat="false" ht="13.8" hidden="false" customHeight="false" outlineLevel="0" collapsed="false">
      <c r="A2239" s="0" t="s">
        <v>7942</v>
      </c>
      <c r="D2239" s="0" t="s">
        <v>1031</v>
      </c>
      <c r="E2239" s="0" t="s">
        <v>1032</v>
      </c>
      <c r="F2239" s="0" t="s">
        <v>1138</v>
      </c>
      <c r="G2239" s="0" t="n">
        <v>1</v>
      </c>
      <c r="H2239" s="0" t="s">
        <v>33</v>
      </c>
      <c r="J2239" s="0" t="s">
        <v>34</v>
      </c>
      <c r="K2239" s="0" t="str">
        <f aca="false">"3.65 %"</f>
        <v>3.65 %</v>
      </c>
      <c r="O2239" s="0" t="s">
        <v>7943</v>
      </c>
    </row>
    <row r="2240" customFormat="false" ht="13.8" hidden="false" customHeight="false" outlineLevel="0" collapsed="false">
      <c r="A2240" s="0" t="s">
        <v>7944</v>
      </c>
      <c r="D2240" s="0" t="s">
        <v>201</v>
      </c>
      <c r="E2240" s="0" t="s">
        <v>202</v>
      </c>
      <c r="F2240" s="0" t="s">
        <v>422</v>
      </c>
      <c r="G2240" s="0" t="n">
        <v>1</v>
      </c>
      <c r="H2240" s="0" t="s">
        <v>27</v>
      </c>
      <c r="J2240" s="0" t="s">
        <v>28</v>
      </c>
      <c r="K2240" s="0" t="str">
        <f aca="false">"10.1 %"</f>
        <v>10.1 %</v>
      </c>
      <c r="L2240" s="0" t="str">
        <f aca="false">"11.6 V"</f>
        <v>11.6 V</v>
      </c>
      <c r="N2240" s="0" t="str">
        <f aca="false">"0.71"</f>
        <v>0.71</v>
      </c>
      <c r="O2240" s="0" t="s">
        <v>7945</v>
      </c>
    </row>
    <row r="2241" customFormat="false" ht="13.8" hidden="false" customHeight="false" outlineLevel="0" collapsed="false">
      <c r="A2241" s="0" t="s">
        <v>7944</v>
      </c>
      <c r="D2241" s="0" t="s">
        <v>599</v>
      </c>
      <c r="E2241" s="0" t="s">
        <v>600</v>
      </c>
      <c r="F2241" s="0" t="s">
        <v>601</v>
      </c>
      <c r="G2241" s="0" t="n">
        <v>1</v>
      </c>
      <c r="H2241" s="0" t="s">
        <v>27</v>
      </c>
      <c r="J2241" s="0" t="s">
        <v>28</v>
      </c>
      <c r="L2241" s="0" t="str">
        <f aca="false">"6.3 V"</f>
        <v>6.3 V</v>
      </c>
      <c r="O2241" s="0" t="s">
        <v>7946</v>
      </c>
    </row>
    <row r="2242" customFormat="false" ht="13.8" hidden="false" customHeight="false" outlineLevel="0" collapsed="false">
      <c r="A2242" s="0" t="s">
        <v>7944</v>
      </c>
      <c r="D2242" s="0" t="s">
        <v>16</v>
      </c>
      <c r="E2242" s="0" t="s">
        <v>17</v>
      </c>
      <c r="F2242" s="0" t="s">
        <v>116</v>
      </c>
      <c r="G2242" s="0" t="n">
        <v>1</v>
      </c>
      <c r="H2242" s="0" t="s">
        <v>27</v>
      </c>
      <c r="J2242" s="0" t="s">
        <v>28</v>
      </c>
      <c r="K2242" s="0" t="str">
        <f aca="false">"6.3 %"</f>
        <v>6.3 %</v>
      </c>
      <c r="O2242" s="0" t="s">
        <v>7947</v>
      </c>
    </row>
    <row r="2243" customFormat="false" ht="13.8" hidden="false" customHeight="false" outlineLevel="0" collapsed="false">
      <c r="A2243" s="0" t="s">
        <v>7948</v>
      </c>
      <c r="D2243" s="0" t="s">
        <v>16</v>
      </c>
      <c r="E2243" s="0" t="s">
        <v>17</v>
      </c>
      <c r="F2243" s="0" t="s">
        <v>116</v>
      </c>
      <c r="G2243" s="0" t="n">
        <v>0</v>
      </c>
      <c r="H2243" s="0" t="s">
        <v>7949</v>
      </c>
      <c r="J2243" s="0" t="s">
        <v>7950</v>
      </c>
      <c r="K2243" s="0" t="str">
        <f aca="false">"1.63 %"</f>
        <v>1.63 %</v>
      </c>
      <c r="N2243" s="0" t="str">
        <f aca="false">"0.66"</f>
        <v>0.66</v>
      </c>
      <c r="O2243" s="0" t="s">
        <v>7951</v>
      </c>
    </row>
    <row r="2244" customFormat="false" ht="13.8" hidden="false" customHeight="false" outlineLevel="0" collapsed="false">
      <c r="A2244" s="0" t="s">
        <v>7952</v>
      </c>
      <c r="D2244" s="0" t="s">
        <v>109</v>
      </c>
      <c r="E2244" s="0" t="s">
        <v>110</v>
      </c>
      <c r="F2244" s="0" t="s">
        <v>111</v>
      </c>
      <c r="G2244" s="0" t="n">
        <v>0</v>
      </c>
      <c r="H2244" s="0" t="s">
        <v>2385</v>
      </c>
      <c r="J2244" s="0" t="s">
        <v>2387</v>
      </c>
      <c r="K2244" s="0" t="str">
        <f aca="false">"3 %"</f>
        <v>3 %</v>
      </c>
      <c r="O2244" s="0" t="s">
        <v>7953</v>
      </c>
    </row>
    <row r="2245" customFormat="false" ht="13.8" hidden="false" customHeight="false" outlineLevel="0" collapsed="false">
      <c r="A2245" s="0" t="s">
        <v>7954</v>
      </c>
      <c r="D2245" s="0" t="s">
        <v>201</v>
      </c>
      <c r="E2245" s="0" t="s">
        <v>202</v>
      </c>
      <c r="F2245" s="0" t="s">
        <v>7955</v>
      </c>
      <c r="G2245" s="0" t="n">
        <v>1</v>
      </c>
      <c r="H2245" s="0" t="s">
        <v>33</v>
      </c>
      <c r="J2245" s="0" t="s">
        <v>34</v>
      </c>
      <c r="K2245" s="0" t="str">
        <f aca="false">"5.34 %"</f>
        <v>5.34 %</v>
      </c>
      <c r="O2245" s="0" t="s">
        <v>7956</v>
      </c>
    </row>
    <row r="2246" customFormat="false" ht="13.8" hidden="false" customHeight="false" outlineLevel="0" collapsed="false">
      <c r="A2246" s="0" t="s">
        <v>7957</v>
      </c>
      <c r="D2246" s="0" t="s">
        <v>7958</v>
      </c>
      <c r="F2246" s="0" t="s">
        <v>7959</v>
      </c>
      <c r="G2246" s="0" t="n">
        <v>1</v>
      </c>
      <c r="H2246" s="0" t="s">
        <v>27</v>
      </c>
      <c r="J2246" s="0" t="s">
        <v>28</v>
      </c>
      <c r="O2246" s="0" t="s">
        <v>7960</v>
      </c>
    </row>
    <row r="2247" customFormat="false" ht="13.8" hidden="false" customHeight="false" outlineLevel="0" collapsed="false">
      <c r="A2247" s="0" t="s">
        <v>7957</v>
      </c>
      <c r="F2247" s="0" t="s">
        <v>40</v>
      </c>
      <c r="G2247" s="0" t="n">
        <v>1</v>
      </c>
      <c r="H2247" s="0" t="s">
        <v>27</v>
      </c>
      <c r="J2247" s="0" t="s">
        <v>28</v>
      </c>
      <c r="K2247" s="0" t="str">
        <f aca="false">"5.3 %"</f>
        <v>5.3 %</v>
      </c>
      <c r="O2247" s="0" t="s">
        <v>7961</v>
      </c>
    </row>
    <row r="2248" customFormat="false" ht="13.8" hidden="false" customHeight="false" outlineLevel="0" collapsed="false">
      <c r="A2248" s="0" t="s">
        <v>7962</v>
      </c>
      <c r="D2248" s="0" t="s">
        <v>5667</v>
      </c>
      <c r="F2248" s="0" t="s">
        <v>40</v>
      </c>
      <c r="G2248" s="0" t="n">
        <v>1</v>
      </c>
      <c r="H2248" s="0" t="s">
        <v>27</v>
      </c>
      <c r="J2248" s="0" t="s">
        <v>28</v>
      </c>
      <c r="K2248" s="0" t="str">
        <f aca="false">"5 %"</f>
        <v>5 %</v>
      </c>
      <c r="O2248" s="0" t="s">
        <v>7963</v>
      </c>
    </row>
    <row r="2249" customFormat="false" ht="13.8" hidden="false" customHeight="false" outlineLevel="0" collapsed="false">
      <c r="A2249" s="0" t="s">
        <v>7964</v>
      </c>
      <c r="D2249" s="0" t="s">
        <v>16</v>
      </c>
      <c r="E2249" s="0" t="s">
        <v>17</v>
      </c>
      <c r="F2249" s="0" t="s">
        <v>116</v>
      </c>
      <c r="G2249" s="0" t="n">
        <v>0</v>
      </c>
      <c r="H2249" s="0" t="s">
        <v>7965</v>
      </c>
      <c r="J2249" s="0" t="s">
        <v>7966</v>
      </c>
      <c r="K2249" s="0" t="str">
        <f aca="false">"0.43 %"</f>
        <v>0.43 %</v>
      </c>
      <c r="O2249" s="0" t="s">
        <v>7967</v>
      </c>
    </row>
    <row r="2250" customFormat="false" ht="13.8" hidden="false" customHeight="false" outlineLevel="0" collapsed="false">
      <c r="A2250" s="0" t="s">
        <v>7964</v>
      </c>
      <c r="D2250" s="0" t="s">
        <v>16</v>
      </c>
      <c r="E2250" s="0" t="s">
        <v>17</v>
      </c>
      <c r="F2250" s="0" t="s">
        <v>116</v>
      </c>
      <c r="G2250" s="0" t="n">
        <v>0</v>
      </c>
      <c r="H2250" s="0" t="s">
        <v>7968</v>
      </c>
      <c r="J2250" s="0" t="s">
        <v>7966</v>
      </c>
      <c r="K2250" s="0" t="str">
        <f aca="false">"0.31 %"</f>
        <v>0.31 %</v>
      </c>
      <c r="L2250" s="0" t="str">
        <f aca="false">"1.0 V"</f>
        <v>1.0 V</v>
      </c>
      <c r="O2250" s="0" t="s">
        <v>7969</v>
      </c>
    </row>
    <row r="2251" customFormat="false" ht="13.8" hidden="false" customHeight="false" outlineLevel="0" collapsed="false">
      <c r="A2251" s="0" t="s">
        <v>7964</v>
      </c>
      <c r="D2251" s="0" t="s">
        <v>16</v>
      </c>
      <c r="E2251" s="0" t="s">
        <v>17</v>
      </c>
      <c r="F2251" s="0" t="s">
        <v>116</v>
      </c>
      <c r="G2251" s="0" t="n">
        <v>0</v>
      </c>
      <c r="H2251" s="0" t="s">
        <v>7970</v>
      </c>
      <c r="J2251" s="0" t="s">
        <v>7966</v>
      </c>
      <c r="K2251" s="0" t="str">
        <f aca="false">"0.04 %"</f>
        <v>0.04 %</v>
      </c>
      <c r="L2251" s="0" t="str">
        <f aca="false">"0.82 V"</f>
        <v>0.82 V</v>
      </c>
      <c r="O2251" s="0" t="s">
        <v>7971</v>
      </c>
    </row>
    <row r="2252" customFormat="false" ht="13.8" hidden="false" customHeight="false" outlineLevel="0" collapsed="false">
      <c r="A2252" s="0" t="s">
        <v>7972</v>
      </c>
      <c r="D2252" s="0" t="s">
        <v>7973</v>
      </c>
      <c r="F2252" s="0" t="s">
        <v>7974</v>
      </c>
      <c r="G2252" s="0" t="n">
        <v>1</v>
      </c>
      <c r="H2252" s="0" t="s">
        <v>76</v>
      </c>
      <c r="J2252" s="0" t="s">
        <v>77</v>
      </c>
      <c r="K2252" s="0" t="str">
        <f aca="false">"6.25 %"</f>
        <v>6.25 %</v>
      </c>
      <c r="O2252" s="0" t="s">
        <v>7975</v>
      </c>
    </row>
    <row r="2253" customFormat="false" ht="13.8" hidden="false" customHeight="false" outlineLevel="0" collapsed="false">
      <c r="A2253" s="0" t="s">
        <v>7976</v>
      </c>
      <c r="C2253" s="0" t="n">
        <v>1</v>
      </c>
      <c r="D2253" s="0" t="s">
        <v>6518</v>
      </c>
      <c r="E2253" s="0" t="s">
        <v>6519</v>
      </c>
      <c r="F2253" s="0" t="s">
        <v>7977</v>
      </c>
      <c r="G2253" s="0" t="n">
        <v>1</v>
      </c>
      <c r="H2253" s="0" t="s">
        <v>27</v>
      </c>
      <c r="J2253" s="0" t="s">
        <v>28</v>
      </c>
      <c r="K2253" s="0" t="str">
        <f aca="false">"8.09 %"</f>
        <v>8.09 %</v>
      </c>
      <c r="O2253" s="0" t="s">
        <v>7978</v>
      </c>
    </row>
    <row r="2254" customFormat="false" ht="13.8" hidden="false" customHeight="false" outlineLevel="0" collapsed="false">
      <c r="A2254" s="0" t="s">
        <v>7976</v>
      </c>
      <c r="D2254" s="0" t="s">
        <v>201</v>
      </c>
      <c r="E2254" s="0" t="s">
        <v>202</v>
      </c>
      <c r="F2254" s="0" t="s">
        <v>422</v>
      </c>
      <c r="G2254" s="0" t="n">
        <v>1</v>
      </c>
      <c r="H2254" s="0" t="s">
        <v>27</v>
      </c>
      <c r="J2254" s="0" t="s">
        <v>28</v>
      </c>
      <c r="K2254" s="0" t="str">
        <f aca="false">"9.28 %"</f>
        <v>9.28 %</v>
      </c>
      <c r="O2254" s="0" t="s">
        <v>7979</v>
      </c>
    </row>
    <row r="2255" customFormat="false" ht="13.8" hidden="false" customHeight="false" outlineLevel="0" collapsed="false">
      <c r="A2255" s="0" t="s">
        <v>7980</v>
      </c>
      <c r="D2255" s="0" t="s">
        <v>7981</v>
      </c>
      <c r="F2255" s="0" t="s">
        <v>7982</v>
      </c>
      <c r="G2255" s="0" t="n">
        <v>1</v>
      </c>
      <c r="H2255" s="0" t="s">
        <v>27</v>
      </c>
      <c r="J2255" s="0" t="s">
        <v>28</v>
      </c>
      <c r="K2255" s="0" t="str">
        <f aca="false">"1.62 %"</f>
        <v>1.62 %</v>
      </c>
      <c r="O2255" s="0" t="s">
        <v>7983</v>
      </c>
    </row>
    <row r="2256" customFormat="false" ht="13.8" hidden="false" customHeight="false" outlineLevel="0" collapsed="false">
      <c r="A2256" s="0" t="s">
        <v>7984</v>
      </c>
      <c r="D2256" s="0" t="s">
        <v>16</v>
      </c>
      <c r="E2256" s="0" t="s">
        <v>17</v>
      </c>
      <c r="F2256" s="0" t="s">
        <v>18</v>
      </c>
      <c r="G2256" s="0" t="n">
        <v>1</v>
      </c>
      <c r="H2256" s="0" t="s">
        <v>117</v>
      </c>
      <c r="J2256" s="0" t="s">
        <v>40</v>
      </c>
      <c r="K2256" s="0" t="str">
        <f aca="false">"5.4 %"</f>
        <v>5.4 %</v>
      </c>
      <c r="O2256" s="0" t="s">
        <v>7985</v>
      </c>
    </row>
    <row r="2257" customFormat="false" ht="13.8" hidden="false" customHeight="false" outlineLevel="0" collapsed="false">
      <c r="A2257" s="0" t="s">
        <v>7986</v>
      </c>
      <c r="D2257" s="0" t="s">
        <v>85</v>
      </c>
      <c r="E2257" s="0" t="s">
        <v>86</v>
      </c>
      <c r="F2257" s="0" t="s">
        <v>7987</v>
      </c>
      <c r="G2257" s="0" t="n">
        <v>1</v>
      </c>
      <c r="H2257" s="0" t="s">
        <v>27</v>
      </c>
      <c r="J2257" s="0" t="s">
        <v>2066</v>
      </c>
      <c r="K2257" s="0" t="str">
        <f aca="false">"7.89 %"</f>
        <v>7.89 %</v>
      </c>
      <c r="N2257" s="0" t="str">
        <f aca="false">"63.2 %"</f>
        <v>63.2 %</v>
      </c>
      <c r="O2257" s="0" t="s">
        <v>7988</v>
      </c>
    </row>
    <row r="2258" customFormat="false" ht="13.8" hidden="false" customHeight="false" outlineLevel="0" collapsed="false">
      <c r="A2258" s="0" t="s">
        <v>7986</v>
      </c>
      <c r="D2258" s="0" t="s">
        <v>208</v>
      </c>
      <c r="E2258" s="0" t="s">
        <v>17</v>
      </c>
      <c r="F2258" s="0" t="s">
        <v>209</v>
      </c>
      <c r="G2258" s="0" t="n">
        <v>1</v>
      </c>
      <c r="H2258" s="0" t="s">
        <v>27</v>
      </c>
      <c r="J2258" s="0" t="s">
        <v>2066</v>
      </c>
      <c r="K2258" s="0" t="str">
        <f aca="false">"0.46 %"</f>
        <v>0.46 %</v>
      </c>
      <c r="L2258" s="0" t="str">
        <f aca="false">"0.197 V"</f>
        <v>0.197 V</v>
      </c>
      <c r="N2258" s="0" t="str">
        <f aca="false">"34.3 %"</f>
        <v>34.3 %</v>
      </c>
      <c r="O2258" s="0" t="s">
        <v>7989</v>
      </c>
    </row>
    <row r="2259" customFormat="false" ht="13.8" hidden="false" customHeight="false" outlineLevel="0" collapsed="false">
      <c r="A2259" s="0" t="s">
        <v>7990</v>
      </c>
      <c r="D2259" s="0" t="s">
        <v>2258</v>
      </c>
      <c r="F2259" s="0" t="s">
        <v>40</v>
      </c>
      <c r="G2259" s="0" t="n">
        <v>1</v>
      </c>
      <c r="H2259" s="0" t="s">
        <v>27</v>
      </c>
      <c r="J2259" s="0" t="s">
        <v>1274</v>
      </c>
      <c r="K2259" s="0" t="str">
        <f aca="false">"7.57 %"</f>
        <v>7.57 %</v>
      </c>
      <c r="O2259" s="0" t="s">
        <v>7991</v>
      </c>
    </row>
    <row r="2260" customFormat="false" ht="13.8" hidden="false" customHeight="false" outlineLevel="0" collapsed="false">
      <c r="A2260" s="0" t="s">
        <v>7992</v>
      </c>
      <c r="D2260" s="0" t="s">
        <v>6038</v>
      </c>
      <c r="F2260" s="0" t="s">
        <v>40</v>
      </c>
      <c r="G2260" s="0" t="n">
        <v>1</v>
      </c>
      <c r="H2260" s="0" t="s">
        <v>76</v>
      </c>
      <c r="J2260" s="0" t="s">
        <v>77</v>
      </c>
      <c r="K2260" s="0" t="str">
        <f aca="false">"3.62 %"</f>
        <v>3.62 %</v>
      </c>
      <c r="M2260" s="0" t="str">
        <f aca="false">"7.98 mA cm^{-2}"</f>
        <v>7.98 mA cm^{-2}</v>
      </c>
      <c r="O2260" s="0" t="s">
        <v>7993</v>
      </c>
    </row>
    <row r="2261" customFormat="false" ht="13.8" hidden="false" customHeight="false" outlineLevel="0" collapsed="false">
      <c r="A2261" s="0" t="s">
        <v>7994</v>
      </c>
      <c r="D2261" s="0" t="s">
        <v>7995</v>
      </c>
      <c r="F2261" s="0" t="s">
        <v>40</v>
      </c>
      <c r="G2261" s="0" t="n">
        <v>1</v>
      </c>
      <c r="H2261" s="0" t="s">
        <v>27</v>
      </c>
      <c r="J2261" s="0" t="s">
        <v>40</v>
      </c>
      <c r="K2261" s="0" t="str">
        <f aca="false">"0.48 %"</f>
        <v>0.48 %</v>
      </c>
      <c r="O2261" s="0" t="s">
        <v>7996</v>
      </c>
    </row>
    <row r="2262" customFormat="false" ht="13.8" hidden="false" customHeight="false" outlineLevel="0" collapsed="false">
      <c r="A2262" s="0" t="s">
        <v>7997</v>
      </c>
      <c r="D2262" s="0" t="s">
        <v>7998</v>
      </c>
      <c r="F2262" s="0" t="s">
        <v>40</v>
      </c>
      <c r="G2262" s="0" t="n">
        <v>1</v>
      </c>
      <c r="H2262" s="0" t="s">
        <v>33</v>
      </c>
      <c r="J2262" s="0" t="s">
        <v>40</v>
      </c>
      <c r="K2262" s="0" t="str">
        <f aca="false">"1.98 %"</f>
        <v>1.98 %</v>
      </c>
      <c r="O2262" s="0" t="s">
        <v>7999</v>
      </c>
    </row>
    <row r="2263" customFormat="false" ht="13.8" hidden="false" customHeight="false" outlineLevel="0" collapsed="false">
      <c r="A2263" s="0" t="s">
        <v>7997</v>
      </c>
      <c r="D2263" s="0" t="s">
        <v>8000</v>
      </c>
      <c r="F2263" s="0" t="s">
        <v>8001</v>
      </c>
      <c r="G2263" s="0" t="n">
        <v>1</v>
      </c>
      <c r="H2263" s="0" t="s">
        <v>33</v>
      </c>
      <c r="J2263" s="0" t="s">
        <v>40</v>
      </c>
      <c r="O2263" s="0" t="s">
        <v>8002</v>
      </c>
    </row>
    <row r="2264" customFormat="false" ht="13.8" hidden="false" customHeight="false" outlineLevel="0" collapsed="false">
      <c r="A2264" s="0" t="s">
        <v>8003</v>
      </c>
      <c r="B2264" s="0" t="n">
        <v>1</v>
      </c>
      <c r="D2264" s="0" t="s">
        <v>8004</v>
      </c>
      <c r="E2264" s="0" t="s">
        <v>8005</v>
      </c>
      <c r="F2264" s="0" t="s">
        <v>8006</v>
      </c>
      <c r="G2264" s="0" t="n">
        <v>1</v>
      </c>
      <c r="H2264" s="0" t="s">
        <v>27</v>
      </c>
      <c r="J2264" s="0" t="s">
        <v>28</v>
      </c>
      <c r="K2264" s="0" t="str">
        <f aca="false">"8.91 %"</f>
        <v>8.91 %</v>
      </c>
      <c r="L2264" s="0" t="str">
        <f aca="false">"0.94 V"</f>
        <v>0.94 V</v>
      </c>
      <c r="M2264" s="0" t="str">
        <f aca="false">"14.36 mA cm^{-2}"</f>
        <v>14.36 mA cm^{-2}</v>
      </c>
      <c r="N2264" s="0" t="str">
        <f aca="false">"0.66"</f>
        <v>0.66</v>
      </c>
      <c r="O2264" s="0" t="s">
        <v>8007</v>
      </c>
    </row>
    <row r="2265" customFormat="false" ht="13.8" hidden="false" customHeight="false" outlineLevel="0" collapsed="false">
      <c r="A2265" s="0" t="s">
        <v>8008</v>
      </c>
      <c r="D2265" s="0" t="s">
        <v>208</v>
      </c>
      <c r="E2265" s="0" t="s">
        <v>17</v>
      </c>
      <c r="F2265" s="0" t="s">
        <v>209</v>
      </c>
      <c r="G2265" s="0" t="n">
        <v>1</v>
      </c>
      <c r="H2265" s="0" t="s">
        <v>76</v>
      </c>
      <c r="J2265" s="0" t="s">
        <v>77</v>
      </c>
      <c r="K2265" s="0" t="str">
        <f aca="false">"2.37 %"</f>
        <v>2.37 %</v>
      </c>
      <c r="O2265" s="0" t="s">
        <v>8009</v>
      </c>
    </row>
    <row r="2266" customFormat="false" ht="13.8" hidden="false" customHeight="false" outlineLevel="0" collapsed="false">
      <c r="A2266" s="0" t="s">
        <v>8010</v>
      </c>
      <c r="D2266" s="0" t="s">
        <v>8011</v>
      </c>
      <c r="F2266" s="0" t="s">
        <v>8012</v>
      </c>
      <c r="G2266" s="0" t="n">
        <v>1</v>
      </c>
      <c r="H2266" s="0" t="s">
        <v>27</v>
      </c>
      <c r="J2266" s="0" t="s">
        <v>28</v>
      </c>
      <c r="K2266" s="0" t="str">
        <f aca="false">"6.04 %"</f>
        <v>6.04 %</v>
      </c>
      <c r="O2266" s="0" t="s">
        <v>8013</v>
      </c>
    </row>
    <row r="2267" customFormat="false" ht="13.8" hidden="false" customHeight="false" outlineLevel="0" collapsed="false">
      <c r="A2267" s="0" t="s">
        <v>8014</v>
      </c>
      <c r="D2267" s="0" t="s">
        <v>85</v>
      </c>
      <c r="E2267" s="0" t="s">
        <v>86</v>
      </c>
      <c r="F2267" s="0" t="s">
        <v>87</v>
      </c>
      <c r="G2267" s="0" t="n">
        <v>1</v>
      </c>
      <c r="H2267" s="0" t="s">
        <v>27</v>
      </c>
      <c r="J2267" s="0" t="s">
        <v>28</v>
      </c>
      <c r="K2267" s="0" t="str">
        <f aca="false">"7.75 %"</f>
        <v>7.75 %</v>
      </c>
      <c r="O2267" s="0" t="s">
        <v>8015</v>
      </c>
    </row>
    <row r="2268" customFormat="false" ht="13.8" hidden="false" customHeight="false" outlineLevel="0" collapsed="false">
      <c r="A2268" s="0" t="s">
        <v>8016</v>
      </c>
      <c r="D2268" s="0" t="s">
        <v>8017</v>
      </c>
      <c r="F2268" s="0" t="s">
        <v>8018</v>
      </c>
      <c r="G2268" s="0" t="n">
        <v>1</v>
      </c>
      <c r="H2268" s="0" t="s">
        <v>76</v>
      </c>
      <c r="J2268" s="0" t="s">
        <v>77</v>
      </c>
      <c r="K2268" s="0" t="str">
        <f aca="false">"0.03 %"</f>
        <v>0.03 %</v>
      </c>
      <c r="O2268" s="0" t="s">
        <v>8019</v>
      </c>
    </row>
    <row r="2269" customFormat="false" ht="13.8" hidden="false" customHeight="false" outlineLevel="0" collapsed="false">
      <c r="A2269" s="0" t="s">
        <v>8020</v>
      </c>
      <c r="D2269" s="0" t="s">
        <v>8021</v>
      </c>
      <c r="F2269" s="0" t="s">
        <v>8022</v>
      </c>
      <c r="G2269" s="0" t="n">
        <v>1</v>
      </c>
      <c r="H2269" s="0" t="s">
        <v>33</v>
      </c>
      <c r="J2269" s="0" t="s">
        <v>34</v>
      </c>
      <c r="O2269" s="0" t="s">
        <v>8023</v>
      </c>
    </row>
    <row r="2270" customFormat="false" ht="13.8" hidden="false" customHeight="false" outlineLevel="0" collapsed="false">
      <c r="A2270" s="0" t="s">
        <v>8020</v>
      </c>
      <c r="F2270" s="0" t="s">
        <v>40</v>
      </c>
      <c r="G2270" s="0" t="n">
        <v>1</v>
      </c>
      <c r="H2270" s="0" t="s">
        <v>33</v>
      </c>
      <c r="J2270" s="0" t="s">
        <v>34</v>
      </c>
      <c r="K2270" s="0" t="str">
        <f aca="false">"4.52 %"</f>
        <v>4.52 %</v>
      </c>
      <c r="O2270" s="0" t="s">
        <v>8024</v>
      </c>
    </row>
    <row r="2271" customFormat="false" ht="13.8" hidden="false" customHeight="false" outlineLevel="0" collapsed="false">
      <c r="A2271" s="0" t="s">
        <v>8025</v>
      </c>
      <c r="D2271" s="0" t="s">
        <v>8026</v>
      </c>
      <c r="F2271" s="0" t="s">
        <v>8027</v>
      </c>
      <c r="G2271" s="0" t="n">
        <v>1</v>
      </c>
      <c r="H2271" s="0" t="s">
        <v>27</v>
      </c>
      <c r="J2271" s="0" t="s">
        <v>28</v>
      </c>
      <c r="K2271" s="0" t="str">
        <f aca="false">"0.67 %"</f>
        <v>0.67 %</v>
      </c>
      <c r="L2271" s="0" t="str">
        <f aca="false">"0.54 V"</f>
        <v>0.54 V</v>
      </c>
      <c r="M2271" s="0" t="str">
        <f aca="false">"4.9 mA cm^{-2}"</f>
        <v>4.9 mA cm^{-2}</v>
      </c>
      <c r="N2271" s="0" t="str">
        <f aca="false">"25 %"</f>
        <v>25 %</v>
      </c>
      <c r="O2271" s="0" t="s">
        <v>8028</v>
      </c>
    </row>
    <row r="2272" customFormat="false" ht="13.8" hidden="false" customHeight="false" outlineLevel="0" collapsed="false">
      <c r="A2272" s="0" t="s">
        <v>8029</v>
      </c>
      <c r="D2272" s="0" t="s">
        <v>85</v>
      </c>
      <c r="E2272" s="0" t="s">
        <v>86</v>
      </c>
      <c r="F2272" s="0" t="s">
        <v>87</v>
      </c>
      <c r="G2272" s="0" t="n">
        <v>1</v>
      </c>
      <c r="H2272" s="0" t="s">
        <v>27</v>
      </c>
      <c r="J2272" s="0" t="s">
        <v>28</v>
      </c>
      <c r="K2272" s="0" t="str">
        <f aca="false">"9.1 %"</f>
        <v>9.1 %</v>
      </c>
      <c r="O2272" s="0" t="s">
        <v>8030</v>
      </c>
    </row>
    <row r="2273" customFormat="false" ht="13.8" hidden="false" customHeight="false" outlineLevel="0" collapsed="false">
      <c r="A2273" s="0" t="s">
        <v>8031</v>
      </c>
      <c r="D2273" s="0" t="s">
        <v>8032</v>
      </c>
      <c r="F2273" s="0" t="s">
        <v>8033</v>
      </c>
      <c r="G2273" s="0" t="n">
        <v>0</v>
      </c>
      <c r="H2273" s="0" t="s">
        <v>5667</v>
      </c>
      <c r="J2273" s="0" t="s">
        <v>40</v>
      </c>
      <c r="O2273" s="0" t="s">
        <v>8034</v>
      </c>
    </row>
    <row r="2274" customFormat="false" ht="13.8" hidden="false" customHeight="false" outlineLevel="0" collapsed="false">
      <c r="A2274" s="0" t="s">
        <v>8031</v>
      </c>
      <c r="D2274" s="0" t="s">
        <v>8035</v>
      </c>
      <c r="F2274" s="0" t="s">
        <v>8036</v>
      </c>
      <c r="G2274" s="0" t="n">
        <v>0</v>
      </c>
      <c r="H2274" s="0" t="s">
        <v>5667</v>
      </c>
      <c r="J2274" s="0" t="s">
        <v>40</v>
      </c>
      <c r="K2274" s="0" t="str">
        <f aca="false">"1.39 %"</f>
        <v>1.39 %</v>
      </c>
      <c r="L2274" s="0" t="str">
        <f aca="false">"0.51 V"</f>
        <v>0.51 V</v>
      </c>
      <c r="M2274" s="0" t="str">
        <f aca="false">"5.46 mA cm^{-2}"</f>
        <v>5.46 mA cm^{-2}</v>
      </c>
      <c r="N2274" s="0" t="str">
        <f aca="false">"0.50"</f>
        <v>0.50</v>
      </c>
      <c r="O2274" s="0" t="s">
        <v>8037</v>
      </c>
    </row>
    <row r="2275" customFormat="false" ht="13.8" hidden="false" customHeight="false" outlineLevel="0" collapsed="false">
      <c r="A2275" s="0" t="s">
        <v>8038</v>
      </c>
      <c r="D2275" s="0" t="s">
        <v>16</v>
      </c>
      <c r="E2275" s="0" t="s">
        <v>17</v>
      </c>
      <c r="F2275" s="0" t="s">
        <v>116</v>
      </c>
      <c r="G2275" s="0" t="n">
        <v>1</v>
      </c>
      <c r="H2275" s="0" t="s">
        <v>33</v>
      </c>
      <c r="J2275" s="0" t="s">
        <v>34</v>
      </c>
      <c r="K2275" s="0" t="str">
        <f aca="false">"3.1 %"</f>
        <v>3.1 %</v>
      </c>
      <c r="O2275" s="0" t="s">
        <v>8039</v>
      </c>
    </row>
    <row r="2276" customFormat="false" ht="13.8" hidden="false" customHeight="false" outlineLevel="0" collapsed="false">
      <c r="A2276" s="0" t="s">
        <v>8040</v>
      </c>
      <c r="B2276" s="0" t="n">
        <v>1</v>
      </c>
      <c r="D2276" s="0" t="s">
        <v>8041</v>
      </c>
      <c r="E2276" s="0" t="s">
        <v>1812</v>
      </c>
      <c r="F2276" s="0" t="s">
        <v>8042</v>
      </c>
      <c r="G2276" s="0" t="n">
        <v>1</v>
      </c>
      <c r="H2276" s="0" t="s">
        <v>575</v>
      </c>
      <c r="J2276" s="0" t="s">
        <v>576</v>
      </c>
      <c r="K2276" s="0" t="str">
        <f aca="false">"4.01 %"</f>
        <v>4.01 %</v>
      </c>
      <c r="O2276" s="0" t="s">
        <v>8043</v>
      </c>
    </row>
    <row r="2277" customFormat="false" ht="13.8" hidden="false" customHeight="false" outlineLevel="0" collapsed="false">
      <c r="A2277" s="0" t="s">
        <v>8044</v>
      </c>
      <c r="D2277" s="0" t="s">
        <v>16</v>
      </c>
      <c r="E2277" s="0" t="s">
        <v>17</v>
      </c>
      <c r="F2277" s="0" t="s">
        <v>116</v>
      </c>
      <c r="G2277" s="0" t="n">
        <v>1</v>
      </c>
      <c r="H2277" s="0" t="s">
        <v>33</v>
      </c>
      <c r="J2277" s="0" t="s">
        <v>34</v>
      </c>
      <c r="K2277" s="0" t="str">
        <f aca="false">"3.17 %"</f>
        <v>3.17 %</v>
      </c>
      <c r="O2277" s="0" t="s">
        <v>8045</v>
      </c>
    </row>
    <row r="2278" customFormat="false" ht="13.8" hidden="false" customHeight="false" outlineLevel="0" collapsed="false">
      <c r="A2278" s="0" t="s">
        <v>8046</v>
      </c>
      <c r="D2278" s="0" t="s">
        <v>8047</v>
      </c>
      <c r="F2278" s="0" t="s">
        <v>40</v>
      </c>
      <c r="G2278" s="0" t="n">
        <v>1</v>
      </c>
      <c r="H2278" s="0" t="s">
        <v>27</v>
      </c>
      <c r="J2278" s="0" t="s">
        <v>28</v>
      </c>
      <c r="K2278" s="0" t="str">
        <f aca="false">"5.8 %"</f>
        <v>5.8 %</v>
      </c>
      <c r="L2278" s="0" t="str">
        <f aca="false">"0.70 V"</f>
        <v>0.70 V</v>
      </c>
      <c r="M2278" s="0" t="str">
        <f aca="false">"14.6 mA cm^{-2}"</f>
        <v>14.6 mA cm^{-2}</v>
      </c>
      <c r="N2278" s="0" t="str">
        <f aca="false">"56.7 %"</f>
        <v>56.7 %</v>
      </c>
      <c r="O2278" s="0" t="s">
        <v>8048</v>
      </c>
    </row>
    <row r="2279" customFormat="false" ht="13.8" hidden="false" customHeight="false" outlineLevel="0" collapsed="false">
      <c r="A2279" s="0" t="s">
        <v>8049</v>
      </c>
      <c r="D2279" s="0" t="s">
        <v>85</v>
      </c>
      <c r="E2279" s="0" t="s">
        <v>86</v>
      </c>
      <c r="F2279" s="0" t="s">
        <v>87</v>
      </c>
      <c r="G2279" s="0" t="n">
        <v>1</v>
      </c>
      <c r="H2279" s="0" t="s">
        <v>758</v>
      </c>
      <c r="J2279" s="0" t="s">
        <v>759</v>
      </c>
      <c r="K2279" s="0" t="str">
        <f aca="false">"5.19 %"</f>
        <v>5.19 %</v>
      </c>
      <c r="O2279" s="0" t="s">
        <v>8050</v>
      </c>
    </row>
    <row r="2280" customFormat="false" ht="13.8" hidden="false" customHeight="false" outlineLevel="0" collapsed="false">
      <c r="A2280" s="0" t="s">
        <v>8051</v>
      </c>
      <c r="D2280" s="0" t="s">
        <v>85</v>
      </c>
      <c r="E2280" s="0" t="s">
        <v>86</v>
      </c>
      <c r="F2280" s="0" t="s">
        <v>87</v>
      </c>
      <c r="G2280" s="0" t="n">
        <v>1</v>
      </c>
      <c r="H2280" s="0" t="s">
        <v>27</v>
      </c>
      <c r="J2280" s="0" t="s">
        <v>28</v>
      </c>
      <c r="K2280" s="0" t="str">
        <f aca="false">"8 %"</f>
        <v>8 %</v>
      </c>
      <c r="O2280" s="0" t="s">
        <v>8052</v>
      </c>
    </row>
    <row r="2281" customFormat="false" ht="13.8" hidden="false" customHeight="false" outlineLevel="0" collapsed="false">
      <c r="A2281" s="0" t="s">
        <v>8053</v>
      </c>
      <c r="D2281" s="0" t="s">
        <v>8054</v>
      </c>
      <c r="E2281" s="0" t="s">
        <v>8055</v>
      </c>
      <c r="F2281" s="0" t="s">
        <v>8056</v>
      </c>
      <c r="G2281" s="0" t="n">
        <v>1</v>
      </c>
      <c r="H2281" s="0" t="s">
        <v>66</v>
      </c>
      <c r="J2281" s="0" t="s">
        <v>40</v>
      </c>
      <c r="K2281" s="0" t="str">
        <f aca="false">"3.15 %"</f>
        <v>3.15 %</v>
      </c>
      <c r="O2281" s="0" t="s">
        <v>8057</v>
      </c>
    </row>
    <row r="2282" customFormat="false" ht="13.8" hidden="false" customHeight="false" outlineLevel="0" collapsed="false">
      <c r="A2282" s="0" t="s">
        <v>8058</v>
      </c>
      <c r="D2282" s="0" t="s">
        <v>8059</v>
      </c>
      <c r="F2282" s="0" t="s">
        <v>8060</v>
      </c>
      <c r="G2282" s="0" t="n">
        <v>1</v>
      </c>
      <c r="H2282" s="0" t="s">
        <v>66</v>
      </c>
      <c r="J2282" s="0" t="s">
        <v>40</v>
      </c>
      <c r="K2282" s="0" t="str">
        <f aca="false">"4.4 %"</f>
        <v>4.4 %</v>
      </c>
      <c r="O2282" s="0" t="s">
        <v>8061</v>
      </c>
    </row>
    <row r="2283" customFormat="false" ht="13.8" hidden="false" customHeight="false" outlineLevel="0" collapsed="false">
      <c r="A2283" s="0" t="s">
        <v>8062</v>
      </c>
      <c r="D2283" s="0" t="s">
        <v>8063</v>
      </c>
      <c r="F2283" s="0" t="s">
        <v>40</v>
      </c>
      <c r="G2283" s="0" t="n">
        <v>1</v>
      </c>
      <c r="H2283" s="0" t="s">
        <v>27</v>
      </c>
      <c r="J2283" s="0" t="s">
        <v>28</v>
      </c>
      <c r="L2283" s="0" t="str">
        <f aca="false">"0.80 V"</f>
        <v>0.80 V</v>
      </c>
      <c r="M2283" s="0" t="str">
        <f aca="false">"14.7 mA cm^{-2}"</f>
        <v>14.7 mA cm^{-2}</v>
      </c>
      <c r="N2283" s="0" t="str">
        <f aca="false">"71.9 %"</f>
        <v>71.9 %</v>
      </c>
      <c r="O2283" s="0" t="s">
        <v>8064</v>
      </c>
    </row>
    <row r="2284" customFormat="false" ht="13.8" hidden="false" customHeight="false" outlineLevel="0" collapsed="false">
      <c r="A2284" s="0" t="s">
        <v>8065</v>
      </c>
      <c r="D2284" s="0" t="s">
        <v>16</v>
      </c>
      <c r="E2284" s="0" t="s">
        <v>17</v>
      </c>
      <c r="F2284" s="0" t="s">
        <v>4831</v>
      </c>
      <c r="G2284" s="0" t="n">
        <v>1</v>
      </c>
      <c r="H2284" s="0" t="s">
        <v>27</v>
      </c>
      <c r="J2284" s="0" t="s">
        <v>28</v>
      </c>
      <c r="L2284" s="0" t="str">
        <f aca="false">"1.00 V"</f>
        <v>1.00 V</v>
      </c>
      <c r="M2284" s="0" t="str">
        <f aca="false">"8.23 mA cm^{-2}"</f>
        <v>8.23 mA cm^{-2}</v>
      </c>
      <c r="N2284" s="0" t="str">
        <f aca="false">"49 %"</f>
        <v>49 %</v>
      </c>
      <c r="O2284" s="0" t="s">
        <v>8066</v>
      </c>
    </row>
    <row r="2285" customFormat="false" ht="13.8" hidden="false" customHeight="false" outlineLevel="0" collapsed="false">
      <c r="A2285" s="0" t="s">
        <v>8067</v>
      </c>
      <c r="D2285" s="0" t="s">
        <v>8068</v>
      </c>
      <c r="F2285" s="0" t="s">
        <v>8069</v>
      </c>
      <c r="G2285" s="0" t="n">
        <v>1</v>
      </c>
      <c r="H2285" s="0" t="s">
        <v>27</v>
      </c>
      <c r="J2285" s="0" t="s">
        <v>40</v>
      </c>
      <c r="K2285" s="0" t="str">
        <f aca="false">"6.53 %"</f>
        <v>6.53 %</v>
      </c>
      <c r="L2285" s="0" t="str">
        <f aca="false">"0.86 V"</f>
        <v>0.86 V</v>
      </c>
      <c r="M2285" s="0" t="str">
        <f aca="false">"8.22 mA cm^{-2}"</f>
        <v>8.22 mA cm^{-2}</v>
      </c>
      <c r="N2285" s="0" t="str">
        <f aca="false">"0.43"</f>
        <v>0.43</v>
      </c>
      <c r="O2285" s="0" t="s">
        <v>8070</v>
      </c>
    </row>
    <row r="2286" customFormat="false" ht="13.8" hidden="false" customHeight="false" outlineLevel="0" collapsed="false">
      <c r="A2286" s="0" t="s">
        <v>8071</v>
      </c>
      <c r="D2286" s="0" t="s">
        <v>16</v>
      </c>
      <c r="E2286" s="0" t="s">
        <v>17</v>
      </c>
      <c r="F2286" s="0" t="s">
        <v>18</v>
      </c>
      <c r="G2286" s="0" t="n">
        <v>1</v>
      </c>
      <c r="H2286" s="0" t="s">
        <v>66</v>
      </c>
      <c r="J2286" s="0" t="s">
        <v>40</v>
      </c>
      <c r="K2286" s="0" t="str">
        <f aca="false">"6.35 %"</f>
        <v>6.35 %</v>
      </c>
      <c r="O2286" s="0" t="s">
        <v>8072</v>
      </c>
    </row>
    <row r="2287" customFormat="false" ht="13.8" hidden="false" customHeight="false" outlineLevel="0" collapsed="false">
      <c r="A2287" s="0" t="s">
        <v>8073</v>
      </c>
      <c r="D2287" s="0" t="s">
        <v>8074</v>
      </c>
      <c r="E2287" s="0" t="s">
        <v>25</v>
      </c>
      <c r="F2287" s="0" t="s">
        <v>8075</v>
      </c>
      <c r="G2287" s="0" t="n">
        <v>1</v>
      </c>
      <c r="H2287" s="0" t="s">
        <v>27</v>
      </c>
      <c r="J2287" s="0" t="s">
        <v>28</v>
      </c>
      <c r="K2287" s="0" t="str">
        <f aca="false">"7.04 %"</f>
        <v>7.04 %</v>
      </c>
      <c r="O2287" s="0" t="s">
        <v>8076</v>
      </c>
    </row>
    <row r="2288" customFormat="false" ht="13.8" hidden="false" customHeight="false" outlineLevel="0" collapsed="false">
      <c r="A2288" s="0" t="s">
        <v>8077</v>
      </c>
      <c r="D2288" s="0" t="s">
        <v>208</v>
      </c>
      <c r="E2288" s="0" t="s">
        <v>17</v>
      </c>
      <c r="F2288" s="0" t="s">
        <v>209</v>
      </c>
      <c r="G2288" s="0" t="n">
        <v>0</v>
      </c>
      <c r="H2288" s="0" t="s">
        <v>8078</v>
      </c>
      <c r="J2288" s="0" t="s">
        <v>40</v>
      </c>
      <c r="K2288" s="0" t="str">
        <f aca="false">"1.2 %"</f>
        <v>1.2 %</v>
      </c>
      <c r="L2288" s="0" t="str">
        <f aca="false">"1.1 V"</f>
        <v>1.1 V</v>
      </c>
      <c r="O2288" s="0" t="s">
        <v>8079</v>
      </c>
    </row>
    <row r="2289" customFormat="false" ht="13.8" hidden="false" customHeight="false" outlineLevel="0" collapsed="false">
      <c r="A2289" s="0" t="s">
        <v>8080</v>
      </c>
      <c r="D2289" s="0" t="s">
        <v>8081</v>
      </c>
      <c r="E2289" s="0" t="s">
        <v>8082</v>
      </c>
      <c r="F2289" s="0" t="s">
        <v>8083</v>
      </c>
      <c r="G2289" s="0" t="n">
        <v>1</v>
      </c>
      <c r="H2289" s="0" t="s">
        <v>27</v>
      </c>
      <c r="J2289" s="0" t="s">
        <v>28</v>
      </c>
      <c r="O2289" s="0" t="s">
        <v>8084</v>
      </c>
    </row>
    <row r="2290" customFormat="false" ht="13.8" hidden="false" customHeight="false" outlineLevel="0" collapsed="false">
      <c r="A2290" s="0" t="s">
        <v>8080</v>
      </c>
      <c r="D2290" s="0" t="s">
        <v>8085</v>
      </c>
      <c r="E2290" s="0" t="s">
        <v>2149</v>
      </c>
      <c r="F2290" s="0" t="s">
        <v>8086</v>
      </c>
      <c r="G2290" s="0" t="n">
        <v>1</v>
      </c>
      <c r="H2290" s="0" t="s">
        <v>27</v>
      </c>
      <c r="J2290" s="0" t="s">
        <v>28</v>
      </c>
      <c r="K2290" s="0" t="str">
        <f aca="false">"4.00 %"</f>
        <v>4.00 %</v>
      </c>
      <c r="L2290" s="0" t="str">
        <f aca="false">"800 and 730 mV"</f>
        <v>800 and 730 mV</v>
      </c>
      <c r="O2290" s="0" t="s">
        <v>8087</v>
      </c>
    </row>
    <row r="2291" customFormat="false" ht="13.8" hidden="false" customHeight="false" outlineLevel="0" collapsed="false">
      <c r="A2291" s="0" t="s">
        <v>8088</v>
      </c>
      <c r="D2291" s="0" t="s">
        <v>85</v>
      </c>
      <c r="E2291" s="0" t="s">
        <v>86</v>
      </c>
      <c r="F2291" s="0" t="s">
        <v>87</v>
      </c>
      <c r="G2291" s="0" t="n">
        <v>1</v>
      </c>
      <c r="H2291" s="0" t="s">
        <v>33</v>
      </c>
      <c r="J2291" s="0" t="s">
        <v>34</v>
      </c>
      <c r="K2291" s="0" t="str">
        <f aca="false">"8.2 %"</f>
        <v>8.2 %</v>
      </c>
      <c r="O2291" s="0" t="s">
        <v>8089</v>
      </c>
    </row>
    <row r="2292" customFormat="false" ht="13.8" hidden="false" customHeight="false" outlineLevel="0" collapsed="false">
      <c r="A2292" s="0" t="s">
        <v>8088</v>
      </c>
      <c r="D2292" s="0" t="s">
        <v>16</v>
      </c>
      <c r="E2292" s="0" t="s">
        <v>17</v>
      </c>
      <c r="F2292" s="0" t="s">
        <v>116</v>
      </c>
      <c r="G2292" s="0" t="n">
        <v>1</v>
      </c>
      <c r="H2292" s="0" t="s">
        <v>33</v>
      </c>
      <c r="J2292" s="0" t="s">
        <v>34</v>
      </c>
      <c r="K2292" s="0" t="str">
        <f aca="false">"7.6 %"</f>
        <v>7.6 %</v>
      </c>
      <c r="O2292" s="0" t="s">
        <v>8090</v>
      </c>
    </row>
    <row r="2293" customFormat="false" ht="13.8" hidden="false" customHeight="false" outlineLevel="0" collapsed="false">
      <c r="A2293" s="0" t="s">
        <v>8091</v>
      </c>
      <c r="D2293" s="0" t="s">
        <v>8092</v>
      </c>
      <c r="F2293" s="0" t="s">
        <v>8093</v>
      </c>
      <c r="G2293" s="0" t="n">
        <v>1</v>
      </c>
      <c r="H2293" s="0" t="s">
        <v>27</v>
      </c>
      <c r="J2293" s="0" t="s">
        <v>28</v>
      </c>
      <c r="K2293" s="0" t="str">
        <f aca="false">"6 %"</f>
        <v>6 %</v>
      </c>
      <c r="N2293" s="0" t="str">
        <f aca="false">"0.69"</f>
        <v>0.69</v>
      </c>
      <c r="O2293" s="0" t="s">
        <v>8094</v>
      </c>
    </row>
    <row r="2294" customFormat="false" ht="13.8" hidden="false" customHeight="false" outlineLevel="0" collapsed="false">
      <c r="A2294" s="0" t="s">
        <v>8095</v>
      </c>
      <c r="D2294" s="0" t="s">
        <v>3787</v>
      </c>
      <c r="E2294" s="0" t="s">
        <v>3788</v>
      </c>
      <c r="F2294" s="0" t="s">
        <v>3789</v>
      </c>
      <c r="G2294" s="0" t="n">
        <v>1</v>
      </c>
      <c r="H2294" s="0" t="s">
        <v>76</v>
      </c>
      <c r="J2294" s="0" t="s">
        <v>364</v>
      </c>
      <c r="K2294" s="0" t="str">
        <f aca="false">"5.97 %"</f>
        <v>5.97 %</v>
      </c>
      <c r="O2294" s="0" t="s">
        <v>8096</v>
      </c>
    </row>
    <row r="2295" customFormat="false" ht="13.8" hidden="false" customHeight="false" outlineLevel="0" collapsed="false">
      <c r="A2295" s="0" t="s">
        <v>8097</v>
      </c>
      <c r="D2295" s="0" t="s">
        <v>16</v>
      </c>
      <c r="E2295" s="0" t="s">
        <v>17</v>
      </c>
      <c r="F2295" s="0" t="s">
        <v>116</v>
      </c>
      <c r="G2295" s="0" t="n">
        <v>1</v>
      </c>
      <c r="H2295" s="0" t="s">
        <v>33</v>
      </c>
      <c r="J2295" s="0" t="s">
        <v>40</v>
      </c>
      <c r="K2295" s="0" t="str">
        <f aca="false">"7.3 %"</f>
        <v>7.3 %</v>
      </c>
      <c r="O2295" s="0" t="s">
        <v>8098</v>
      </c>
    </row>
    <row r="2296" customFormat="false" ht="13.8" hidden="false" customHeight="false" outlineLevel="0" collapsed="false">
      <c r="A2296" s="0" t="s">
        <v>8099</v>
      </c>
      <c r="D2296" s="0" t="s">
        <v>1924</v>
      </c>
      <c r="E2296" s="0" t="s">
        <v>1925</v>
      </c>
      <c r="F2296" s="0" t="s">
        <v>1926</v>
      </c>
      <c r="G2296" s="0" t="n">
        <v>1</v>
      </c>
      <c r="H2296" s="0" t="s">
        <v>117</v>
      </c>
      <c r="J2296" s="0" t="s">
        <v>118</v>
      </c>
      <c r="O2296" s="0" t="s">
        <v>8100</v>
      </c>
    </row>
    <row r="2297" customFormat="false" ht="13.8" hidden="false" customHeight="false" outlineLevel="0" collapsed="false">
      <c r="A2297" s="0" t="s">
        <v>8099</v>
      </c>
      <c r="D2297" s="0" t="s">
        <v>208</v>
      </c>
      <c r="E2297" s="0" t="s">
        <v>17</v>
      </c>
      <c r="F2297" s="0" t="s">
        <v>18</v>
      </c>
      <c r="G2297" s="0" t="n">
        <v>1</v>
      </c>
      <c r="H2297" s="0" t="s">
        <v>117</v>
      </c>
      <c r="J2297" s="0" t="s">
        <v>118</v>
      </c>
      <c r="K2297" s="0" t="str">
        <f aca="false">"6.08 %"</f>
        <v>6.08 %</v>
      </c>
      <c r="O2297" s="0" t="s">
        <v>8101</v>
      </c>
    </row>
    <row r="2298" customFormat="false" ht="13.8" hidden="false" customHeight="false" outlineLevel="0" collapsed="false">
      <c r="A2298" s="0" t="s">
        <v>8102</v>
      </c>
      <c r="D2298" s="0" t="s">
        <v>8103</v>
      </c>
      <c r="F2298" s="0" t="s">
        <v>8104</v>
      </c>
      <c r="G2298" s="0" t="n">
        <v>1</v>
      </c>
      <c r="H2298" s="0" t="s">
        <v>33</v>
      </c>
      <c r="J2298" s="0" t="s">
        <v>34</v>
      </c>
      <c r="K2298" s="0" t="str">
        <f aca="false">"2.4 %"</f>
        <v>2.4 %</v>
      </c>
      <c r="O2298" s="0" t="s">
        <v>8105</v>
      </c>
    </row>
    <row r="2299" customFormat="false" ht="13.8" hidden="false" customHeight="false" outlineLevel="0" collapsed="false">
      <c r="A2299" s="0" t="s">
        <v>8106</v>
      </c>
      <c r="D2299" s="0" t="s">
        <v>208</v>
      </c>
      <c r="E2299" s="0" t="s">
        <v>17</v>
      </c>
      <c r="F2299" s="0" t="s">
        <v>209</v>
      </c>
      <c r="G2299" s="0" t="n">
        <v>1</v>
      </c>
      <c r="H2299" s="0" t="s">
        <v>76</v>
      </c>
      <c r="J2299" s="0" t="s">
        <v>77</v>
      </c>
      <c r="K2299" s="0" t="str">
        <f aca="false">"6.82 %"</f>
        <v>6.82 %</v>
      </c>
      <c r="O2299" s="0" t="s">
        <v>8107</v>
      </c>
    </row>
    <row r="2300" customFormat="false" ht="13.8" hidden="false" customHeight="false" outlineLevel="0" collapsed="false">
      <c r="A2300" s="0" t="s">
        <v>8108</v>
      </c>
      <c r="D2300" s="0" t="s">
        <v>208</v>
      </c>
      <c r="E2300" s="0" t="s">
        <v>17</v>
      </c>
      <c r="F2300" s="0" t="s">
        <v>18</v>
      </c>
      <c r="G2300" s="0" t="n">
        <v>1</v>
      </c>
      <c r="H2300" s="0" t="s">
        <v>33</v>
      </c>
      <c r="J2300" s="0" t="s">
        <v>504</v>
      </c>
      <c r="K2300" s="0" t="str">
        <f aca="false">"2.38 %"</f>
        <v>2.38 %</v>
      </c>
      <c r="M2300" s="0" t="str">
        <f aca="false">"6.25 mA/cm^{2}"</f>
        <v>6.25 mA/cm^{2}</v>
      </c>
      <c r="O2300" s="0" t="s">
        <v>8109</v>
      </c>
    </row>
    <row r="2301" customFormat="false" ht="13.8" hidden="false" customHeight="false" outlineLevel="0" collapsed="false">
      <c r="A2301" s="0" t="s">
        <v>8110</v>
      </c>
      <c r="D2301" s="0" t="s">
        <v>16</v>
      </c>
      <c r="E2301" s="0" t="s">
        <v>17</v>
      </c>
      <c r="F2301" s="0" t="s">
        <v>3521</v>
      </c>
      <c r="G2301" s="0" t="n">
        <v>1</v>
      </c>
      <c r="H2301" s="0" t="s">
        <v>33</v>
      </c>
      <c r="J2301" s="0" t="s">
        <v>34</v>
      </c>
      <c r="K2301" s="0" t="str">
        <f aca="false">"3.48 %"</f>
        <v>3.48 %</v>
      </c>
      <c r="O2301" s="0" t="s">
        <v>8111</v>
      </c>
    </row>
    <row r="2302" customFormat="false" ht="13.8" hidden="false" customHeight="false" outlineLevel="0" collapsed="false">
      <c r="A2302" s="0" t="s">
        <v>8112</v>
      </c>
      <c r="D2302" s="0" t="s">
        <v>16</v>
      </c>
      <c r="E2302" s="0" t="s">
        <v>17</v>
      </c>
      <c r="F2302" s="0" t="s">
        <v>116</v>
      </c>
      <c r="G2302" s="0" t="n">
        <v>1</v>
      </c>
      <c r="H2302" s="0" t="s">
        <v>33</v>
      </c>
      <c r="J2302" s="0" t="s">
        <v>34</v>
      </c>
      <c r="K2302" s="0" t="str">
        <f aca="false">"1.64 %"</f>
        <v>1.64 %</v>
      </c>
      <c r="O2302" s="0" t="s">
        <v>8113</v>
      </c>
    </row>
    <row r="2303" customFormat="false" ht="13.8" hidden="false" customHeight="false" outlineLevel="0" collapsed="false">
      <c r="A2303" s="0" t="s">
        <v>8114</v>
      </c>
      <c r="D2303" s="0" t="s">
        <v>8115</v>
      </c>
      <c r="E2303" s="0" t="s">
        <v>8116</v>
      </c>
      <c r="F2303" s="0" t="s">
        <v>8117</v>
      </c>
      <c r="G2303" s="0" t="n">
        <v>1</v>
      </c>
      <c r="H2303" s="0" t="s">
        <v>76</v>
      </c>
      <c r="J2303" s="0" t="s">
        <v>77</v>
      </c>
      <c r="K2303" s="0" t="str">
        <f aca="false">"1.33 %"</f>
        <v>1.33 %</v>
      </c>
      <c r="O2303" s="0" t="s">
        <v>8118</v>
      </c>
    </row>
    <row r="2304" customFormat="false" ht="13.8" hidden="false" customHeight="false" outlineLevel="0" collapsed="false">
      <c r="A2304" s="0" t="s">
        <v>8114</v>
      </c>
      <c r="D2304" s="0" t="s">
        <v>6439</v>
      </c>
      <c r="F2304" s="0" t="s">
        <v>40</v>
      </c>
      <c r="G2304" s="0" t="n">
        <v>1</v>
      </c>
      <c r="H2304" s="0" t="s">
        <v>76</v>
      </c>
      <c r="J2304" s="0" t="s">
        <v>77</v>
      </c>
      <c r="K2304" s="0" t="str">
        <f aca="false">"1.55"</f>
        <v>1.55</v>
      </c>
      <c r="L2304" s="0" t="str">
        <f aca="false">"0.73 V"</f>
        <v>0.73 V</v>
      </c>
      <c r="O2304" s="0" t="s">
        <v>8119</v>
      </c>
    </row>
    <row r="2305" customFormat="false" ht="13.8" hidden="false" customHeight="false" outlineLevel="0" collapsed="false">
      <c r="A2305" s="0" t="s">
        <v>8120</v>
      </c>
      <c r="D2305" s="0" t="s">
        <v>8121</v>
      </c>
      <c r="F2305" s="0" t="s">
        <v>8122</v>
      </c>
      <c r="G2305" s="0" t="n">
        <v>1</v>
      </c>
      <c r="H2305" s="0" t="s">
        <v>76</v>
      </c>
      <c r="J2305" s="0" t="s">
        <v>40</v>
      </c>
      <c r="K2305" s="0" t="str">
        <f aca="false">"3.7 %"</f>
        <v>3.7 %</v>
      </c>
      <c r="O2305" s="0" t="s">
        <v>8123</v>
      </c>
    </row>
    <row r="2306" customFormat="false" ht="13.8" hidden="false" customHeight="false" outlineLevel="0" collapsed="false">
      <c r="A2306" s="0" t="s">
        <v>8124</v>
      </c>
      <c r="D2306" s="0" t="s">
        <v>5875</v>
      </c>
      <c r="F2306" s="0" t="s">
        <v>5876</v>
      </c>
      <c r="G2306" s="0" t="n">
        <v>1</v>
      </c>
      <c r="H2306" s="0" t="s">
        <v>33</v>
      </c>
      <c r="J2306" s="0" t="s">
        <v>60</v>
      </c>
      <c r="K2306" s="0" t="str">
        <f aca="false">"3.31 %"</f>
        <v>3.31 %</v>
      </c>
      <c r="O2306" s="0" t="s">
        <v>8125</v>
      </c>
    </row>
    <row r="2307" customFormat="false" ht="13.8" hidden="false" customHeight="false" outlineLevel="0" collapsed="false">
      <c r="A2307" s="0" t="s">
        <v>8126</v>
      </c>
      <c r="D2307" s="0" t="s">
        <v>124</v>
      </c>
      <c r="F2307" s="0" t="s">
        <v>427</v>
      </c>
      <c r="G2307" s="0" t="n">
        <v>1</v>
      </c>
      <c r="H2307" s="0" t="s">
        <v>33</v>
      </c>
      <c r="J2307" s="0" t="s">
        <v>34</v>
      </c>
      <c r="K2307" s="0" t="str">
        <f aca="false">"2.00 %"</f>
        <v>2.00 %</v>
      </c>
      <c r="O2307" s="0" t="s">
        <v>8127</v>
      </c>
    </row>
    <row r="2308" customFormat="false" ht="13.8" hidden="false" customHeight="false" outlineLevel="0" collapsed="false">
      <c r="A2308" s="0" t="s">
        <v>8128</v>
      </c>
      <c r="D2308" s="0" t="s">
        <v>128</v>
      </c>
      <c r="F2308" s="0" t="s">
        <v>5586</v>
      </c>
      <c r="G2308" s="0" t="n">
        <v>1</v>
      </c>
      <c r="H2308" s="0" t="s">
        <v>27</v>
      </c>
      <c r="J2308" s="0" t="s">
        <v>1799</v>
      </c>
      <c r="K2308" s="0" t="str">
        <f aca="false">"3.34 %"</f>
        <v>3.34 %</v>
      </c>
      <c r="O2308" s="0" t="s">
        <v>8129</v>
      </c>
    </row>
    <row r="2309" customFormat="false" ht="13.8" hidden="false" customHeight="false" outlineLevel="0" collapsed="false">
      <c r="A2309" s="0" t="s">
        <v>8130</v>
      </c>
      <c r="D2309" s="0" t="s">
        <v>16</v>
      </c>
      <c r="E2309" s="0" t="s">
        <v>17</v>
      </c>
      <c r="F2309" s="0" t="s">
        <v>116</v>
      </c>
      <c r="G2309" s="0" t="n">
        <v>1</v>
      </c>
      <c r="H2309" s="0" t="s">
        <v>152</v>
      </c>
      <c r="J2309" s="0" t="s">
        <v>153</v>
      </c>
      <c r="K2309" s="0" t="str">
        <f aca="false">"0.2 x 10^{-4} %"</f>
        <v>0.2 x 10^{-4} %</v>
      </c>
      <c r="O2309" s="0" t="s">
        <v>8131</v>
      </c>
    </row>
    <row r="2310" customFormat="false" ht="13.8" hidden="false" customHeight="false" outlineLevel="0" collapsed="false">
      <c r="A2310" s="0" t="s">
        <v>8132</v>
      </c>
      <c r="D2310" s="0" t="s">
        <v>16</v>
      </c>
      <c r="E2310" s="0" t="s">
        <v>17</v>
      </c>
      <c r="F2310" s="0" t="s">
        <v>18</v>
      </c>
      <c r="G2310" s="0" t="n">
        <v>1</v>
      </c>
      <c r="H2310" s="0" t="s">
        <v>33</v>
      </c>
      <c r="J2310" s="0" t="s">
        <v>34</v>
      </c>
      <c r="K2310" s="0" t="str">
        <f aca="false">"1.4 %"</f>
        <v>1.4 %</v>
      </c>
      <c r="O2310" s="0" t="s">
        <v>8133</v>
      </c>
    </row>
    <row r="2311" customFormat="false" ht="13.8" hidden="false" customHeight="false" outlineLevel="0" collapsed="false">
      <c r="A2311" s="0" t="s">
        <v>8134</v>
      </c>
      <c r="D2311" s="0" t="s">
        <v>8135</v>
      </c>
      <c r="F2311" s="0" t="s">
        <v>40</v>
      </c>
      <c r="G2311" s="0" t="n">
        <v>1</v>
      </c>
      <c r="H2311" s="0" t="s">
        <v>526</v>
      </c>
      <c r="J2311" s="0" t="s">
        <v>40</v>
      </c>
      <c r="K2311" s="0" t="str">
        <f aca="false">"1.11 %"</f>
        <v>1.11 %</v>
      </c>
      <c r="O2311" s="0" t="s">
        <v>8136</v>
      </c>
    </row>
    <row r="2312" customFormat="false" ht="13.8" hidden="false" customHeight="false" outlineLevel="0" collapsed="false">
      <c r="A2312" s="0" t="s">
        <v>8137</v>
      </c>
      <c r="B2312" s="0" t="n">
        <v>1</v>
      </c>
      <c r="D2312" s="0" t="s">
        <v>599</v>
      </c>
      <c r="E2312" s="0" t="s">
        <v>600</v>
      </c>
      <c r="F2312" s="0" t="s">
        <v>601</v>
      </c>
      <c r="G2312" s="0" t="n">
        <v>0</v>
      </c>
      <c r="H2312" s="0" t="s">
        <v>163</v>
      </c>
      <c r="I2312" s="0" t="s">
        <v>164</v>
      </c>
      <c r="J2312" s="0" t="s">
        <v>165</v>
      </c>
      <c r="K2312" s="0" t="str">
        <f aca="false">"10.8 %"</f>
        <v>10.8 %</v>
      </c>
      <c r="O2312" s="0" t="s">
        <v>8138</v>
      </c>
    </row>
    <row r="2313" customFormat="false" ht="13.8" hidden="false" customHeight="false" outlineLevel="0" collapsed="false">
      <c r="A2313" s="0" t="s">
        <v>8139</v>
      </c>
      <c r="D2313" s="0" t="s">
        <v>3815</v>
      </c>
      <c r="F2313" s="0" t="s">
        <v>3817</v>
      </c>
      <c r="G2313" s="0" t="n">
        <v>1</v>
      </c>
      <c r="H2313" s="0" t="s">
        <v>76</v>
      </c>
      <c r="J2313" s="0" t="s">
        <v>77</v>
      </c>
      <c r="K2313" s="0" t="str">
        <f aca="false">"1.2 %"</f>
        <v>1.2 %</v>
      </c>
      <c r="O2313" s="0" t="s">
        <v>8140</v>
      </c>
    </row>
    <row r="2314" customFormat="false" ht="13.8" hidden="false" customHeight="false" outlineLevel="0" collapsed="false">
      <c r="A2314" s="0" t="s">
        <v>8141</v>
      </c>
      <c r="D2314" s="0" t="s">
        <v>8142</v>
      </c>
      <c r="F2314" s="0" t="s">
        <v>8143</v>
      </c>
      <c r="G2314" s="0" t="n">
        <v>0</v>
      </c>
      <c r="H2314" s="0" t="s">
        <v>8144</v>
      </c>
      <c r="J2314" s="0" t="s">
        <v>40</v>
      </c>
      <c r="K2314" s="0" t="str">
        <f aca="false">"4.55 %"</f>
        <v>4.55 %</v>
      </c>
      <c r="O2314" s="0" t="s">
        <v>8145</v>
      </c>
    </row>
    <row r="2315" customFormat="false" ht="13.8" hidden="false" customHeight="false" outlineLevel="0" collapsed="false">
      <c r="A2315" s="0" t="s">
        <v>8146</v>
      </c>
      <c r="D2315" s="0" t="s">
        <v>16</v>
      </c>
      <c r="E2315" s="0" t="s">
        <v>17</v>
      </c>
      <c r="F2315" s="0" t="s">
        <v>1351</v>
      </c>
      <c r="G2315" s="0" t="n">
        <v>1</v>
      </c>
      <c r="H2315" s="0" t="s">
        <v>76</v>
      </c>
      <c r="J2315" s="0" t="s">
        <v>40</v>
      </c>
      <c r="K2315" s="0" t="str">
        <f aca="false">"2.71 %"</f>
        <v>2.71 %</v>
      </c>
      <c r="O2315" s="0" t="s">
        <v>8147</v>
      </c>
    </row>
    <row r="2316" customFormat="false" ht="13.8" hidden="false" customHeight="false" outlineLevel="0" collapsed="false">
      <c r="A2316" s="0" t="s">
        <v>8148</v>
      </c>
      <c r="D2316" s="0" t="s">
        <v>8149</v>
      </c>
      <c r="F2316" s="0" t="s">
        <v>8150</v>
      </c>
      <c r="G2316" s="0" t="n">
        <v>1</v>
      </c>
      <c r="H2316" s="0" t="s">
        <v>152</v>
      </c>
      <c r="J2316" s="0" t="s">
        <v>40</v>
      </c>
      <c r="K2316" s="0" t="str">
        <f aca="false">"4.10 ± 0.21 %"</f>
        <v>4.10 ± 0.21 %</v>
      </c>
      <c r="O2316" s="0" t="s">
        <v>8151</v>
      </c>
    </row>
    <row r="2317" customFormat="false" ht="13.8" hidden="false" customHeight="false" outlineLevel="0" collapsed="false">
      <c r="A2317" s="0" t="s">
        <v>8152</v>
      </c>
      <c r="D2317" s="0" t="s">
        <v>208</v>
      </c>
      <c r="E2317" s="0" t="s">
        <v>17</v>
      </c>
      <c r="F2317" s="0" t="s">
        <v>209</v>
      </c>
      <c r="G2317" s="0" t="n">
        <v>1</v>
      </c>
      <c r="H2317" s="0" t="s">
        <v>543</v>
      </c>
      <c r="J2317" s="0" t="s">
        <v>6986</v>
      </c>
      <c r="K2317" s="0" t="str">
        <f aca="false">"2.65 %"</f>
        <v>2.65 %</v>
      </c>
      <c r="M2317" s="0" t="str">
        <f aca="false">"11.36 mA/cm^{2}"</f>
        <v>11.36 mA/cm^{2}</v>
      </c>
      <c r="O2317" s="0" t="s">
        <v>8153</v>
      </c>
    </row>
    <row r="2318" customFormat="false" ht="13.8" hidden="false" customHeight="false" outlineLevel="0" collapsed="false">
      <c r="A2318" s="0" t="s">
        <v>8154</v>
      </c>
      <c r="D2318" s="0" t="s">
        <v>208</v>
      </c>
      <c r="E2318" s="0" t="s">
        <v>17</v>
      </c>
      <c r="F2318" s="0" t="s">
        <v>18</v>
      </c>
      <c r="G2318" s="0" t="n">
        <v>1</v>
      </c>
      <c r="H2318" s="0" t="s">
        <v>152</v>
      </c>
      <c r="J2318" s="0" t="s">
        <v>40</v>
      </c>
      <c r="K2318" s="0" t="str">
        <f aca="false">"0.56 %"</f>
        <v>0.56 %</v>
      </c>
      <c r="O2318" s="0" t="s">
        <v>8155</v>
      </c>
    </row>
    <row r="2319" customFormat="false" ht="13.8" hidden="false" customHeight="false" outlineLevel="0" collapsed="false">
      <c r="A2319" s="0" t="s">
        <v>8156</v>
      </c>
      <c r="D2319" s="0" t="s">
        <v>8157</v>
      </c>
      <c r="F2319" s="0" t="s">
        <v>40</v>
      </c>
      <c r="G2319" s="0" t="n">
        <v>1</v>
      </c>
      <c r="H2319" s="0" t="s">
        <v>33</v>
      </c>
      <c r="J2319" s="0" t="s">
        <v>40</v>
      </c>
      <c r="K2319" s="0" t="str">
        <f aca="false">"2.24 %"</f>
        <v>2.24 %</v>
      </c>
      <c r="O2319" s="0" t="s">
        <v>8158</v>
      </c>
    </row>
    <row r="2320" customFormat="false" ht="13.8" hidden="false" customHeight="false" outlineLevel="0" collapsed="false">
      <c r="A2320" s="0" t="s">
        <v>8159</v>
      </c>
      <c r="D2320" s="0" t="s">
        <v>208</v>
      </c>
      <c r="E2320" s="0" t="s">
        <v>17</v>
      </c>
      <c r="F2320" s="0" t="s">
        <v>209</v>
      </c>
      <c r="G2320" s="0" t="n">
        <v>1</v>
      </c>
      <c r="H2320" s="0" t="s">
        <v>33</v>
      </c>
      <c r="J2320" s="0" t="s">
        <v>40</v>
      </c>
      <c r="K2320" s="0" t="str">
        <f aca="false">"4.88 %"</f>
        <v>4.88 %</v>
      </c>
      <c r="O2320" s="0" t="s">
        <v>8160</v>
      </c>
    </row>
    <row r="2321" customFormat="false" ht="13.8" hidden="false" customHeight="false" outlineLevel="0" collapsed="false">
      <c r="A2321" s="0" t="s">
        <v>8161</v>
      </c>
      <c r="D2321" s="0" t="s">
        <v>208</v>
      </c>
      <c r="E2321" s="0" t="s">
        <v>17</v>
      </c>
      <c r="F2321" s="0" t="s">
        <v>209</v>
      </c>
      <c r="G2321" s="0" t="n">
        <v>1</v>
      </c>
      <c r="H2321" s="0" t="s">
        <v>33</v>
      </c>
      <c r="J2321" s="0" t="s">
        <v>34</v>
      </c>
      <c r="K2321" s="0" t="str">
        <f aca="false">"3.51 %"</f>
        <v>3.51 %</v>
      </c>
      <c r="O2321" s="0" t="s">
        <v>8162</v>
      </c>
    </row>
    <row r="2322" customFormat="false" ht="13.8" hidden="false" customHeight="false" outlineLevel="0" collapsed="false">
      <c r="A2322" s="0" t="s">
        <v>8163</v>
      </c>
      <c r="D2322" s="0" t="s">
        <v>208</v>
      </c>
      <c r="E2322" s="0" t="s">
        <v>17</v>
      </c>
      <c r="F2322" s="0" t="s">
        <v>209</v>
      </c>
      <c r="G2322" s="0" t="n">
        <v>1</v>
      </c>
      <c r="H2322" s="0" t="s">
        <v>758</v>
      </c>
      <c r="J2322" s="0" t="s">
        <v>759</v>
      </c>
      <c r="N2322" s="0" t="str">
        <f aca="false">"~69 %"</f>
        <v>~69 %</v>
      </c>
      <c r="O2322" s="0" t="s">
        <v>8164</v>
      </c>
    </row>
    <row r="2323" customFormat="false" ht="13.8" hidden="false" customHeight="false" outlineLevel="0" collapsed="false">
      <c r="A2323" s="0" t="s">
        <v>8165</v>
      </c>
      <c r="D2323" s="0" t="s">
        <v>16</v>
      </c>
      <c r="E2323" s="0" t="s">
        <v>17</v>
      </c>
      <c r="F2323" s="0" t="s">
        <v>116</v>
      </c>
      <c r="G2323" s="0" t="n">
        <v>1</v>
      </c>
      <c r="H2323" s="0" t="s">
        <v>76</v>
      </c>
      <c r="J2323" s="0" t="s">
        <v>77</v>
      </c>
      <c r="K2323" s="0" t="str">
        <f aca="false">"4.31 %"</f>
        <v>4.31 %</v>
      </c>
      <c r="O2323" s="0" t="s">
        <v>8166</v>
      </c>
    </row>
    <row r="2324" customFormat="false" ht="13.8" hidden="false" customHeight="false" outlineLevel="0" collapsed="false">
      <c r="A2324" s="0" t="s">
        <v>8167</v>
      </c>
      <c r="D2324" s="0" t="s">
        <v>208</v>
      </c>
      <c r="E2324" s="0" t="s">
        <v>17</v>
      </c>
      <c r="F2324" s="0" t="s">
        <v>209</v>
      </c>
      <c r="G2324" s="0" t="n">
        <v>1</v>
      </c>
      <c r="H2324" s="0" t="s">
        <v>76</v>
      </c>
      <c r="J2324" s="0" t="s">
        <v>77</v>
      </c>
      <c r="K2324" s="0" t="str">
        <f aca="false">"3.8 %"</f>
        <v>3.8 %</v>
      </c>
      <c r="O2324" s="0" t="s">
        <v>8168</v>
      </c>
    </row>
    <row r="2325" customFormat="false" ht="13.8" hidden="false" customHeight="false" outlineLevel="0" collapsed="false">
      <c r="A2325" s="0" t="s">
        <v>8169</v>
      </c>
      <c r="D2325" s="0" t="s">
        <v>16</v>
      </c>
      <c r="E2325" s="0" t="s">
        <v>17</v>
      </c>
      <c r="F2325" s="0" t="s">
        <v>18</v>
      </c>
      <c r="G2325" s="0" t="n">
        <v>1</v>
      </c>
      <c r="H2325" s="0" t="s">
        <v>758</v>
      </c>
      <c r="J2325" s="0" t="s">
        <v>759</v>
      </c>
      <c r="K2325" s="0" t="str">
        <f aca="false">"2.94 %"</f>
        <v>2.94 %</v>
      </c>
      <c r="O2325" s="0" t="s">
        <v>8170</v>
      </c>
    </row>
    <row r="2326" customFormat="false" ht="13.8" hidden="false" customHeight="false" outlineLevel="0" collapsed="false">
      <c r="A2326" s="0" t="s">
        <v>8171</v>
      </c>
      <c r="D2326" s="0" t="s">
        <v>85</v>
      </c>
      <c r="E2326" s="0" t="s">
        <v>86</v>
      </c>
      <c r="F2326" s="0" t="s">
        <v>87</v>
      </c>
      <c r="G2326" s="0" t="n">
        <v>1</v>
      </c>
      <c r="H2326" s="0" t="s">
        <v>758</v>
      </c>
      <c r="J2326" s="0" t="s">
        <v>759</v>
      </c>
      <c r="K2326" s="0" t="str">
        <f aca="false">"6.03 %"</f>
        <v>6.03 %</v>
      </c>
      <c r="M2326" s="0" t="str">
        <f aca="false">"13.98 mA/cm^{2}"</f>
        <v>13.98 mA/cm^{2}</v>
      </c>
      <c r="O2326" s="0" t="s">
        <v>8172</v>
      </c>
    </row>
    <row r="2327" customFormat="false" ht="13.8" hidden="false" customHeight="false" outlineLevel="0" collapsed="false">
      <c r="A2327" s="0" t="s">
        <v>8173</v>
      </c>
      <c r="D2327" s="0" t="s">
        <v>16</v>
      </c>
      <c r="E2327" s="0" t="s">
        <v>17</v>
      </c>
      <c r="F2327" s="0" t="s">
        <v>116</v>
      </c>
      <c r="G2327" s="0" t="n">
        <v>1</v>
      </c>
      <c r="H2327" s="0" t="s">
        <v>33</v>
      </c>
      <c r="J2327" s="0" t="s">
        <v>34</v>
      </c>
      <c r="K2327" s="0" t="str">
        <f aca="false">"4 %"</f>
        <v>4 %</v>
      </c>
      <c r="O2327" s="0" t="s">
        <v>8174</v>
      </c>
    </row>
    <row r="2328" customFormat="false" ht="13.8" hidden="false" customHeight="false" outlineLevel="0" collapsed="false">
      <c r="A2328" s="0" t="s">
        <v>8175</v>
      </c>
      <c r="D2328" s="0" t="s">
        <v>599</v>
      </c>
      <c r="E2328" s="0" t="s">
        <v>600</v>
      </c>
      <c r="F2328" s="0" t="s">
        <v>601</v>
      </c>
      <c r="G2328" s="0" t="n">
        <v>1</v>
      </c>
      <c r="H2328" s="0" t="s">
        <v>27</v>
      </c>
      <c r="J2328" s="0" t="s">
        <v>28</v>
      </c>
      <c r="K2328" s="0" t="str">
        <f aca="false">"8.5 and 10.8 %"</f>
        <v>8.5 and 10.8 %</v>
      </c>
      <c r="O2328" s="0" t="s">
        <v>8176</v>
      </c>
    </row>
    <row r="2329" customFormat="false" ht="13.8" hidden="false" customHeight="false" outlineLevel="0" collapsed="false">
      <c r="A2329" s="0" t="s">
        <v>8177</v>
      </c>
      <c r="D2329" s="0" t="s">
        <v>8178</v>
      </c>
      <c r="E2329" s="0" t="s">
        <v>8179</v>
      </c>
      <c r="F2329" s="0" t="s">
        <v>8180</v>
      </c>
      <c r="G2329" s="0" t="n">
        <v>1</v>
      </c>
      <c r="H2329" s="0" t="s">
        <v>33</v>
      </c>
      <c r="J2329" s="0" t="s">
        <v>40</v>
      </c>
      <c r="K2329" s="0" t="str">
        <f aca="false">"0.9 %"</f>
        <v>0.9 %</v>
      </c>
      <c r="L2329" s="0" t="str">
        <f aca="false">"0.77 V"</f>
        <v>0.77 V</v>
      </c>
      <c r="M2329" s="0" t="str">
        <f aca="false">"2.8 mA/cm^{2}"</f>
        <v>2.8 mA/cm^{2}</v>
      </c>
      <c r="O2329" s="0" t="s">
        <v>8181</v>
      </c>
    </row>
    <row r="2330" customFormat="false" ht="13.8" hidden="false" customHeight="false" outlineLevel="0" collapsed="false">
      <c r="A2330" s="0" t="s">
        <v>8182</v>
      </c>
      <c r="D2330" s="0" t="s">
        <v>5667</v>
      </c>
      <c r="F2330" s="0" t="s">
        <v>5986</v>
      </c>
      <c r="G2330" s="0" t="n">
        <v>1</v>
      </c>
      <c r="H2330" s="0" t="s">
        <v>33</v>
      </c>
      <c r="J2330" s="0" t="s">
        <v>40</v>
      </c>
      <c r="K2330" s="0" t="str">
        <f aca="false">"5.8 %"</f>
        <v>5.8 %</v>
      </c>
      <c r="M2330" s="0" t="str">
        <f aca="false">"16 mA cm^{-2}"</f>
        <v>16 mA cm^{-2}</v>
      </c>
      <c r="O2330" s="0" t="s">
        <v>8183</v>
      </c>
    </row>
    <row r="2331" customFormat="false" ht="13.8" hidden="false" customHeight="false" outlineLevel="0" collapsed="false">
      <c r="A2331" s="0" t="s">
        <v>8184</v>
      </c>
      <c r="D2331" s="0" t="e">
        <f aca="false">- p-phenylene</f>
        <v>#NAME?</v>
      </c>
      <c r="F2331" s="0" t="s">
        <v>8185</v>
      </c>
      <c r="G2331" s="0" t="n">
        <v>1</v>
      </c>
      <c r="H2331" s="0" t="s">
        <v>27</v>
      </c>
      <c r="J2331" s="0" t="s">
        <v>1799</v>
      </c>
      <c r="K2331" s="0" t="str">
        <f aca="false">"4.5 %"</f>
        <v>4.5 %</v>
      </c>
      <c r="L2331" s="0" t="str">
        <f aca="false">"1.06 V"</f>
        <v>1.06 V</v>
      </c>
      <c r="O2331" s="0" t="s">
        <v>8186</v>
      </c>
    </row>
    <row r="2332" customFormat="false" ht="13.8" hidden="false" customHeight="false" outlineLevel="0" collapsed="false">
      <c r="A2332" s="0" t="s">
        <v>8187</v>
      </c>
      <c r="D2332" s="0" t="s">
        <v>8188</v>
      </c>
      <c r="F2332" s="0" t="s">
        <v>8189</v>
      </c>
      <c r="G2332" s="0" t="n">
        <v>1</v>
      </c>
      <c r="H2332" s="0" t="s">
        <v>33</v>
      </c>
      <c r="J2332" s="0" t="s">
        <v>40</v>
      </c>
      <c r="K2332" s="0" t="str">
        <f aca="false">"7.1 %"</f>
        <v>7.1 %</v>
      </c>
      <c r="O2332" s="0" t="s">
        <v>8190</v>
      </c>
    </row>
    <row r="2333" customFormat="false" ht="13.8" hidden="false" customHeight="false" outlineLevel="0" collapsed="false">
      <c r="A2333" s="0" t="s">
        <v>8191</v>
      </c>
      <c r="D2333" s="0" t="s">
        <v>208</v>
      </c>
      <c r="E2333" s="0" t="s">
        <v>17</v>
      </c>
      <c r="F2333" s="0" t="s">
        <v>209</v>
      </c>
      <c r="G2333" s="0" t="n">
        <v>1</v>
      </c>
      <c r="H2333" s="0" t="s">
        <v>33</v>
      </c>
      <c r="J2333" s="0" t="s">
        <v>34</v>
      </c>
      <c r="K2333" s="0" t="str">
        <f aca="false">"3.0 %"</f>
        <v>3.0 %</v>
      </c>
      <c r="O2333" s="0" t="s">
        <v>8192</v>
      </c>
    </row>
    <row r="2334" customFormat="false" ht="13.8" hidden="false" customHeight="false" outlineLevel="0" collapsed="false">
      <c r="A2334" s="0" t="s">
        <v>8193</v>
      </c>
      <c r="D2334" s="0" t="s">
        <v>8194</v>
      </c>
      <c r="F2334" s="0" t="s">
        <v>8195</v>
      </c>
      <c r="G2334" s="0" t="n">
        <v>0</v>
      </c>
      <c r="H2334" s="0" t="s">
        <v>8196</v>
      </c>
      <c r="J2334" s="0" t="s">
        <v>40</v>
      </c>
      <c r="O2334" s="0" t="s">
        <v>8197</v>
      </c>
    </row>
    <row r="2335" customFormat="false" ht="13.8" hidden="false" customHeight="false" outlineLevel="0" collapsed="false">
      <c r="A2335" s="0" t="s">
        <v>8193</v>
      </c>
      <c r="D2335" s="0" t="s">
        <v>8198</v>
      </c>
      <c r="F2335" s="0" t="s">
        <v>40</v>
      </c>
      <c r="G2335" s="0" t="n">
        <v>0</v>
      </c>
      <c r="H2335" s="0" t="s">
        <v>8196</v>
      </c>
      <c r="J2335" s="0" t="s">
        <v>40</v>
      </c>
      <c r="K2335" s="0" t="str">
        <f aca="false">"7.7 %"</f>
        <v>7.7 %</v>
      </c>
      <c r="O2335" s="0" t="s">
        <v>8199</v>
      </c>
    </row>
    <row r="2336" customFormat="false" ht="13.8" hidden="false" customHeight="false" outlineLevel="0" collapsed="false">
      <c r="A2336" s="0" t="s">
        <v>8200</v>
      </c>
      <c r="D2336" s="0" t="s">
        <v>828</v>
      </c>
      <c r="E2336" s="0" t="s">
        <v>829</v>
      </c>
      <c r="F2336" s="0" t="s">
        <v>830</v>
      </c>
      <c r="G2336" s="0" t="n">
        <v>0</v>
      </c>
      <c r="H2336" s="0" t="s">
        <v>8201</v>
      </c>
      <c r="J2336" s="0" t="s">
        <v>8202</v>
      </c>
      <c r="K2336" s="0" t="str">
        <f aca="false">"7.16 %"</f>
        <v>7.16 %</v>
      </c>
      <c r="L2336" s="0" t="str">
        <f aca="false">"0.90 V"</f>
        <v>0.90 V</v>
      </c>
      <c r="M2336" s="0" t="str">
        <f aca="false">"11.98 mA/cm^{2}"</f>
        <v>11.98 mA/cm^{2}</v>
      </c>
      <c r="N2336" s="0" t="str">
        <f aca="false">"66.1 %"</f>
        <v>66.1 %</v>
      </c>
      <c r="O2336" s="0" t="s">
        <v>8203</v>
      </c>
    </row>
    <row r="2337" customFormat="false" ht="13.8" hidden="false" customHeight="false" outlineLevel="0" collapsed="false">
      <c r="A2337" s="0" t="s">
        <v>8204</v>
      </c>
      <c r="D2337" s="0" t="s">
        <v>8205</v>
      </c>
      <c r="E2337" s="0" t="s">
        <v>8206</v>
      </c>
      <c r="F2337" s="0" t="s">
        <v>4921</v>
      </c>
      <c r="G2337" s="0" t="n">
        <v>1</v>
      </c>
      <c r="H2337" s="0" t="s">
        <v>33</v>
      </c>
      <c r="J2337" s="0" t="s">
        <v>40</v>
      </c>
      <c r="K2337" s="0" t="str">
        <f aca="false">"4.5-5.6 %"</f>
        <v>4.5-5.6 %</v>
      </c>
      <c r="O2337" s="0" t="s">
        <v>8207</v>
      </c>
    </row>
    <row r="2338" customFormat="false" ht="13.8" hidden="false" customHeight="false" outlineLevel="0" collapsed="false">
      <c r="A2338" s="0" t="s">
        <v>8208</v>
      </c>
      <c r="D2338" s="0" t="s">
        <v>16</v>
      </c>
      <c r="E2338" s="0" t="s">
        <v>17</v>
      </c>
      <c r="F2338" s="0" t="s">
        <v>116</v>
      </c>
      <c r="G2338" s="0" t="n">
        <v>1</v>
      </c>
      <c r="H2338" s="0" t="s">
        <v>76</v>
      </c>
      <c r="J2338" s="0" t="s">
        <v>6315</v>
      </c>
      <c r="K2338" s="0" t="str">
        <f aca="false">"5.07 %"</f>
        <v>5.07 %</v>
      </c>
      <c r="N2338" s="0" t="str">
        <f aca="false">"0.59"</f>
        <v>0.59</v>
      </c>
      <c r="O2338" s="0" t="s">
        <v>8209</v>
      </c>
    </row>
    <row r="2339" customFormat="false" ht="15.75" hidden="false" customHeight="false" outlineLevel="0" collapsed="false">
      <c r="A2339" s="0" t="s">
        <v>8210</v>
      </c>
      <c r="B2339" s="0" t="n">
        <v>1</v>
      </c>
      <c r="D2339" s="0" t="s">
        <v>2768</v>
      </c>
      <c r="E2339" s="0" t="s">
        <v>2769</v>
      </c>
      <c r="F2339" s="0" t="s">
        <v>2770</v>
      </c>
      <c r="G2339" s="0" t="n">
        <v>1</v>
      </c>
      <c r="H2339" s="0" t="s">
        <v>8211</v>
      </c>
      <c r="I2339" s="46" t="s">
        <v>8212</v>
      </c>
      <c r="J2339" s="0" t="s">
        <v>8213</v>
      </c>
      <c r="K2339" s="0" t="str">
        <f aca="false">"5.0 %"</f>
        <v>5.0 %</v>
      </c>
      <c r="L2339" s="0" t="str">
        <f aca="false">"0.86 V"</f>
        <v>0.86 V</v>
      </c>
      <c r="M2339" s="0" t="str">
        <f aca="false">"10.14 mA/cm^{2}"</f>
        <v>10.14 mA/cm^{2}</v>
      </c>
      <c r="O2339" s="0" t="s">
        <v>8214</v>
      </c>
    </row>
    <row r="2340" customFormat="false" ht="13.8" hidden="false" customHeight="false" outlineLevel="0" collapsed="false">
      <c r="A2340" s="0" t="s">
        <v>8215</v>
      </c>
      <c r="D2340" s="0" t="s">
        <v>8216</v>
      </c>
      <c r="F2340" s="0" t="s">
        <v>8217</v>
      </c>
      <c r="G2340" s="0" t="n">
        <v>0</v>
      </c>
      <c r="H2340" s="0" t="s">
        <v>8218</v>
      </c>
      <c r="J2340" s="0" t="s">
        <v>8219</v>
      </c>
      <c r="K2340" s="0" t="str">
        <f aca="false">"11 %"</f>
        <v>11 %</v>
      </c>
      <c r="O2340" s="0" t="s">
        <v>8220</v>
      </c>
    </row>
    <row r="2341" customFormat="false" ht="13.8" hidden="false" customHeight="false" outlineLevel="0" collapsed="false">
      <c r="A2341" s="0" t="s">
        <v>8221</v>
      </c>
      <c r="D2341" s="0" t="s">
        <v>8222</v>
      </c>
      <c r="F2341" s="0" t="s">
        <v>8223</v>
      </c>
      <c r="G2341" s="0" t="n">
        <v>1</v>
      </c>
      <c r="H2341" s="0" t="s">
        <v>27</v>
      </c>
      <c r="J2341" s="0" t="s">
        <v>28</v>
      </c>
      <c r="K2341" s="0" t="str">
        <f aca="false">"7.2 %"</f>
        <v>7.2 %</v>
      </c>
      <c r="O2341" s="0" t="s">
        <v>8224</v>
      </c>
    </row>
    <row r="2342" customFormat="false" ht="13.8" hidden="false" customHeight="false" outlineLevel="0" collapsed="false">
      <c r="A2342" s="0" t="s">
        <v>8225</v>
      </c>
      <c r="D2342" s="0" t="s">
        <v>599</v>
      </c>
      <c r="E2342" s="0" t="s">
        <v>600</v>
      </c>
      <c r="F2342" s="0" t="s">
        <v>601</v>
      </c>
      <c r="G2342" s="0" t="n">
        <v>0</v>
      </c>
      <c r="H2342" s="0" t="s">
        <v>8226</v>
      </c>
      <c r="J2342" s="0" t="s">
        <v>40</v>
      </c>
      <c r="K2342" s="0" t="str">
        <f aca="false">"8.5 %"</f>
        <v>8.5 %</v>
      </c>
      <c r="O2342" s="0" t="s">
        <v>8227</v>
      </c>
    </row>
    <row r="2343" customFormat="false" ht="13.8" hidden="false" customHeight="false" outlineLevel="0" collapsed="false">
      <c r="A2343" s="0" t="s">
        <v>8228</v>
      </c>
      <c r="D2343" s="0" t="s">
        <v>8229</v>
      </c>
      <c r="F2343" s="0" t="s">
        <v>8230</v>
      </c>
      <c r="G2343" s="0" t="n">
        <v>1</v>
      </c>
      <c r="H2343" s="0" t="s">
        <v>66</v>
      </c>
      <c r="J2343" s="0" t="s">
        <v>67</v>
      </c>
      <c r="K2343" s="0" t="str">
        <f aca="false">"6.6 %"</f>
        <v>6.6 %</v>
      </c>
      <c r="O2343" s="0" t="s">
        <v>8231</v>
      </c>
    </row>
    <row r="2344" customFormat="false" ht="13.8" hidden="false" customHeight="false" outlineLevel="0" collapsed="false">
      <c r="A2344" s="0" t="s">
        <v>8232</v>
      </c>
      <c r="D2344" s="0" t="s">
        <v>124</v>
      </c>
      <c r="F2344" s="0" t="s">
        <v>2054</v>
      </c>
      <c r="G2344" s="0" t="n">
        <v>1</v>
      </c>
      <c r="H2344" s="0" t="s">
        <v>33</v>
      </c>
      <c r="J2344" s="0" t="s">
        <v>34</v>
      </c>
      <c r="K2344" s="0" t="str">
        <f aca="false">"2.41 %"</f>
        <v>2.41 %</v>
      </c>
      <c r="O2344" s="0" t="s">
        <v>8233</v>
      </c>
    </row>
    <row r="2345" customFormat="false" ht="13.8" hidden="false" customHeight="false" outlineLevel="0" collapsed="false">
      <c r="A2345" s="0" t="s">
        <v>8234</v>
      </c>
      <c r="D2345" s="0" t="s">
        <v>8235</v>
      </c>
      <c r="F2345" s="0" t="s">
        <v>40</v>
      </c>
      <c r="G2345" s="0" t="n">
        <v>1</v>
      </c>
      <c r="H2345" s="0" t="s">
        <v>33</v>
      </c>
      <c r="J2345" s="0" t="s">
        <v>40</v>
      </c>
      <c r="K2345" s="0" t="str">
        <f aca="false">"5.44 %"</f>
        <v>5.44 %</v>
      </c>
      <c r="L2345" s="0" t="str">
        <f aca="false">"0.84 V"</f>
        <v>0.84 V</v>
      </c>
      <c r="O2345" s="0" t="s">
        <v>8236</v>
      </c>
    </row>
    <row r="2346" customFormat="false" ht="13.8" hidden="false" customHeight="false" outlineLevel="0" collapsed="false">
      <c r="A2346" s="0" t="s">
        <v>8237</v>
      </c>
      <c r="D2346" s="0" t="s">
        <v>201</v>
      </c>
      <c r="E2346" s="0" t="s">
        <v>202</v>
      </c>
      <c r="F2346" s="0" t="s">
        <v>422</v>
      </c>
      <c r="G2346" s="0" t="n">
        <v>0</v>
      </c>
      <c r="H2346" s="0" t="s">
        <v>8238</v>
      </c>
      <c r="J2346" s="0" t="s">
        <v>40</v>
      </c>
      <c r="K2346" s="0" t="str">
        <f aca="false">"10.21 %"</f>
        <v>10.21 %</v>
      </c>
      <c r="O2346" s="0" t="s">
        <v>8239</v>
      </c>
    </row>
    <row r="2347" customFormat="false" ht="13.8" hidden="false" customHeight="false" outlineLevel="0" collapsed="false">
      <c r="A2347" s="0" t="s">
        <v>8240</v>
      </c>
      <c r="D2347" s="0" t="s">
        <v>8241</v>
      </c>
      <c r="E2347" s="0" t="s">
        <v>1387</v>
      </c>
      <c r="F2347" s="0" t="s">
        <v>8242</v>
      </c>
      <c r="G2347" s="0" t="n">
        <v>0</v>
      </c>
      <c r="H2347" s="0" t="s">
        <v>8243</v>
      </c>
      <c r="J2347" s="0" t="s">
        <v>8244</v>
      </c>
      <c r="K2347" s="0" t="str">
        <f aca="false">"16.32 %"</f>
        <v>16.32 %</v>
      </c>
      <c r="O2347" s="0" t="s">
        <v>8245</v>
      </c>
    </row>
    <row r="2348" customFormat="false" ht="13.8" hidden="false" customHeight="false" outlineLevel="0" collapsed="false">
      <c r="A2348" s="0" t="s">
        <v>8240</v>
      </c>
      <c r="D2348" s="0" t="s">
        <v>1386</v>
      </c>
      <c r="E2348" s="0" t="s">
        <v>1387</v>
      </c>
      <c r="F2348" s="0" t="s">
        <v>8242</v>
      </c>
      <c r="G2348" s="0" t="n">
        <v>0</v>
      </c>
      <c r="H2348" s="0" t="s">
        <v>8243</v>
      </c>
      <c r="J2348" s="0" t="s">
        <v>8244</v>
      </c>
      <c r="L2348" s="0" t="str">
        <f aca="false">"0.88 V"</f>
        <v>0.88 V</v>
      </c>
      <c r="M2348" s="0" t="str">
        <f aca="false">"24.79 mA cm^{-2}"</f>
        <v>24.79 mA cm^{-2}</v>
      </c>
      <c r="N2348" s="0" t="str">
        <f aca="false">"74.8 %"</f>
        <v>74.8 %</v>
      </c>
      <c r="O2348" s="0" t="s">
        <v>8246</v>
      </c>
    </row>
    <row r="2349" customFormat="false" ht="13.8" hidden="false" customHeight="false" outlineLevel="0" collapsed="false">
      <c r="A2349" s="0" t="s">
        <v>8247</v>
      </c>
      <c r="B2349" s="0" t="n">
        <v>1</v>
      </c>
      <c r="D2349" s="0" t="s">
        <v>1341</v>
      </c>
      <c r="E2349" s="0" t="s">
        <v>1342</v>
      </c>
      <c r="F2349" s="0" t="s">
        <v>1343</v>
      </c>
      <c r="G2349" s="0" t="n">
        <v>1</v>
      </c>
      <c r="H2349" s="0" t="s">
        <v>66</v>
      </c>
      <c r="J2349" s="0" t="s">
        <v>67</v>
      </c>
      <c r="K2349" s="0" t="str">
        <f aca="false">"10.19 %"</f>
        <v>10.19 %</v>
      </c>
      <c r="O2349" s="0" t="s">
        <v>8248</v>
      </c>
    </row>
    <row r="2350" customFormat="false" ht="15.75" hidden="false" customHeight="false" outlineLevel="0" collapsed="false">
      <c r="A2350" s="0" t="s">
        <v>8247</v>
      </c>
      <c r="B2350" s="0" t="n">
        <v>1</v>
      </c>
      <c r="D2350" s="0" t="s">
        <v>1341</v>
      </c>
      <c r="E2350" s="0" t="s">
        <v>1342</v>
      </c>
      <c r="F2350" s="0" t="s">
        <v>1343</v>
      </c>
      <c r="G2350" s="0" t="n">
        <v>0</v>
      </c>
      <c r="H2350" s="0" t="s">
        <v>8249</v>
      </c>
      <c r="I2350" s="16" t="s">
        <v>8250</v>
      </c>
      <c r="J2350" s="0" t="s">
        <v>8251</v>
      </c>
      <c r="K2350" s="0" t="str">
        <f aca="false">"5.18 %"</f>
        <v>5.18 %</v>
      </c>
    </row>
    <row r="2351" customFormat="false" ht="13.8" hidden="false" customHeight="false" outlineLevel="0" collapsed="false">
      <c r="A2351" s="0" t="s">
        <v>8252</v>
      </c>
      <c r="D2351" s="0" t="s">
        <v>8253</v>
      </c>
      <c r="F2351" s="0" t="s">
        <v>8254</v>
      </c>
      <c r="G2351" s="0" t="n">
        <v>0</v>
      </c>
      <c r="H2351" s="0" t="s">
        <v>8255</v>
      </c>
      <c r="J2351" s="0" t="s">
        <v>8256</v>
      </c>
      <c r="K2351" s="0" t="str">
        <f aca="false">"3.49 %"</f>
        <v>3.49 %</v>
      </c>
      <c r="O2351" s="0" t="s">
        <v>8257</v>
      </c>
    </row>
    <row r="2352" customFormat="false" ht="13.8" hidden="false" customHeight="false" outlineLevel="0" collapsed="false">
      <c r="A2352" s="0" t="s">
        <v>8258</v>
      </c>
      <c r="D2352" s="0" t="s">
        <v>8259</v>
      </c>
      <c r="F2352" s="0" t="s">
        <v>8260</v>
      </c>
      <c r="G2352" s="0" t="n">
        <v>0</v>
      </c>
      <c r="H2352" s="0" t="s">
        <v>8261</v>
      </c>
      <c r="J2352" s="0" t="s">
        <v>40</v>
      </c>
      <c r="K2352" s="0" t="str">
        <f aca="false">"10 %"</f>
        <v>10 %</v>
      </c>
      <c r="O2352" s="0" t="s">
        <v>8262</v>
      </c>
    </row>
    <row r="2353" customFormat="false" ht="13.8" hidden="false" customHeight="false" outlineLevel="0" collapsed="false">
      <c r="A2353" s="0" t="s">
        <v>8263</v>
      </c>
      <c r="B2353" s="0" t="n">
        <v>1</v>
      </c>
      <c r="D2353" s="0" t="s">
        <v>624</v>
      </c>
      <c r="E2353" s="0" t="s">
        <v>600</v>
      </c>
      <c r="F2353" s="0" t="s">
        <v>625</v>
      </c>
      <c r="G2353" s="0" t="n">
        <v>1</v>
      </c>
      <c r="H2353" s="0" t="s">
        <v>575</v>
      </c>
      <c r="J2353" s="0" t="s">
        <v>576</v>
      </c>
      <c r="K2353" s="0" t="str">
        <f aca="false">"8.75 %"</f>
        <v>8.75 %</v>
      </c>
      <c r="O2353" s="0" t="s">
        <v>8264</v>
      </c>
    </row>
    <row r="2354" customFormat="false" ht="13.8" hidden="false" customHeight="false" outlineLevel="0" collapsed="false">
      <c r="A2354" s="0" t="s">
        <v>8265</v>
      </c>
      <c r="D2354" s="0" t="s">
        <v>201</v>
      </c>
      <c r="E2354" s="0" t="s">
        <v>202</v>
      </c>
      <c r="F2354" s="0" t="s">
        <v>8266</v>
      </c>
      <c r="G2354" s="0" t="n">
        <v>1</v>
      </c>
      <c r="H2354" s="0" t="s">
        <v>33</v>
      </c>
      <c r="J2354" s="0" t="s">
        <v>8267</v>
      </c>
      <c r="K2354" s="0" t="str">
        <f aca="false">"6.96 %"</f>
        <v>6.96 %</v>
      </c>
      <c r="O2354" s="0" t="s">
        <v>8268</v>
      </c>
    </row>
    <row r="2355" customFormat="false" ht="13.8" hidden="false" customHeight="false" outlineLevel="0" collapsed="false">
      <c r="A2355" s="0" t="s">
        <v>8269</v>
      </c>
      <c r="D2355" s="0" t="s">
        <v>16</v>
      </c>
      <c r="E2355" s="0" t="s">
        <v>17</v>
      </c>
      <c r="F2355" s="0" t="s">
        <v>18</v>
      </c>
      <c r="G2355" s="0" t="n">
        <v>1</v>
      </c>
      <c r="H2355" s="0" t="s">
        <v>33</v>
      </c>
      <c r="J2355" s="0" t="s">
        <v>40</v>
      </c>
      <c r="K2355" s="0" t="str">
        <f aca="false">"0.92 %"</f>
        <v>0.92 %</v>
      </c>
      <c r="O2355" s="0" t="s">
        <v>8270</v>
      </c>
    </row>
    <row r="2356" customFormat="false" ht="13.8" hidden="false" customHeight="false" outlineLevel="0" collapsed="false">
      <c r="A2356" s="0" t="s">
        <v>8271</v>
      </c>
      <c r="D2356" s="0" t="s">
        <v>85</v>
      </c>
      <c r="E2356" s="0" t="s">
        <v>86</v>
      </c>
      <c r="F2356" s="0" t="s">
        <v>7259</v>
      </c>
      <c r="G2356" s="0" t="n">
        <v>1</v>
      </c>
      <c r="H2356" s="0" t="s">
        <v>66</v>
      </c>
      <c r="J2356" s="0" t="s">
        <v>67</v>
      </c>
      <c r="K2356" s="0" t="str">
        <f aca="false">"7.30 %"</f>
        <v>7.30 %</v>
      </c>
      <c r="O2356" s="0" t="s">
        <v>8272</v>
      </c>
    </row>
    <row r="2357" customFormat="false" ht="13.8" hidden="false" customHeight="false" outlineLevel="0" collapsed="false">
      <c r="A2357" s="0" t="s">
        <v>8273</v>
      </c>
      <c r="D2357" s="0" t="s">
        <v>8274</v>
      </c>
      <c r="F2357" s="0" t="s">
        <v>40</v>
      </c>
      <c r="G2357" s="0" t="n">
        <v>0</v>
      </c>
      <c r="H2357" s="0" t="s">
        <v>8275</v>
      </c>
      <c r="J2357" s="0" t="s">
        <v>40</v>
      </c>
      <c r="K2357" s="0" t="str">
        <f aca="false">"5.26 %"</f>
        <v>5.26 %</v>
      </c>
      <c r="O2357" s="0" t="s">
        <v>8276</v>
      </c>
    </row>
    <row r="2358" customFormat="false" ht="13.8" hidden="false" customHeight="false" outlineLevel="0" collapsed="false">
      <c r="A2358" s="0" t="s">
        <v>8277</v>
      </c>
      <c r="B2358" s="0" t="n">
        <v>1</v>
      </c>
      <c r="D2358" s="0" t="s">
        <v>63</v>
      </c>
      <c r="E2358" s="0" t="s">
        <v>64</v>
      </c>
      <c r="F2358" s="0" t="s">
        <v>65</v>
      </c>
      <c r="G2358" s="0" t="n">
        <v>1</v>
      </c>
      <c r="H2358" s="0" t="s">
        <v>758</v>
      </c>
      <c r="J2358" s="0" t="s">
        <v>759</v>
      </c>
      <c r="K2358" s="0" t="str">
        <f aca="false">"7.34 %"</f>
        <v>7.34 %</v>
      </c>
      <c r="O2358" s="0" t="s">
        <v>8278</v>
      </c>
    </row>
    <row r="2359" customFormat="false" ht="13.8" hidden="false" customHeight="false" outlineLevel="0" collapsed="false">
      <c r="A2359" s="0" t="s">
        <v>8277</v>
      </c>
      <c r="B2359" s="0" t="n">
        <v>1</v>
      </c>
      <c r="D2359" s="0" t="s">
        <v>243</v>
      </c>
      <c r="E2359" s="0" t="s">
        <v>244</v>
      </c>
      <c r="F2359" s="0" t="s">
        <v>245</v>
      </c>
      <c r="G2359" s="0" t="n">
        <v>1</v>
      </c>
      <c r="H2359" s="0" t="s">
        <v>758</v>
      </c>
      <c r="J2359" s="0" t="s">
        <v>759</v>
      </c>
      <c r="K2359" s="0" t="str">
        <f aca="false">"6.07 %"</f>
        <v>6.07 %</v>
      </c>
    </row>
    <row r="2360" customFormat="false" ht="13.8" hidden="false" customHeight="false" outlineLevel="0" collapsed="false">
      <c r="A2360" s="0" t="s">
        <v>8279</v>
      </c>
      <c r="D2360" s="0" t="s">
        <v>1031</v>
      </c>
      <c r="E2360" s="0" t="s">
        <v>1032</v>
      </c>
      <c r="F2360" s="0" t="s">
        <v>8280</v>
      </c>
      <c r="G2360" s="0" t="n">
        <v>0</v>
      </c>
      <c r="H2360" s="0" t="s">
        <v>1034</v>
      </c>
      <c r="J2360" s="0" t="s">
        <v>1035</v>
      </c>
      <c r="K2360" s="0" t="str">
        <f aca="false">"4.0 %"</f>
        <v>4.0 %</v>
      </c>
      <c r="O2360" s="0" t="s">
        <v>8281</v>
      </c>
    </row>
    <row r="2361" customFormat="false" ht="13.8" hidden="false" customHeight="false" outlineLevel="0" collapsed="false">
      <c r="A2361" s="0" t="s">
        <v>8282</v>
      </c>
      <c r="D2361" s="0" t="s">
        <v>8283</v>
      </c>
      <c r="F2361" s="0" t="s">
        <v>8284</v>
      </c>
      <c r="G2361" s="0" t="n">
        <v>1</v>
      </c>
      <c r="H2361" s="0" t="s">
        <v>27</v>
      </c>
      <c r="J2361" s="0" t="s">
        <v>28</v>
      </c>
      <c r="K2361" s="0" t="str">
        <f aca="false">"4.69 %"</f>
        <v>4.69 %</v>
      </c>
      <c r="O2361" s="0" t="s">
        <v>8285</v>
      </c>
    </row>
    <row r="2362" customFormat="false" ht="13.8" hidden="false" customHeight="false" outlineLevel="0" collapsed="false">
      <c r="A2362" s="0" t="s">
        <v>8286</v>
      </c>
      <c r="D2362" s="0" t="s">
        <v>31</v>
      </c>
      <c r="E2362" s="0" t="s">
        <v>17</v>
      </c>
      <c r="F2362" s="0" t="s">
        <v>32</v>
      </c>
      <c r="G2362" s="0" t="n">
        <v>1</v>
      </c>
      <c r="H2362" s="0" t="s">
        <v>2764</v>
      </c>
      <c r="J2362" s="0" t="s">
        <v>2765</v>
      </c>
      <c r="K2362" s="0" t="str">
        <f aca="false">"4 %"</f>
        <v>4 %</v>
      </c>
      <c r="O2362" s="0" t="s">
        <v>8287</v>
      </c>
    </row>
    <row r="2363" customFormat="false" ht="13.8" hidden="false" customHeight="false" outlineLevel="0" collapsed="false">
      <c r="A2363" s="0" t="s">
        <v>8288</v>
      </c>
      <c r="D2363" s="0" t="s">
        <v>8289</v>
      </c>
      <c r="F2363" s="0" t="s">
        <v>8290</v>
      </c>
      <c r="G2363" s="0" t="n">
        <v>0</v>
      </c>
      <c r="H2363" s="0" t="s">
        <v>1924</v>
      </c>
      <c r="I2363" s="0" t="s">
        <v>1925</v>
      </c>
      <c r="J2363" s="0" t="s">
        <v>1926</v>
      </c>
      <c r="K2363" s="0" t="str">
        <f aca="false">"2.2 %"</f>
        <v>2.2 %</v>
      </c>
      <c r="O2363" s="0" t="s">
        <v>8291</v>
      </c>
    </row>
    <row r="2364" customFormat="false" ht="13.8" hidden="false" customHeight="false" outlineLevel="0" collapsed="false">
      <c r="A2364" s="0" t="s">
        <v>8292</v>
      </c>
      <c r="D2364" s="0" t="s">
        <v>85</v>
      </c>
      <c r="E2364" s="0" t="s">
        <v>86</v>
      </c>
      <c r="F2364" s="0" t="s">
        <v>87</v>
      </c>
      <c r="G2364" s="0" t="n">
        <v>1</v>
      </c>
      <c r="H2364" s="0" t="s">
        <v>27</v>
      </c>
      <c r="J2364" s="0" t="s">
        <v>28</v>
      </c>
      <c r="K2364" s="0" t="str">
        <f aca="false">"7.67 %"</f>
        <v>7.67 %</v>
      </c>
      <c r="O2364" s="0" t="s">
        <v>8293</v>
      </c>
    </row>
    <row r="2365" customFormat="false" ht="13.8" hidden="false" customHeight="false" outlineLevel="0" collapsed="false">
      <c r="A2365" s="0" t="s">
        <v>8294</v>
      </c>
      <c r="D2365" s="0" t="s">
        <v>1154</v>
      </c>
      <c r="F2365" s="0" t="s">
        <v>40</v>
      </c>
      <c r="G2365" s="0" t="n">
        <v>1</v>
      </c>
      <c r="H2365" s="0" t="s">
        <v>27</v>
      </c>
      <c r="J2365" s="0" t="s">
        <v>28</v>
      </c>
      <c r="K2365" s="0" t="str">
        <f aca="false">"2.60 %"</f>
        <v>2.60 %</v>
      </c>
      <c r="L2365" s="0" t="str">
        <f aca="false">"0.78 V"</f>
        <v>0.78 V</v>
      </c>
      <c r="M2365" s="0" t="str">
        <f aca="false">"5.69 mA/cm^{2}"</f>
        <v>5.69 mA/cm^{2}</v>
      </c>
      <c r="N2365" s="0" t="str">
        <f aca="false">"58.09 %"</f>
        <v>58.09 %</v>
      </c>
      <c r="O2365" s="0" t="s">
        <v>8295</v>
      </c>
    </row>
    <row r="2366" customFormat="false" ht="13.8" hidden="false" customHeight="false" outlineLevel="0" collapsed="false">
      <c r="A2366" s="0" t="s">
        <v>8296</v>
      </c>
      <c r="D2366" s="0" t="s">
        <v>8297</v>
      </c>
      <c r="F2366" s="0" t="s">
        <v>8298</v>
      </c>
      <c r="G2366" s="0" t="n">
        <v>0</v>
      </c>
      <c r="H2366" s="0" t="s">
        <v>8299</v>
      </c>
      <c r="J2366" s="0" t="s">
        <v>8300</v>
      </c>
      <c r="K2366" s="0" t="str">
        <f aca="false">"10.23 %"</f>
        <v>10.23 %</v>
      </c>
      <c r="O2366" s="0" t="s">
        <v>8301</v>
      </c>
    </row>
    <row r="2367" customFormat="false" ht="13.8" hidden="false" customHeight="false" outlineLevel="0" collapsed="false">
      <c r="A2367" s="0" t="s">
        <v>8302</v>
      </c>
      <c r="D2367" s="0" t="s">
        <v>8303</v>
      </c>
      <c r="F2367" s="0" t="s">
        <v>8304</v>
      </c>
      <c r="G2367" s="0" t="n">
        <v>0</v>
      </c>
      <c r="H2367" s="0" t="s">
        <v>8303</v>
      </c>
      <c r="J2367" s="0" t="s">
        <v>8304</v>
      </c>
      <c r="K2367" s="0" t="str">
        <f aca="false">"12.5 %"</f>
        <v>12.5 %</v>
      </c>
      <c r="O2367" s="0" t="s">
        <v>8305</v>
      </c>
    </row>
    <row r="2368" customFormat="false" ht="13.8" hidden="false" customHeight="false" outlineLevel="0" collapsed="false">
      <c r="A2368" s="0" t="s">
        <v>8302</v>
      </c>
      <c r="D2368" s="0" t="s">
        <v>678</v>
      </c>
      <c r="E2368" s="0" t="s">
        <v>679</v>
      </c>
      <c r="F2368" s="0" t="s">
        <v>680</v>
      </c>
      <c r="G2368" s="0" t="n">
        <v>0</v>
      </c>
      <c r="H2368" s="0" t="s">
        <v>8303</v>
      </c>
      <c r="J2368" s="0" t="s">
        <v>8304</v>
      </c>
      <c r="L2368" s="0" t="str">
        <f aca="false">"0.97 V"</f>
        <v>0.97 V</v>
      </c>
      <c r="O2368" s="0" t="s">
        <v>8306</v>
      </c>
    </row>
    <row r="2369" customFormat="false" ht="13.8" hidden="false" customHeight="false" outlineLevel="0" collapsed="false">
      <c r="A2369" s="0" t="s">
        <v>8302</v>
      </c>
      <c r="D2369" s="0" t="s">
        <v>678</v>
      </c>
      <c r="E2369" s="0" t="s">
        <v>679</v>
      </c>
      <c r="F2369" s="0" t="s">
        <v>680</v>
      </c>
      <c r="G2369" s="0" t="n">
        <v>0</v>
      </c>
      <c r="H2369" s="0" t="s">
        <v>678</v>
      </c>
      <c r="I2369" s="0" t="s">
        <v>679</v>
      </c>
      <c r="J2369" s="0" t="s">
        <v>680</v>
      </c>
      <c r="K2369" s="0" t="str">
        <f aca="false">"10.4 %"</f>
        <v>10.4 %</v>
      </c>
      <c r="L2369" s="0" t="str">
        <f aca="false">"0.90 V"</f>
        <v>0.90 V</v>
      </c>
      <c r="O2369" s="0" t="s">
        <v>8307</v>
      </c>
    </row>
    <row r="2370" customFormat="false" ht="13.8" hidden="false" customHeight="false" outlineLevel="0" collapsed="false">
      <c r="A2370" s="0" t="s">
        <v>8308</v>
      </c>
      <c r="D2370" s="0" t="s">
        <v>1116</v>
      </c>
      <c r="E2370" s="0" t="s">
        <v>1117</v>
      </c>
      <c r="F2370" s="0" t="s">
        <v>1118</v>
      </c>
      <c r="G2370" s="0" t="n">
        <v>0</v>
      </c>
      <c r="H2370" s="0" t="s">
        <v>8309</v>
      </c>
      <c r="J2370" s="0" t="s">
        <v>40</v>
      </c>
      <c r="K2370" s="0" t="str">
        <f aca="false">"15.74 %"</f>
        <v>15.74 %</v>
      </c>
      <c r="L2370" s="0" t="str">
        <f aca="false">"0.897 V"</f>
        <v>0.897 V</v>
      </c>
      <c r="M2370" s="0" t="str">
        <f aca="false">"23.20 mA cm^{-2}"</f>
        <v>23.20 mA cm^{-2}</v>
      </c>
      <c r="N2370" s="0" t="str">
        <f aca="false">"75.64 %"</f>
        <v>75.64 %</v>
      </c>
      <c r="O2370" s="0" t="s">
        <v>8310</v>
      </c>
    </row>
    <row r="2371" customFormat="false" ht="13.8" hidden="false" customHeight="false" outlineLevel="0" collapsed="false">
      <c r="A2371" s="0" t="s">
        <v>8311</v>
      </c>
      <c r="D2371" s="0" t="s">
        <v>8312</v>
      </c>
      <c r="F2371" s="0" t="s">
        <v>8313</v>
      </c>
      <c r="G2371" s="0" t="n">
        <v>0</v>
      </c>
      <c r="H2371" s="0" t="s">
        <v>8314</v>
      </c>
      <c r="J2371" s="0" t="s">
        <v>40</v>
      </c>
      <c r="K2371" s="0" t="str">
        <f aca="false">"12.1 %"</f>
        <v>12.1 %</v>
      </c>
      <c r="L2371" s="0" t="str">
        <f aca="false">"0.88 V"</f>
        <v>0.88 V</v>
      </c>
      <c r="M2371" s="0" t="str">
        <f aca="false">"20.0 mA*cm^{-2}"</f>
        <v>20.0 mA*cm^{-2}</v>
      </c>
      <c r="O2371" s="0" t="s">
        <v>8315</v>
      </c>
    </row>
    <row r="2372" customFormat="false" ht="13.8" hidden="false" customHeight="false" outlineLevel="0" collapsed="false">
      <c r="A2372" s="0" t="s">
        <v>8316</v>
      </c>
      <c r="B2372" s="0" t="n">
        <v>1</v>
      </c>
      <c r="D2372" s="0" t="s">
        <v>16</v>
      </c>
      <c r="E2372" s="0" t="s">
        <v>17</v>
      </c>
      <c r="F2372" s="0" t="s">
        <v>8317</v>
      </c>
      <c r="G2372" s="0" t="n">
        <v>1</v>
      </c>
      <c r="H2372" s="0" t="s">
        <v>33</v>
      </c>
      <c r="J2372" s="0" t="s">
        <v>8318</v>
      </c>
      <c r="K2372" s="0" t="str">
        <f aca="false">"3.49 %"</f>
        <v>3.49 %</v>
      </c>
      <c r="O2372" s="0" t="s">
        <v>8319</v>
      </c>
    </row>
    <row r="2373" customFormat="false" ht="16.5" hidden="false" customHeight="false" outlineLevel="0" collapsed="false">
      <c r="A2373" s="0" t="s">
        <v>8320</v>
      </c>
      <c r="B2373" s="0" t="n">
        <v>1</v>
      </c>
      <c r="D2373" s="40" t="s">
        <v>599</v>
      </c>
      <c r="E2373" s="0" t="s">
        <v>600</v>
      </c>
      <c r="F2373" s="0" t="s">
        <v>601</v>
      </c>
      <c r="G2373" s="0" t="n">
        <v>0</v>
      </c>
      <c r="H2373" s="0" t="s">
        <v>8321</v>
      </c>
      <c r="I2373" s="0" t="s">
        <v>8322</v>
      </c>
      <c r="J2373" s="0" t="s">
        <v>8323</v>
      </c>
      <c r="K2373" s="0" t="str">
        <f aca="false">"5.34 %"</f>
        <v>5.34 %</v>
      </c>
      <c r="O2373" s="0" t="s">
        <v>8324</v>
      </c>
    </row>
    <row r="2374" customFormat="false" ht="13.8" hidden="false" customHeight="false" outlineLevel="0" collapsed="false">
      <c r="A2374" s="0" t="s">
        <v>8320</v>
      </c>
      <c r="B2374" s="0" t="n">
        <v>1</v>
      </c>
      <c r="D2374" s="0" t="s">
        <v>1116</v>
      </c>
      <c r="E2374" s="0" t="s">
        <v>1117</v>
      </c>
      <c r="F2374" s="0" t="s">
        <v>1118</v>
      </c>
      <c r="G2374" s="0" t="n">
        <v>0</v>
      </c>
      <c r="H2374" s="0" t="s">
        <v>8325</v>
      </c>
      <c r="I2374" s="0" t="s">
        <v>8326</v>
      </c>
      <c r="J2374" s="0" t="s">
        <v>8327</v>
      </c>
      <c r="K2374" s="0" t="str">
        <f aca="false">"4.96 %"</f>
        <v>4.96 %</v>
      </c>
      <c r="O2374" s="0" t="s">
        <v>8328</v>
      </c>
    </row>
    <row r="2375" customFormat="false" ht="13.8" hidden="false" customHeight="false" outlineLevel="0" collapsed="false">
      <c r="A2375" s="0" t="s">
        <v>8320</v>
      </c>
      <c r="B2375" s="0" t="n">
        <v>1</v>
      </c>
      <c r="D2375" s="0" t="s">
        <v>1116</v>
      </c>
      <c r="E2375" s="0" t="s">
        <v>1117</v>
      </c>
      <c r="F2375" s="0" t="s">
        <v>1118</v>
      </c>
      <c r="G2375" s="0" t="n">
        <v>0</v>
      </c>
      <c r="H2375" s="0" t="s">
        <v>8321</v>
      </c>
      <c r="I2375" s="0" t="s">
        <v>8322</v>
      </c>
      <c r="J2375" s="0" t="s">
        <v>8323</v>
      </c>
      <c r="K2375" s="0" t="str">
        <f aca="false">"5.34 %"</f>
        <v>5.34 %</v>
      </c>
      <c r="O2375" s="0" t="s">
        <v>8329</v>
      </c>
    </row>
    <row r="2376" customFormat="false" ht="15.75" hidden="false" customHeight="false" outlineLevel="0" collapsed="false">
      <c r="A2376" s="0" t="s">
        <v>8320</v>
      </c>
      <c r="B2376" s="0" t="n">
        <v>1</v>
      </c>
      <c r="D2376" s="0" t="s">
        <v>1116</v>
      </c>
      <c r="E2376" s="0" t="s">
        <v>1117</v>
      </c>
      <c r="F2376" s="0" t="s">
        <v>1118</v>
      </c>
      <c r="G2376" s="0" t="n">
        <v>0</v>
      </c>
      <c r="H2376" s="0" t="s">
        <v>8330</v>
      </c>
      <c r="I2376" s="16" t="s">
        <v>8331</v>
      </c>
      <c r="J2376" s="0" t="s">
        <v>8332</v>
      </c>
      <c r="K2376" s="0" t="str">
        <f aca="false">"7.11 %"</f>
        <v>7.11 %</v>
      </c>
    </row>
    <row r="2377" customFormat="false" ht="13.8" hidden="false" customHeight="false" outlineLevel="0" collapsed="false">
      <c r="A2377" s="0" t="s">
        <v>8333</v>
      </c>
      <c r="B2377" s="0" t="n">
        <v>1</v>
      </c>
      <c r="D2377" s="0" t="s">
        <v>8334</v>
      </c>
      <c r="E2377" s="0" t="s">
        <v>8335</v>
      </c>
      <c r="F2377" s="0" t="s">
        <v>8336</v>
      </c>
      <c r="G2377" s="0" t="n">
        <v>0</v>
      </c>
      <c r="H2377" s="0" t="s">
        <v>5040</v>
      </c>
      <c r="I2377" s="0" t="s">
        <v>5041</v>
      </c>
      <c r="J2377" s="0" t="s">
        <v>5042</v>
      </c>
      <c r="K2377" s="0" t="str">
        <f aca="false">"7.07 %"</f>
        <v>7.07 %</v>
      </c>
      <c r="L2377" s="0" t="str">
        <f aca="false">"0.65 V"</f>
        <v>0.65 V</v>
      </c>
      <c r="M2377" s="0" t="str">
        <f aca="false">"21.36 mA cm^{-2}"</f>
        <v>21.36 mA cm^{-2}</v>
      </c>
      <c r="N2377" s="0" t="str">
        <f aca="false">"0.51"</f>
        <v>0.51</v>
      </c>
      <c r="O2377" s="0" t="s">
        <v>8337</v>
      </c>
    </row>
    <row r="2378" customFormat="false" ht="13.8" hidden="false" customHeight="false" outlineLevel="0" collapsed="false">
      <c r="A2378" s="0" t="s">
        <v>8333</v>
      </c>
      <c r="B2378" s="0" t="n">
        <v>1</v>
      </c>
      <c r="D2378" s="0" t="s">
        <v>8338</v>
      </c>
      <c r="E2378" s="0" t="s">
        <v>8339</v>
      </c>
      <c r="F2378" s="0" t="s">
        <v>8340</v>
      </c>
      <c r="G2378" s="0" t="n">
        <v>0</v>
      </c>
      <c r="H2378" s="0" t="s">
        <v>5040</v>
      </c>
      <c r="I2378" s="0" t="s">
        <v>5041</v>
      </c>
      <c r="J2378" s="0" t="s">
        <v>5042</v>
      </c>
      <c r="K2378" s="0" t="str">
        <f aca="false">"13.62 %"</f>
        <v>13.62 %</v>
      </c>
      <c r="L2378" s="0" t="str">
        <f aca="false">"0.82 V"</f>
        <v>0.82 V</v>
      </c>
      <c r="M2378" s="0" t="str">
        <f aca="false">"25.29 mA cm^{-2}"</f>
        <v>25.29 mA cm^{-2}</v>
      </c>
      <c r="N2378" s="0" t="str">
        <f aca="false">"0.66"</f>
        <v>0.66</v>
      </c>
      <c r="O2378" s="0" t="s">
        <v>8341</v>
      </c>
    </row>
    <row r="2379" customFormat="false" ht="13.8" hidden="false" customHeight="false" outlineLevel="0" collapsed="false">
      <c r="A2379" s="0" t="s">
        <v>8333</v>
      </c>
      <c r="B2379" s="0" t="n">
        <v>1</v>
      </c>
      <c r="D2379" s="0" t="s">
        <v>8342</v>
      </c>
      <c r="E2379" s="0" t="s">
        <v>8343</v>
      </c>
      <c r="F2379" s="0" t="s">
        <v>8344</v>
      </c>
      <c r="G2379" s="0" t="n">
        <v>0</v>
      </c>
      <c r="H2379" s="0" t="s">
        <v>5040</v>
      </c>
      <c r="I2379" s="0" t="s">
        <v>5041</v>
      </c>
      <c r="J2379" s="0" t="s">
        <v>5042</v>
      </c>
      <c r="K2379" s="0" t="str">
        <f aca="false">"10.11 %"</f>
        <v>10.11 %</v>
      </c>
      <c r="L2379" s="0" t="str">
        <f aca="false">"0.74 V"</f>
        <v>0.74 V</v>
      </c>
      <c r="M2379" s="0" t="str">
        <f aca="false">"23.25 mA cm^{-2}"</f>
        <v>23.25 mA cm^{-2}</v>
      </c>
      <c r="N2379" s="0" t="str">
        <f aca="false">"0.59"</f>
        <v>0.59</v>
      </c>
      <c r="O2379" s="0" t="s">
        <v>8345</v>
      </c>
    </row>
    <row r="2380" customFormat="false" ht="13.8" hidden="false" customHeight="false" outlineLevel="0" collapsed="false">
      <c r="A2380" s="0" t="s">
        <v>8346</v>
      </c>
      <c r="D2380" s="0" t="s">
        <v>201</v>
      </c>
      <c r="E2380" s="0" t="s">
        <v>202</v>
      </c>
      <c r="F2380" s="0" t="s">
        <v>422</v>
      </c>
      <c r="G2380" s="0" t="n">
        <v>1</v>
      </c>
      <c r="H2380" s="0" t="s">
        <v>27</v>
      </c>
      <c r="J2380" s="0" t="s">
        <v>28</v>
      </c>
      <c r="K2380" s="0" t="str">
        <f aca="false">"8.77 %"</f>
        <v>8.77 %</v>
      </c>
      <c r="O2380" s="0" t="s">
        <v>8347</v>
      </c>
    </row>
    <row r="2381" customFormat="false" ht="13.8" hidden="false" customHeight="false" outlineLevel="0" collapsed="false">
      <c r="A2381" s="0" t="s">
        <v>8346</v>
      </c>
      <c r="D2381" s="0" t="s">
        <v>1116</v>
      </c>
      <c r="E2381" s="0" t="s">
        <v>1117</v>
      </c>
      <c r="F2381" s="0" t="s">
        <v>1118</v>
      </c>
      <c r="G2381" s="0" t="n">
        <v>1</v>
      </c>
      <c r="H2381" s="0" t="s">
        <v>27</v>
      </c>
      <c r="J2381" s="0" t="s">
        <v>28</v>
      </c>
      <c r="K2381" s="0" t="str">
        <f aca="false">"13.26 %"</f>
        <v>13.26 %</v>
      </c>
      <c r="O2381" s="0" t="s">
        <v>8348</v>
      </c>
    </row>
    <row r="2382" customFormat="false" ht="13.8" hidden="false" customHeight="false" outlineLevel="0" collapsed="false">
      <c r="A2382" s="0" t="s">
        <v>8349</v>
      </c>
      <c r="D2382" s="0" t="s">
        <v>8350</v>
      </c>
      <c r="F2382" s="0" t="s">
        <v>8351</v>
      </c>
      <c r="G2382" s="0" t="n">
        <v>0</v>
      </c>
      <c r="H2382" s="0" t="s">
        <v>8352</v>
      </c>
      <c r="J2382" s="0" t="s">
        <v>8353</v>
      </c>
      <c r="K2382" s="0" t="str">
        <f aca="false">"11.87 %"</f>
        <v>11.87 %</v>
      </c>
      <c r="O2382" s="0" t="s">
        <v>8354</v>
      </c>
    </row>
    <row r="2383" customFormat="false" ht="13.8" hidden="false" customHeight="false" outlineLevel="0" collapsed="false">
      <c r="A2383" s="0" t="s">
        <v>8355</v>
      </c>
      <c r="D2383" s="0" t="s">
        <v>208</v>
      </c>
      <c r="E2383" s="0" t="s">
        <v>17</v>
      </c>
      <c r="F2383" s="0" t="s">
        <v>18</v>
      </c>
      <c r="G2383" s="0" t="n">
        <v>1</v>
      </c>
      <c r="H2383" s="0" t="s">
        <v>33</v>
      </c>
      <c r="J2383" s="0" t="s">
        <v>40</v>
      </c>
      <c r="K2383" s="0" t="str">
        <f aca="false">"2 %"</f>
        <v>2 %</v>
      </c>
      <c r="O2383" s="0" t="s">
        <v>8356</v>
      </c>
    </row>
    <row r="2384" customFormat="false" ht="13.8" hidden="false" customHeight="false" outlineLevel="0" collapsed="false">
      <c r="A2384" s="0" t="s">
        <v>8357</v>
      </c>
      <c r="D2384" s="0" t="s">
        <v>6253</v>
      </c>
      <c r="E2384" s="0" t="s">
        <v>1169</v>
      </c>
      <c r="F2384" s="0" t="s">
        <v>6254</v>
      </c>
      <c r="G2384" s="0" t="n">
        <v>1</v>
      </c>
      <c r="H2384" s="0" t="s">
        <v>33</v>
      </c>
      <c r="J2384" s="0" t="s">
        <v>40</v>
      </c>
      <c r="K2384" s="0" t="str">
        <f aca="false">"2.3 %"</f>
        <v>2.3 %</v>
      </c>
      <c r="O2384" s="0" t="s">
        <v>8358</v>
      </c>
    </row>
    <row r="2385" customFormat="false" ht="13.8" hidden="false" customHeight="false" outlineLevel="0" collapsed="false">
      <c r="A2385" s="0" t="s">
        <v>8359</v>
      </c>
      <c r="D2385" s="0" t="s">
        <v>16</v>
      </c>
      <c r="E2385" s="0" t="s">
        <v>17</v>
      </c>
      <c r="F2385" s="0" t="s">
        <v>116</v>
      </c>
      <c r="G2385" s="0" t="n">
        <v>1</v>
      </c>
      <c r="H2385" s="0" t="s">
        <v>33</v>
      </c>
      <c r="J2385" s="0" t="s">
        <v>398</v>
      </c>
      <c r="K2385" s="0" t="str">
        <f aca="false">"3.89 %"</f>
        <v>3.89 %</v>
      </c>
      <c r="O2385" s="0" t="s">
        <v>8360</v>
      </c>
    </row>
    <row r="2386" customFormat="false" ht="13.8" hidden="false" customHeight="false" outlineLevel="0" collapsed="false">
      <c r="A2386" s="0" t="s">
        <v>8361</v>
      </c>
      <c r="D2386" s="0" t="s">
        <v>8362</v>
      </c>
      <c r="E2386" s="0" t="s">
        <v>2149</v>
      </c>
      <c r="F2386" s="0" t="s">
        <v>8363</v>
      </c>
      <c r="G2386" s="0" t="n">
        <v>1</v>
      </c>
      <c r="H2386" s="0" t="s">
        <v>76</v>
      </c>
      <c r="J2386" s="0" t="s">
        <v>77</v>
      </c>
      <c r="K2386" s="0" t="str">
        <f aca="false">"5.3 %"</f>
        <v>5.3 %</v>
      </c>
      <c r="O2386" s="0" t="s">
        <v>8364</v>
      </c>
    </row>
    <row r="2387" customFormat="false" ht="13.8" hidden="false" customHeight="false" outlineLevel="0" collapsed="false">
      <c r="A2387" s="0" t="s">
        <v>8365</v>
      </c>
      <c r="D2387" s="0" t="s">
        <v>109</v>
      </c>
      <c r="E2387" s="0" t="s">
        <v>110</v>
      </c>
      <c r="F2387" s="0" t="s">
        <v>8366</v>
      </c>
      <c r="G2387" s="0" t="n">
        <v>1</v>
      </c>
      <c r="H2387" s="0" t="s">
        <v>66</v>
      </c>
      <c r="J2387" s="0" t="s">
        <v>67</v>
      </c>
      <c r="K2387" s="0" t="str">
        <f aca="false">"5.3 %"</f>
        <v>5.3 %</v>
      </c>
      <c r="O2387" s="0" t="s">
        <v>8367</v>
      </c>
    </row>
    <row r="2388" customFormat="false" ht="13.8" hidden="false" customHeight="false" outlineLevel="0" collapsed="false">
      <c r="A2388" s="0" t="s">
        <v>8368</v>
      </c>
      <c r="D2388" s="0" t="s">
        <v>6253</v>
      </c>
      <c r="E2388" s="0" t="s">
        <v>1169</v>
      </c>
      <c r="F2388" s="0" t="s">
        <v>6254</v>
      </c>
      <c r="G2388" s="0" t="n">
        <v>0</v>
      </c>
      <c r="H2388" s="0" t="s">
        <v>8369</v>
      </c>
      <c r="J2388" s="0" t="s">
        <v>8370</v>
      </c>
      <c r="K2388" s="0" t="str">
        <f aca="false">"14.14 %"</f>
        <v>14.14 %</v>
      </c>
      <c r="O2388" s="0" t="s">
        <v>8371</v>
      </c>
    </row>
    <row r="2389" customFormat="false" ht="13.8" hidden="false" customHeight="false" outlineLevel="0" collapsed="false">
      <c r="A2389" s="0" t="s">
        <v>8372</v>
      </c>
      <c r="D2389" s="0" t="s">
        <v>8373</v>
      </c>
      <c r="F2389" s="0" t="s">
        <v>8374</v>
      </c>
      <c r="G2389" s="0" t="n">
        <v>1</v>
      </c>
      <c r="H2389" s="0" t="s">
        <v>33</v>
      </c>
      <c r="J2389" s="0" t="s">
        <v>40</v>
      </c>
      <c r="K2389" s="0" t="str">
        <f aca="false">"9.0 %"</f>
        <v>9.0 %</v>
      </c>
      <c r="O2389" s="0" t="s">
        <v>8375</v>
      </c>
    </row>
    <row r="2390" customFormat="false" ht="13.8" hidden="false" customHeight="false" outlineLevel="0" collapsed="false">
      <c r="A2390" s="0" t="s">
        <v>8372</v>
      </c>
      <c r="D2390" s="0" t="s">
        <v>3232</v>
      </c>
      <c r="F2390" s="0" t="s">
        <v>3233</v>
      </c>
      <c r="G2390" s="0" t="n">
        <v>1</v>
      </c>
      <c r="H2390" s="0" t="s">
        <v>33</v>
      </c>
      <c r="J2390" s="0" t="s">
        <v>40</v>
      </c>
      <c r="K2390" s="0" t="str">
        <f aca="false">"6.8 and 2.0 %"</f>
        <v>6.8 and 2.0 %</v>
      </c>
      <c r="O2390" s="0" t="s">
        <v>8376</v>
      </c>
    </row>
    <row r="2391" customFormat="false" ht="13.8" hidden="false" customHeight="false" outlineLevel="0" collapsed="false">
      <c r="A2391" s="0" t="s">
        <v>8372</v>
      </c>
      <c r="D2391" s="0" t="s">
        <v>5667</v>
      </c>
      <c r="F2391" s="0" t="s">
        <v>8377</v>
      </c>
      <c r="G2391" s="0" t="n">
        <v>1</v>
      </c>
      <c r="H2391" s="0" t="s">
        <v>33</v>
      </c>
      <c r="J2391" s="0" t="s">
        <v>40</v>
      </c>
      <c r="O2391" s="0" t="s">
        <v>8378</v>
      </c>
    </row>
    <row r="2392" customFormat="false" ht="13.8" hidden="false" customHeight="false" outlineLevel="0" collapsed="false">
      <c r="A2392" s="0" t="s">
        <v>8379</v>
      </c>
      <c r="D2392" s="0" t="s">
        <v>8380</v>
      </c>
      <c r="F2392" s="0" t="s">
        <v>8381</v>
      </c>
      <c r="G2392" s="0" t="n">
        <v>0</v>
      </c>
      <c r="H2392" s="0" t="s">
        <v>8382</v>
      </c>
      <c r="J2392" s="0" t="s">
        <v>8383</v>
      </c>
      <c r="K2392" s="0" t="str">
        <f aca="false">"8.38 %"</f>
        <v>8.38 %</v>
      </c>
      <c r="L2392" s="0" t="str">
        <f aca="false">"1.29 V"</f>
        <v>1.29 V</v>
      </c>
      <c r="O2392" s="0" t="s">
        <v>8384</v>
      </c>
    </row>
    <row r="2393" customFormat="false" ht="13.8" hidden="false" customHeight="false" outlineLevel="0" collapsed="false">
      <c r="A2393" s="0" t="s">
        <v>8379</v>
      </c>
      <c r="D2393" s="0" t="s">
        <v>8380</v>
      </c>
      <c r="F2393" s="0" t="s">
        <v>8381</v>
      </c>
      <c r="G2393" s="0" t="n">
        <v>0</v>
      </c>
      <c r="H2393" s="0" t="s">
        <v>8385</v>
      </c>
      <c r="J2393" s="0" t="s">
        <v>8386</v>
      </c>
      <c r="L2393" s="0" t="str">
        <f aca="false">"1.2 V"</f>
        <v>1.2 V</v>
      </c>
      <c r="O2393" s="0" t="s">
        <v>8387</v>
      </c>
    </row>
    <row r="2394" customFormat="false" ht="13.8" hidden="false" customHeight="false" outlineLevel="0" collapsed="false">
      <c r="A2394" s="0" t="s">
        <v>8388</v>
      </c>
      <c r="D2394" s="0" t="s">
        <v>8389</v>
      </c>
      <c r="F2394" s="0" t="s">
        <v>8390</v>
      </c>
      <c r="G2394" s="0" t="n">
        <v>0</v>
      </c>
      <c r="H2394" s="0" t="s">
        <v>1121</v>
      </c>
      <c r="I2394" s="0" t="s">
        <v>225</v>
      </c>
      <c r="J2394" s="0" t="s">
        <v>8391</v>
      </c>
      <c r="K2394" s="0" t="str">
        <f aca="false">"4.25 %"</f>
        <v>4.25 %</v>
      </c>
      <c r="O2394" s="0" t="s">
        <v>8392</v>
      </c>
    </row>
    <row r="2395" customFormat="false" ht="13.8" hidden="false" customHeight="false" outlineLevel="0" collapsed="false">
      <c r="A2395" s="0" t="s">
        <v>8393</v>
      </c>
      <c r="D2395" s="0" t="s">
        <v>208</v>
      </c>
      <c r="E2395" s="0" t="s">
        <v>17</v>
      </c>
      <c r="F2395" s="0" t="s">
        <v>18</v>
      </c>
      <c r="G2395" s="0" t="n">
        <v>1</v>
      </c>
      <c r="H2395" s="0" t="s">
        <v>76</v>
      </c>
      <c r="J2395" s="0" t="s">
        <v>77</v>
      </c>
      <c r="K2395" s="0" t="str">
        <f aca="false">"~10 %"</f>
        <v>~10 %</v>
      </c>
      <c r="O2395" s="0" t="s">
        <v>8394</v>
      </c>
    </row>
    <row r="2396" customFormat="false" ht="13.8" hidden="false" customHeight="false" outlineLevel="0" collapsed="false">
      <c r="A2396" s="0" t="s">
        <v>8395</v>
      </c>
      <c r="D2396" s="0" t="s">
        <v>109</v>
      </c>
      <c r="E2396" s="0" t="s">
        <v>110</v>
      </c>
      <c r="F2396" s="0" t="s">
        <v>111</v>
      </c>
      <c r="G2396" s="0" t="n">
        <v>1</v>
      </c>
      <c r="H2396" s="0" t="s">
        <v>27</v>
      </c>
      <c r="J2396" s="0" t="s">
        <v>28</v>
      </c>
      <c r="K2396" s="0" t="str">
        <f aca="false">"3.7 %"</f>
        <v>3.7 %</v>
      </c>
      <c r="O2396" s="0" t="s">
        <v>8396</v>
      </c>
    </row>
    <row r="2397" customFormat="false" ht="13.8" hidden="false" customHeight="false" outlineLevel="0" collapsed="false">
      <c r="A2397" s="0" t="s">
        <v>8397</v>
      </c>
      <c r="D2397" s="0" t="s">
        <v>208</v>
      </c>
      <c r="E2397" s="0" t="s">
        <v>17</v>
      </c>
      <c r="F2397" s="0" t="s">
        <v>209</v>
      </c>
      <c r="G2397" s="0" t="n">
        <v>0</v>
      </c>
      <c r="H2397" s="0" t="s">
        <v>8398</v>
      </c>
      <c r="J2397" s="0" t="s">
        <v>8399</v>
      </c>
      <c r="K2397" s="0" t="str">
        <f aca="false">"1.8 %"</f>
        <v>1.8 %</v>
      </c>
      <c r="O2397" s="0" t="s">
        <v>8400</v>
      </c>
    </row>
    <row r="2398" customFormat="false" ht="13.8" hidden="false" customHeight="false" outlineLevel="0" collapsed="false">
      <c r="A2398" s="0" t="s">
        <v>8401</v>
      </c>
      <c r="D2398" s="0" t="s">
        <v>8402</v>
      </c>
      <c r="F2398" s="0" t="s">
        <v>8403</v>
      </c>
      <c r="G2398" s="0" t="n">
        <v>1</v>
      </c>
      <c r="H2398" s="0" t="s">
        <v>33</v>
      </c>
      <c r="J2398" s="0" t="s">
        <v>34</v>
      </c>
      <c r="K2398" s="0" t="str">
        <f aca="false">"2.2 %"</f>
        <v>2.2 %</v>
      </c>
      <c r="O2398" s="0" t="s">
        <v>8404</v>
      </c>
    </row>
    <row r="2399" customFormat="false" ht="13.8" hidden="false" customHeight="false" outlineLevel="0" collapsed="false">
      <c r="A2399" s="0" t="s">
        <v>8405</v>
      </c>
      <c r="D2399" s="0" t="s">
        <v>1346</v>
      </c>
      <c r="E2399" s="0" t="s">
        <v>110</v>
      </c>
      <c r="F2399" s="0" t="s">
        <v>8406</v>
      </c>
      <c r="G2399" s="0" t="n">
        <v>1</v>
      </c>
      <c r="H2399" s="0" t="s">
        <v>66</v>
      </c>
      <c r="J2399" s="0" t="s">
        <v>67</v>
      </c>
      <c r="K2399" s="0" t="str">
        <f aca="false">"~5 %"</f>
        <v>~5 %</v>
      </c>
      <c r="O2399" s="0" t="s">
        <v>8407</v>
      </c>
    </row>
    <row r="2400" customFormat="false" ht="13.8" hidden="false" customHeight="false" outlineLevel="0" collapsed="false">
      <c r="A2400" s="0" t="s">
        <v>8408</v>
      </c>
      <c r="D2400" s="0" t="s">
        <v>208</v>
      </c>
      <c r="E2400" s="0" t="s">
        <v>17</v>
      </c>
      <c r="F2400" s="0" t="s">
        <v>209</v>
      </c>
      <c r="G2400" s="0" t="n">
        <v>0</v>
      </c>
      <c r="H2400" s="0" t="s">
        <v>8409</v>
      </c>
      <c r="J2400" s="0" t="s">
        <v>8410</v>
      </c>
      <c r="K2400" s="0" t="str">
        <f aca="false">"4.2 %"</f>
        <v>4.2 %</v>
      </c>
      <c r="L2400" s="0" t="str">
        <f aca="false">"0.59V"</f>
        <v>0.59V</v>
      </c>
      <c r="N2400" s="0" t="str">
        <f aca="false">"63 %"</f>
        <v>63 %</v>
      </c>
      <c r="O2400" s="0" t="s">
        <v>8411</v>
      </c>
    </row>
    <row r="2401" customFormat="false" ht="13.8" hidden="false" customHeight="false" outlineLevel="0" collapsed="false">
      <c r="A2401" s="0" t="s">
        <v>8412</v>
      </c>
      <c r="D2401" s="0" t="s">
        <v>8413</v>
      </c>
      <c r="F2401" s="0" t="s">
        <v>8414</v>
      </c>
      <c r="G2401" s="0" t="n">
        <v>1</v>
      </c>
      <c r="H2401" s="0" t="s">
        <v>543</v>
      </c>
      <c r="J2401" s="0" t="s">
        <v>40</v>
      </c>
      <c r="K2401" s="0" t="str">
        <f aca="false">"5.8 %"</f>
        <v>5.8 %</v>
      </c>
      <c r="O2401" s="0" t="s">
        <v>8415</v>
      </c>
    </row>
    <row r="2402" customFormat="false" ht="13.8" hidden="false" customHeight="false" outlineLevel="0" collapsed="false">
      <c r="A2402" s="0" t="s">
        <v>8416</v>
      </c>
      <c r="D2402" s="0" t="s">
        <v>16</v>
      </c>
      <c r="E2402" s="0" t="s">
        <v>17</v>
      </c>
      <c r="F2402" s="0" t="s">
        <v>18</v>
      </c>
      <c r="G2402" s="0" t="n">
        <v>1</v>
      </c>
      <c r="H2402" s="0" t="s">
        <v>2764</v>
      </c>
      <c r="J2402" s="0" t="s">
        <v>40</v>
      </c>
      <c r="K2402" s="0" t="str">
        <f aca="false">"5.12 %"</f>
        <v>5.12 %</v>
      </c>
      <c r="L2402" s="0" t="str">
        <f aca="false">"0.886 V"</f>
        <v>0.886 V</v>
      </c>
      <c r="M2402" s="0" t="str">
        <f aca="false">"8.21 mA/cm^{2}"</f>
        <v>8.21 mA/cm^{2}</v>
      </c>
      <c r="N2402" s="0" t="str">
        <f aca="false">"70.4 %"</f>
        <v>70.4 %</v>
      </c>
      <c r="O2402" s="0" t="s">
        <v>8417</v>
      </c>
    </row>
    <row r="2403" customFormat="false" ht="13.8" hidden="false" customHeight="false" outlineLevel="0" collapsed="false">
      <c r="A2403" s="0" t="s">
        <v>8418</v>
      </c>
      <c r="D2403" s="0" t="s">
        <v>85</v>
      </c>
      <c r="E2403" s="0" t="s">
        <v>86</v>
      </c>
      <c r="F2403" s="0" t="s">
        <v>87</v>
      </c>
      <c r="G2403" s="0" t="n">
        <v>1</v>
      </c>
      <c r="H2403" s="0" t="s">
        <v>27</v>
      </c>
      <c r="J2403" s="0" t="s">
        <v>28</v>
      </c>
      <c r="K2403" s="0" t="str">
        <f aca="false">"9.4 %"</f>
        <v>9.4 %</v>
      </c>
      <c r="O2403" s="0" t="s">
        <v>8419</v>
      </c>
    </row>
    <row r="2404" customFormat="false" ht="13.8" hidden="false" customHeight="false" outlineLevel="0" collapsed="false">
      <c r="A2404" s="0" t="s">
        <v>8418</v>
      </c>
      <c r="D2404" s="0" t="s">
        <v>4824</v>
      </c>
      <c r="F2404" s="0" t="s">
        <v>4826</v>
      </c>
      <c r="G2404" s="0" t="n">
        <v>1</v>
      </c>
      <c r="H2404" s="0" t="s">
        <v>27</v>
      </c>
      <c r="J2404" s="0" t="s">
        <v>28</v>
      </c>
      <c r="K2404" s="0" t="str">
        <f aca="false">"7.48 %"</f>
        <v>7.48 %</v>
      </c>
      <c r="O2404" s="0" t="s">
        <v>8420</v>
      </c>
    </row>
    <row r="2405" customFormat="false" ht="13.8" hidden="false" customHeight="false" outlineLevel="0" collapsed="false">
      <c r="A2405" s="0" t="s">
        <v>8421</v>
      </c>
      <c r="D2405" s="0" t="s">
        <v>208</v>
      </c>
      <c r="E2405" s="0" t="s">
        <v>17</v>
      </c>
      <c r="F2405" s="0" t="s">
        <v>209</v>
      </c>
      <c r="G2405" s="0" t="n">
        <v>1</v>
      </c>
      <c r="H2405" s="0" t="s">
        <v>33</v>
      </c>
      <c r="J2405" s="0" t="s">
        <v>34</v>
      </c>
      <c r="K2405" s="0" t="str">
        <f aca="false">"3.09 %"</f>
        <v>3.09 %</v>
      </c>
      <c r="O2405" s="0" t="s">
        <v>8422</v>
      </c>
    </row>
    <row r="2406" customFormat="false" ht="13.8" hidden="false" customHeight="false" outlineLevel="0" collapsed="false">
      <c r="A2406" s="0" t="s">
        <v>8423</v>
      </c>
      <c r="D2406" s="0" t="s">
        <v>85</v>
      </c>
      <c r="E2406" s="0" t="s">
        <v>86</v>
      </c>
      <c r="F2406" s="0" t="s">
        <v>8424</v>
      </c>
      <c r="G2406" s="0" t="n">
        <v>1</v>
      </c>
      <c r="H2406" s="0" t="s">
        <v>66</v>
      </c>
      <c r="J2406" s="0" t="s">
        <v>67</v>
      </c>
      <c r="K2406" s="0" t="str">
        <f aca="false">"6.57 %"</f>
        <v>6.57 %</v>
      </c>
      <c r="O2406" s="0" t="s">
        <v>8425</v>
      </c>
    </row>
    <row r="2407" customFormat="false" ht="13.8" hidden="false" customHeight="false" outlineLevel="0" collapsed="false">
      <c r="A2407" s="0" t="s">
        <v>8426</v>
      </c>
      <c r="D2407" s="0" t="s">
        <v>8427</v>
      </c>
      <c r="F2407" s="0" t="s">
        <v>8428</v>
      </c>
      <c r="G2407" s="0" t="n">
        <v>0</v>
      </c>
      <c r="H2407" s="0" t="s">
        <v>8429</v>
      </c>
      <c r="J2407" s="0" t="s">
        <v>8430</v>
      </c>
      <c r="K2407" s="0" t="str">
        <f aca="false">"3 %"</f>
        <v>3 %</v>
      </c>
      <c r="O2407" s="0" t="s">
        <v>8431</v>
      </c>
    </row>
    <row r="2408" customFormat="false" ht="13.8" hidden="false" customHeight="false" outlineLevel="0" collapsed="false">
      <c r="A2408" s="0" t="s">
        <v>8432</v>
      </c>
      <c r="D2408" s="0" t="s">
        <v>208</v>
      </c>
      <c r="E2408" s="0" t="s">
        <v>17</v>
      </c>
      <c r="F2408" s="0" t="s">
        <v>209</v>
      </c>
      <c r="G2408" s="0" t="n">
        <v>0</v>
      </c>
      <c r="H2408" s="0" t="s">
        <v>8433</v>
      </c>
      <c r="J2408" s="0" t="s">
        <v>8434</v>
      </c>
      <c r="K2408" s="0" t="str">
        <f aca="false">"2.8 %"</f>
        <v>2.8 %</v>
      </c>
      <c r="M2408" s="0" t="str">
        <f aca="false">"8.0 mA/cm^{2}"</f>
        <v>8.0 mA/cm^{2}</v>
      </c>
      <c r="O2408" s="0" t="s">
        <v>8435</v>
      </c>
    </row>
    <row r="2409" customFormat="false" ht="13.8" hidden="false" customHeight="false" outlineLevel="0" collapsed="false">
      <c r="A2409" s="0" t="s">
        <v>8436</v>
      </c>
      <c r="D2409" s="0" t="s">
        <v>208</v>
      </c>
      <c r="E2409" s="0" t="s">
        <v>17</v>
      </c>
      <c r="F2409" s="0" t="s">
        <v>209</v>
      </c>
      <c r="G2409" s="0" t="n">
        <v>1</v>
      </c>
      <c r="H2409" s="0" t="s">
        <v>33</v>
      </c>
      <c r="J2409" s="0" t="s">
        <v>34</v>
      </c>
      <c r="K2409" s="0" t="str">
        <f aca="false">"3.4 %"</f>
        <v>3.4 %</v>
      </c>
      <c r="O2409" s="0" t="s">
        <v>8437</v>
      </c>
    </row>
    <row r="2410" customFormat="false" ht="13.8" hidden="false" customHeight="false" outlineLevel="0" collapsed="false">
      <c r="A2410" s="0" t="s">
        <v>8438</v>
      </c>
      <c r="D2410" s="0" t="s">
        <v>214</v>
      </c>
      <c r="F2410" s="0" t="s">
        <v>40</v>
      </c>
      <c r="G2410" s="0" t="n">
        <v>0</v>
      </c>
      <c r="H2410" s="0" t="s">
        <v>2232</v>
      </c>
      <c r="I2410" s="0" t="s">
        <v>225</v>
      </c>
      <c r="J2410" s="0" t="s">
        <v>8439</v>
      </c>
      <c r="K2410" s="0" t="str">
        <f aca="false">"3.7 %"</f>
        <v>3.7 %</v>
      </c>
      <c r="O2410" s="0" t="s">
        <v>8440</v>
      </c>
    </row>
    <row r="2411" customFormat="false" ht="13.8" hidden="false" customHeight="false" outlineLevel="0" collapsed="false">
      <c r="A2411" s="0" t="s">
        <v>8441</v>
      </c>
      <c r="D2411" s="0" t="s">
        <v>16</v>
      </c>
      <c r="E2411" s="0" t="s">
        <v>17</v>
      </c>
      <c r="F2411" s="0" t="s">
        <v>116</v>
      </c>
      <c r="G2411" s="0" t="n">
        <v>1</v>
      </c>
      <c r="H2411" s="0" t="s">
        <v>33</v>
      </c>
      <c r="J2411" s="0" t="s">
        <v>34</v>
      </c>
      <c r="K2411" s="0" t="str">
        <f aca="false">"3.83 %"</f>
        <v>3.83 %</v>
      </c>
      <c r="O2411" s="0" t="s">
        <v>8442</v>
      </c>
    </row>
    <row r="2412" customFormat="false" ht="13.8" hidden="false" customHeight="false" outlineLevel="0" collapsed="false">
      <c r="A2412" s="0" t="s">
        <v>8443</v>
      </c>
      <c r="D2412" s="0" t="s">
        <v>31</v>
      </c>
      <c r="E2412" s="0" t="s">
        <v>17</v>
      </c>
      <c r="F2412" s="0" t="s">
        <v>32</v>
      </c>
      <c r="G2412" s="0" t="n">
        <v>1</v>
      </c>
      <c r="H2412" s="0" t="s">
        <v>33</v>
      </c>
      <c r="J2412" s="0" t="s">
        <v>34</v>
      </c>
      <c r="K2412" s="0" t="str">
        <f aca="false">"4.13 %"</f>
        <v>4.13 %</v>
      </c>
      <c r="O2412" s="0" t="s">
        <v>8444</v>
      </c>
    </row>
    <row r="2413" customFormat="false" ht="13.8" hidden="false" customHeight="false" outlineLevel="0" collapsed="false">
      <c r="A2413" s="0" t="s">
        <v>8445</v>
      </c>
      <c r="D2413" s="0" t="s">
        <v>8446</v>
      </c>
      <c r="F2413" s="0" t="s">
        <v>8447</v>
      </c>
      <c r="G2413" s="0" t="n">
        <v>0</v>
      </c>
      <c r="H2413" s="0" t="s">
        <v>8448</v>
      </c>
      <c r="J2413" s="0" t="s">
        <v>8449</v>
      </c>
      <c r="K2413" s="0" t="str">
        <f aca="false">"0.8 %"</f>
        <v>0.8 %</v>
      </c>
      <c r="O2413" s="0" t="s">
        <v>8450</v>
      </c>
    </row>
    <row r="2414" customFormat="false" ht="13.8" hidden="false" customHeight="false" outlineLevel="0" collapsed="false">
      <c r="A2414" s="0" t="s">
        <v>8451</v>
      </c>
      <c r="D2414" s="0" t="s">
        <v>8452</v>
      </c>
      <c r="F2414" s="0" t="s">
        <v>8453</v>
      </c>
      <c r="G2414" s="0" t="n">
        <v>0</v>
      </c>
      <c r="H2414" s="0" t="s">
        <v>8454</v>
      </c>
      <c r="J2414" s="0" t="s">
        <v>40</v>
      </c>
      <c r="O2414" s="0" t="s">
        <v>8455</v>
      </c>
    </row>
    <row r="2415" customFormat="false" ht="13.8" hidden="false" customHeight="false" outlineLevel="0" collapsed="false">
      <c r="A2415" s="0" t="s">
        <v>8456</v>
      </c>
      <c r="D2415" s="0" t="s">
        <v>16</v>
      </c>
      <c r="E2415" s="0" t="s">
        <v>17</v>
      </c>
      <c r="F2415" s="0" t="s">
        <v>18</v>
      </c>
      <c r="G2415" s="0" t="n">
        <v>1</v>
      </c>
      <c r="H2415" s="0" t="s">
        <v>33</v>
      </c>
      <c r="J2415" s="0" t="s">
        <v>4805</v>
      </c>
      <c r="K2415" s="0" t="str">
        <f aca="false">"5.05 %"</f>
        <v>5.05 %</v>
      </c>
      <c r="O2415" s="0" t="s">
        <v>8457</v>
      </c>
    </row>
    <row r="2416" customFormat="false" ht="13.8" hidden="false" customHeight="false" outlineLevel="0" collapsed="false">
      <c r="A2416" s="0" t="s">
        <v>8458</v>
      </c>
      <c r="D2416" s="0" t="s">
        <v>208</v>
      </c>
      <c r="E2416" s="0" t="s">
        <v>17</v>
      </c>
      <c r="F2416" s="0" t="s">
        <v>18</v>
      </c>
      <c r="G2416" s="0" t="n">
        <v>1</v>
      </c>
      <c r="H2416" s="0" t="s">
        <v>33</v>
      </c>
      <c r="J2416" s="0" t="s">
        <v>34</v>
      </c>
      <c r="K2416" s="0" t="str">
        <f aca="false">"3.55 %"</f>
        <v>3.55 %</v>
      </c>
      <c r="O2416" s="0" t="s">
        <v>8459</v>
      </c>
    </row>
    <row r="2417" customFormat="false" ht="13.8" hidden="false" customHeight="false" outlineLevel="0" collapsed="false">
      <c r="A2417" s="0" t="s">
        <v>8460</v>
      </c>
      <c r="D2417" s="0" t="s">
        <v>8461</v>
      </c>
      <c r="F2417" s="0" t="s">
        <v>8462</v>
      </c>
      <c r="G2417" s="0" t="n">
        <v>0</v>
      </c>
      <c r="H2417" s="0" t="s">
        <v>8463</v>
      </c>
      <c r="J2417" s="0" t="s">
        <v>8464</v>
      </c>
      <c r="K2417" s="0" t="str">
        <f aca="false">"2.32 %"</f>
        <v>2.32 %</v>
      </c>
      <c r="O2417" s="0" t="s">
        <v>8465</v>
      </c>
    </row>
    <row r="2418" customFormat="false" ht="13.8" hidden="false" customHeight="false" outlineLevel="0" collapsed="false">
      <c r="A2418" s="0" t="s">
        <v>8466</v>
      </c>
      <c r="D2418" s="0" t="s">
        <v>8467</v>
      </c>
      <c r="E2418" s="0" t="s">
        <v>110</v>
      </c>
      <c r="F2418" s="0" t="s">
        <v>8468</v>
      </c>
      <c r="G2418" s="0" t="n">
        <v>1</v>
      </c>
      <c r="H2418" s="0" t="s">
        <v>758</v>
      </c>
      <c r="J2418" s="0" t="s">
        <v>759</v>
      </c>
      <c r="K2418" s="0" t="str">
        <f aca="false">"7.1 %"</f>
        <v>7.1 %</v>
      </c>
      <c r="O2418" s="0" t="s">
        <v>8469</v>
      </c>
    </row>
    <row r="2419" customFormat="false" ht="13.8" hidden="false" customHeight="false" outlineLevel="0" collapsed="false">
      <c r="A2419" s="0" t="s">
        <v>8470</v>
      </c>
      <c r="D2419" s="0" t="s">
        <v>1924</v>
      </c>
      <c r="E2419" s="0" t="s">
        <v>1925</v>
      </c>
      <c r="F2419" s="0" t="s">
        <v>1926</v>
      </c>
      <c r="G2419" s="0" t="n">
        <v>1</v>
      </c>
      <c r="H2419" s="0" t="s">
        <v>152</v>
      </c>
      <c r="J2419" s="0" t="s">
        <v>40</v>
      </c>
      <c r="K2419" s="0" t="str">
        <f aca="false">"3.66 %"</f>
        <v>3.66 %</v>
      </c>
      <c r="O2419" s="0" t="s">
        <v>8471</v>
      </c>
    </row>
    <row r="2420" customFormat="false" ht="13.8" hidden="false" customHeight="false" outlineLevel="0" collapsed="false">
      <c r="A2420" s="0" t="s">
        <v>8472</v>
      </c>
      <c r="D2420" s="0" t="s">
        <v>8473</v>
      </c>
      <c r="E2420" s="0" t="s">
        <v>17</v>
      </c>
      <c r="F2420" s="0" t="s">
        <v>1839</v>
      </c>
      <c r="G2420" s="0" t="n">
        <v>1</v>
      </c>
      <c r="H2420" s="0" t="s">
        <v>33</v>
      </c>
      <c r="J2420" s="0" t="s">
        <v>60</v>
      </c>
      <c r="K2420" s="0" t="str">
        <f aca="false">"3.7 %"</f>
        <v>3.7 %</v>
      </c>
      <c r="O2420" s="0" t="s">
        <v>8474</v>
      </c>
    </row>
    <row r="2421" customFormat="false" ht="13.8" hidden="false" customHeight="false" outlineLevel="0" collapsed="false">
      <c r="A2421" s="0" t="s">
        <v>8475</v>
      </c>
      <c r="D2421" s="0" t="s">
        <v>8476</v>
      </c>
      <c r="F2421" s="0" t="s">
        <v>8477</v>
      </c>
      <c r="G2421" s="0" t="n">
        <v>1</v>
      </c>
      <c r="H2421" s="0" t="s">
        <v>33</v>
      </c>
      <c r="J2421" s="0" t="s">
        <v>40</v>
      </c>
      <c r="K2421" s="0" t="str">
        <f aca="false">"2.15 %"</f>
        <v>2.15 %</v>
      </c>
      <c r="L2421" s="0" t="str">
        <f aca="false">"0.55V"</f>
        <v>0.55V</v>
      </c>
      <c r="N2421" s="0" t="str">
        <f aca="false">"0.44"</f>
        <v>0.44</v>
      </c>
      <c r="O2421" s="0" t="s">
        <v>8478</v>
      </c>
    </row>
    <row r="2422" customFormat="false" ht="13.8" hidden="false" customHeight="false" outlineLevel="0" collapsed="false">
      <c r="A2422" s="0" t="s">
        <v>8479</v>
      </c>
      <c r="D2422" s="0" t="s">
        <v>16</v>
      </c>
      <c r="E2422" s="0" t="s">
        <v>17</v>
      </c>
      <c r="F2422" s="0" t="s">
        <v>8480</v>
      </c>
      <c r="G2422" s="0" t="n">
        <v>1</v>
      </c>
      <c r="H2422" s="0" t="s">
        <v>33</v>
      </c>
      <c r="J2422" s="0" t="s">
        <v>34</v>
      </c>
      <c r="K2422" s="0" t="str">
        <f aca="false">"1.7 %"</f>
        <v>1.7 %</v>
      </c>
      <c r="O2422" s="0" t="s">
        <v>8481</v>
      </c>
    </row>
    <row r="2423" customFormat="false" ht="13.8" hidden="false" customHeight="false" outlineLevel="0" collapsed="false">
      <c r="A2423" s="0" t="s">
        <v>8482</v>
      </c>
      <c r="D2423" s="0" t="s">
        <v>5297</v>
      </c>
      <c r="F2423" s="0" t="s">
        <v>5299</v>
      </c>
      <c r="G2423" s="0" t="n">
        <v>0</v>
      </c>
      <c r="H2423" s="0" t="s">
        <v>8483</v>
      </c>
      <c r="J2423" s="0" t="s">
        <v>40</v>
      </c>
      <c r="K2423" s="0" t="str">
        <f aca="false">"0.3 %"</f>
        <v>0.3 %</v>
      </c>
      <c r="L2423" s="0" t="str">
        <f aca="false">"0.54V"</f>
        <v>0.54V</v>
      </c>
      <c r="O2423" s="0" t="s">
        <v>8484</v>
      </c>
    </row>
    <row r="2424" customFormat="false" ht="13.8" hidden="false" customHeight="false" outlineLevel="0" collapsed="false">
      <c r="A2424" s="0" t="s">
        <v>8485</v>
      </c>
      <c r="D2424" s="0" t="s">
        <v>16</v>
      </c>
      <c r="E2424" s="0" t="s">
        <v>17</v>
      </c>
      <c r="F2424" s="0" t="s">
        <v>18</v>
      </c>
      <c r="G2424" s="0" t="n">
        <v>1</v>
      </c>
      <c r="H2424" s="0" t="s">
        <v>33</v>
      </c>
      <c r="J2424" s="0" t="s">
        <v>40</v>
      </c>
      <c r="K2424" s="0" t="str">
        <f aca="false">"3.39 %"</f>
        <v>3.39 %</v>
      </c>
      <c r="O2424" s="0" t="s">
        <v>8486</v>
      </c>
    </row>
    <row r="2425" customFormat="false" ht="13.8" hidden="false" customHeight="false" outlineLevel="0" collapsed="false">
      <c r="A2425" s="0" t="s">
        <v>8487</v>
      </c>
      <c r="D2425" s="0" t="s">
        <v>208</v>
      </c>
      <c r="E2425" s="0" t="s">
        <v>17</v>
      </c>
      <c r="F2425" s="0" t="s">
        <v>209</v>
      </c>
      <c r="G2425" s="0" t="n">
        <v>1</v>
      </c>
      <c r="H2425" s="0" t="s">
        <v>33</v>
      </c>
      <c r="J2425" s="0" t="s">
        <v>34</v>
      </c>
      <c r="K2425" s="0" t="str">
        <f aca="false">"11 %"</f>
        <v>11 %</v>
      </c>
      <c r="O2425" s="0" t="s">
        <v>8488</v>
      </c>
    </row>
    <row r="2426" customFormat="false" ht="13.8" hidden="false" customHeight="false" outlineLevel="0" collapsed="false">
      <c r="A2426" s="0" t="s">
        <v>8489</v>
      </c>
      <c r="D2426" s="0" t="s">
        <v>208</v>
      </c>
      <c r="E2426" s="0" t="s">
        <v>17</v>
      </c>
      <c r="F2426" s="0" t="s">
        <v>209</v>
      </c>
      <c r="G2426" s="0" t="n">
        <v>0</v>
      </c>
      <c r="H2426" s="0" t="s">
        <v>8490</v>
      </c>
      <c r="J2426" s="0" t="s">
        <v>8491</v>
      </c>
      <c r="K2426" s="0" t="str">
        <f aca="false">"4.17 %"</f>
        <v>4.17 %</v>
      </c>
      <c r="O2426" s="0" t="s">
        <v>8492</v>
      </c>
    </row>
    <row r="2427" customFormat="false" ht="13.8" hidden="false" customHeight="false" outlineLevel="0" collapsed="false">
      <c r="A2427" s="0" t="s">
        <v>8493</v>
      </c>
      <c r="D2427" s="0" t="s">
        <v>16</v>
      </c>
      <c r="E2427" s="0" t="s">
        <v>17</v>
      </c>
      <c r="F2427" s="0" t="s">
        <v>116</v>
      </c>
      <c r="G2427" s="0" t="n">
        <v>1</v>
      </c>
      <c r="H2427" s="0" t="s">
        <v>33</v>
      </c>
      <c r="J2427" s="0" t="s">
        <v>34</v>
      </c>
      <c r="K2427" s="0" t="str">
        <f aca="false">"4.3 %"</f>
        <v>4.3 %</v>
      </c>
      <c r="O2427" s="0" t="s">
        <v>8494</v>
      </c>
    </row>
    <row r="2428" customFormat="false" ht="13.8" hidden="false" customHeight="false" outlineLevel="0" collapsed="false">
      <c r="A2428" s="0" t="s">
        <v>8495</v>
      </c>
      <c r="D2428" s="0" t="s">
        <v>8476</v>
      </c>
      <c r="F2428" s="0" t="s">
        <v>8477</v>
      </c>
      <c r="G2428" s="0" t="n">
        <v>0</v>
      </c>
      <c r="H2428" s="0" t="s">
        <v>8496</v>
      </c>
      <c r="J2428" s="0" t="s">
        <v>8497</v>
      </c>
      <c r="K2428" s="0" t="str">
        <f aca="false">"3.09 %"</f>
        <v>3.09 %</v>
      </c>
      <c r="O2428" s="0" t="s">
        <v>8498</v>
      </c>
    </row>
    <row r="2429" customFormat="false" ht="13.8" hidden="false" customHeight="false" outlineLevel="0" collapsed="false">
      <c r="A2429" s="0" t="s">
        <v>8499</v>
      </c>
      <c r="D2429" s="0" t="s">
        <v>8500</v>
      </c>
      <c r="F2429" s="0" t="s">
        <v>8501</v>
      </c>
      <c r="G2429" s="0" t="n">
        <v>1</v>
      </c>
      <c r="H2429" s="0" t="s">
        <v>33</v>
      </c>
      <c r="J2429" s="0" t="s">
        <v>40</v>
      </c>
      <c r="K2429" s="0" t="str">
        <f aca="false">"3.34 %"</f>
        <v>3.34 %</v>
      </c>
      <c r="L2429" s="0" t="str">
        <f aca="false">"0.63 V"</f>
        <v>0.63 V</v>
      </c>
      <c r="M2429" s="0" t="str">
        <f aca="false">"8.55 mA/cm^{2}"</f>
        <v>8.55 mA/cm^{2}</v>
      </c>
      <c r="O2429" s="0" t="s">
        <v>8502</v>
      </c>
    </row>
    <row r="2430" customFormat="false" ht="13.8" hidden="false" customHeight="false" outlineLevel="0" collapsed="false">
      <c r="A2430" s="0" t="s">
        <v>8499</v>
      </c>
      <c r="D2430" s="0" t="s">
        <v>208</v>
      </c>
      <c r="E2430" s="0" t="s">
        <v>17</v>
      </c>
      <c r="F2430" s="0" t="s">
        <v>18</v>
      </c>
      <c r="G2430" s="0" t="n">
        <v>1</v>
      </c>
      <c r="H2430" s="0" t="s">
        <v>33</v>
      </c>
      <c r="J2430" s="0" t="s">
        <v>40</v>
      </c>
      <c r="N2430" s="0" t="str">
        <f aca="false">"0.60"</f>
        <v>0.60</v>
      </c>
      <c r="O2430" s="0" t="s">
        <v>8503</v>
      </c>
    </row>
    <row r="2431" customFormat="false" ht="13.8" hidden="false" customHeight="false" outlineLevel="0" collapsed="false">
      <c r="A2431" s="0" t="s">
        <v>8499</v>
      </c>
      <c r="F2431" s="0" t="s">
        <v>40</v>
      </c>
      <c r="G2431" s="0" t="n">
        <v>1</v>
      </c>
      <c r="H2431" s="0" t="s">
        <v>33</v>
      </c>
      <c r="J2431" s="0" t="s">
        <v>40</v>
      </c>
      <c r="K2431" s="0" t="str">
        <f aca="false">"3.27 %"</f>
        <v>3.27 %</v>
      </c>
      <c r="O2431" s="0" t="s">
        <v>8504</v>
      </c>
    </row>
    <row r="2432" customFormat="false" ht="13.8" hidden="false" customHeight="false" outlineLevel="0" collapsed="false">
      <c r="A2432" s="0" t="s">
        <v>8505</v>
      </c>
      <c r="D2432" s="0" t="s">
        <v>208</v>
      </c>
      <c r="E2432" s="0" t="s">
        <v>17</v>
      </c>
      <c r="F2432" s="0" t="s">
        <v>18</v>
      </c>
      <c r="G2432" s="0" t="n">
        <v>0</v>
      </c>
      <c r="H2432" s="0" t="s">
        <v>16</v>
      </c>
      <c r="I2432" s="0" t="s">
        <v>17</v>
      </c>
      <c r="J2432" s="0" t="s">
        <v>18</v>
      </c>
      <c r="K2432" s="0" t="str">
        <f aca="false">"0.80 %"</f>
        <v>0.80 %</v>
      </c>
      <c r="O2432" s="0" t="s">
        <v>8506</v>
      </c>
    </row>
    <row r="2433" customFormat="false" ht="13.8" hidden="false" customHeight="false" outlineLevel="0" collapsed="false">
      <c r="A2433" s="0" t="s">
        <v>8507</v>
      </c>
      <c r="D2433" s="0" t="s">
        <v>8508</v>
      </c>
      <c r="F2433" s="0" t="s">
        <v>8509</v>
      </c>
      <c r="G2433" s="0" t="n">
        <v>1</v>
      </c>
      <c r="H2433" s="0" t="s">
        <v>33</v>
      </c>
      <c r="J2433" s="0" t="s">
        <v>40</v>
      </c>
      <c r="K2433" s="0" t="str">
        <f aca="false">"1 %"</f>
        <v>1 %</v>
      </c>
      <c r="N2433" s="0" t="str">
        <f aca="false">"0.3"</f>
        <v>0.3</v>
      </c>
      <c r="O2433" s="0" t="s">
        <v>8510</v>
      </c>
    </row>
    <row r="2434" customFormat="false" ht="13.8" hidden="false" customHeight="false" outlineLevel="0" collapsed="false">
      <c r="A2434" s="0" t="s">
        <v>8511</v>
      </c>
      <c r="D2434" s="0" t="s">
        <v>8512</v>
      </c>
      <c r="F2434" s="0" t="s">
        <v>8513</v>
      </c>
      <c r="G2434" s="0" t="n">
        <v>1</v>
      </c>
      <c r="H2434" s="0" t="s">
        <v>526</v>
      </c>
      <c r="J2434" s="0" t="s">
        <v>3518</v>
      </c>
      <c r="K2434" s="0" t="str">
        <f aca="false">"3.53 %"</f>
        <v>3.53 %</v>
      </c>
      <c r="O2434" s="0" t="s">
        <v>8514</v>
      </c>
    </row>
    <row r="2435" customFormat="false" ht="13.8" hidden="false" customHeight="false" outlineLevel="0" collapsed="false">
      <c r="A2435" s="0" t="s">
        <v>8515</v>
      </c>
      <c r="D2435" s="0" t="s">
        <v>63</v>
      </c>
      <c r="E2435" s="0" t="s">
        <v>64</v>
      </c>
      <c r="F2435" s="0" t="s">
        <v>65</v>
      </c>
      <c r="G2435" s="0" t="n">
        <v>1</v>
      </c>
      <c r="H2435" s="0" t="s">
        <v>33</v>
      </c>
      <c r="J2435" s="0" t="s">
        <v>34</v>
      </c>
      <c r="K2435" s="0" t="str">
        <f aca="false">"7.45 %"</f>
        <v>7.45 %</v>
      </c>
      <c r="O2435" s="0" t="s">
        <v>8516</v>
      </c>
    </row>
    <row r="2436" customFormat="false" ht="13.8" hidden="false" customHeight="false" outlineLevel="0" collapsed="false">
      <c r="A2436" s="0" t="s">
        <v>8515</v>
      </c>
      <c r="D2436" s="0" t="s">
        <v>16</v>
      </c>
      <c r="E2436" s="0" t="s">
        <v>17</v>
      </c>
      <c r="F2436" s="0" t="s">
        <v>116</v>
      </c>
      <c r="G2436" s="0" t="n">
        <v>1</v>
      </c>
      <c r="H2436" s="0" t="s">
        <v>33</v>
      </c>
      <c r="J2436" s="0" t="s">
        <v>34</v>
      </c>
      <c r="K2436" s="0" t="str">
        <f aca="false">"6.22 %"</f>
        <v>6.22 %</v>
      </c>
      <c r="O2436" s="0" t="s">
        <v>8517</v>
      </c>
    </row>
    <row r="2437" customFormat="false" ht="13.8" hidden="false" customHeight="false" outlineLevel="0" collapsed="false">
      <c r="A2437" s="0" t="s">
        <v>8518</v>
      </c>
      <c r="D2437" s="0" t="s">
        <v>16</v>
      </c>
      <c r="E2437" s="0" t="s">
        <v>17</v>
      </c>
      <c r="F2437" s="0" t="s">
        <v>116</v>
      </c>
      <c r="G2437" s="0" t="n">
        <v>1</v>
      </c>
      <c r="H2437" s="0" t="s">
        <v>33</v>
      </c>
      <c r="J2437" s="0" t="s">
        <v>34</v>
      </c>
      <c r="K2437" s="0" t="str">
        <f aca="false">"3.84 %"</f>
        <v>3.84 %</v>
      </c>
      <c r="O2437" s="0" t="s">
        <v>8519</v>
      </c>
    </row>
    <row r="2438" customFormat="false" ht="13.8" hidden="false" customHeight="false" outlineLevel="0" collapsed="false">
      <c r="A2438" s="0" t="s">
        <v>8520</v>
      </c>
      <c r="D2438" s="0" t="s">
        <v>16</v>
      </c>
      <c r="E2438" s="0" t="s">
        <v>17</v>
      </c>
      <c r="F2438" s="0" t="s">
        <v>709</v>
      </c>
      <c r="G2438" s="0" t="n">
        <v>1</v>
      </c>
      <c r="H2438" s="0" t="s">
        <v>33</v>
      </c>
      <c r="J2438" s="0" t="s">
        <v>8521</v>
      </c>
      <c r="K2438" s="0" t="str">
        <f aca="false">"2.51 %"</f>
        <v>2.51 %</v>
      </c>
      <c r="O2438" s="0" t="s">
        <v>8522</v>
      </c>
    </row>
    <row r="2439" customFormat="false" ht="13.8" hidden="false" customHeight="false" outlineLevel="0" collapsed="false">
      <c r="A2439" s="0" t="s">
        <v>8523</v>
      </c>
      <c r="D2439" s="0" t="s">
        <v>16</v>
      </c>
      <c r="E2439" s="0" t="s">
        <v>17</v>
      </c>
      <c r="F2439" s="0" t="s">
        <v>18</v>
      </c>
      <c r="G2439" s="0" t="n">
        <v>0</v>
      </c>
      <c r="H2439" s="0" t="s">
        <v>8524</v>
      </c>
      <c r="J2439" s="0" t="s">
        <v>8525</v>
      </c>
      <c r="K2439" s="0" t="str">
        <f aca="false">"2.03 %"</f>
        <v>2.03 %</v>
      </c>
      <c r="O2439" s="0" t="s">
        <v>8526</v>
      </c>
    </row>
    <row r="2440" customFormat="false" ht="13.8" hidden="false" customHeight="false" outlineLevel="0" collapsed="false">
      <c r="A2440" s="0" t="s">
        <v>8527</v>
      </c>
      <c r="D2440" s="0" t="n">
        <v>60</v>
      </c>
      <c r="F2440" s="0" t="s">
        <v>8528</v>
      </c>
      <c r="G2440" s="0" t="n">
        <v>0</v>
      </c>
      <c r="H2440" s="0" t="n">
        <v>60</v>
      </c>
      <c r="J2440" s="0" t="s">
        <v>8528</v>
      </c>
      <c r="L2440" s="0" t="str">
        <f aca="false">"0.727 V"</f>
        <v>0.727 V</v>
      </c>
      <c r="M2440" s="0" t="str">
        <f aca="false">"5.45 mA/cm^{2}"</f>
        <v>5.45 mA/cm^{2}</v>
      </c>
      <c r="O2440" s="0" t="s">
        <v>8529</v>
      </c>
    </row>
    <row r="2441" customFormat="false" ht="13.8" hidden="false" customHeight="false" outlineLevel="0" collapsed="false">
      <c r="A2441" s="0" t="s">
        <v>8527</v>
      </c>
      <c r="D2441" s="0" t="s">
        <v>1695</v>
      </c>
      <c r="F2441" s="0" t="s">
        <v>8530</v>
      </c>
      <c r="G2441" s="0" t="n">
        <v>0</v>
      </c>
      <c r="H2441" s="0" t="n">
        <v>40</v>
      </c>
      <c r="J2441" s="0" t="s">
        <v>8531</v>
      </c>
      <c r="K2441" s="0" t="str">
        <f aca="false">"2.02 %"</f>
        <v>2.02 %</v>
      </c>
      <c r="N2441" s="0" t="str">
        <f aca="false">"51 %"</f>
        <v>51 %</v>
      </c>
      <c r="O2441" s="0" t="s">
        <v>8532</v>
      </c>
    </row>
    <row r="2442" customFormat="false" ht="13.8" hidden="false" customHeight="false" outlineLevel="0" collapsed="false">
      <c r="A2442" s="0" t="s">
        <v>8533</v>
      </c>
      <c r="D2442" s="0" t="s">
        <v>31</v>
      </c>
      <c r="E2442" s="0" t="s">
        <v>17</v>
      </c>
      <c r="F2442" s="0" t="s">
        <v>32</v>
      </c>
      <c r="G2442" s="0" t="n">
        <v>0</v>
      </c>
      <c r="H2442" s="0" t="s">
        <v>1017</v>
      </c>
      <c r="J2442" s="0" t="s">
        <v>1832</v>
      </c>
      <c r="K2442" s="0" t="str">
        <f aca="false">"2.76 %"</f>
        <v>2.76 %</v>
      </c>
      <c r="O2442" s="0" t="s">
        <v>8534</v>
      </c>
    </row>
    <row r="2443" customFormat="false" ht="13.8" hidden="false" customHeight="false" outlineLevel="0" collapsed="false">
      <c r="A2443" s="0" t="s">
        <v>8535</v>
      </c>
      <c r="D2443" s="0" t="s">
        <v>1924</v>
      </c>
      <c r="E2443" s="0" t="s">
        <v>1925</v>
      </c>
      <c r="F2443" s="0" t="s">
        <v>8536</v>
      </c>
      <c r="G2443" s="0" t="n">
        <v>0</v>
      </c>
      <c r="H2443" s="0" t="s">
        <v>8537</v>
      </c>
      <c r="J2443" s="0" t="s">
        <v>8538</v>
      </c>
      <c r="K2443" s="0" t="str">
        <f aca="false">"11.23 %"</f>
        <v>11.23 %</v>
      </c>
      <c r="O2443" s="0" t="s">
        <v>8539</v>
      </c>
    </row>
    <row r="2444" customFormat="false" ht="13.8" hidden="false" customHeight="false" outlineLevel="0" collapsed="false">
      <c r="A2444" s="0" t="s">
        <v>8540</v>
      </c>
      <c r="D2444" s="0" t="s">
        <v>85</v>
      </c>
      <c r="E2444" s="0" t="s">
        <v>86</v>
      </c>
      <c r="F2444" s="0" t="s">
        <v>7259</v>
      </c>
      <c r="G2444" s="0" t="n">
        <v>1</v>
      </c>
      <c r="H2444" s="0" t="s">
        <v>27</v>
      </c>
      <c r="J2444" s="0" t="s">
        <v>28</v>
      </c>
      <c r="K2444" s="0" t="str">
        <f aca="false">"8.8 %"</f>
        <v>8.8 %</v>
      </c>
      <c r="O2444" s="0" t="s">
        <v>8541</v>
      </c>
    </row>
    <row r="2445" customFormat="false" ht="13.8" hidden="false" customHeight="false" outlineLevel="0" collapsed="false">
      <c r="A2445" s="0" t="s">
        <v>8540</v>
      </c>
      <c r="D2445" s="0" t="s">
        <v>8542</v>
      </c>
      <c r="F2445" s="0" t="s">
        <v>8543</v>
      </c>
      <c r="G2445" s="0" t="n">
        <v>1</v>
      </c>
      <c r="H2445" s="0" t="s">
        <v>27</v>
      </c>
      <c r="J2445" s="0" t="s">
        <v>28</v>
      </c>
      <c r="K2445" s="0" t="str">
        <f aca="false">"7.2 %"</f>
        <v>7.2 %</v>
      </c>
      <c r="O2445" s="0" t="s">
        <v>8544</v>
      </c>
    </row>
    <row r="2446" customFormat="false" ht="13.8" hidden="false" customHeight="false" outlineLevel="0" collapsed="false">
      <c r="A2446" s="0" t="s">
        <v>8545</v>
      </c>
      <c r="D2446" s="0" t="s">
        <v>16</v>
      </c>
      <c r="E2446" s="0" t="s">
        <v>17</v>
      </c>
      <c r="F2446" s="0" t="s">
        <v>18</v>
      </c>
      <c r="G2446" s="0" t="n">
        <v>1</v>
      </c>
      <c r="H2446" s="0" t="s">
        <v>33</v>
      </c>
      <c r="J2446" s="0" t="s">
        <v>34</v>
      </c>
      <c r="K2446" s="0" t="str">
        <f aca="false">"3 %"</f>
        <v>3 %</v>
      </c>
      <c r="O2446" s="0" t="s">
        <v>8546</v>
      </c>
    </row>
    <row r="2447" customFormat="false" ht="13.8" hidden="false" customHeight="false" outlineLevel="0" collapsed="false">
      <c r="A2447" s="0" t="s">
        <v>8547</v>
      </c>
      <c r="D2447" s="0" t="s">
        <v>8548</v>
      </c>
      <c r="E2447" s="0" t="s">
        <v>5216</v>
      </c>
      <c r="F2447" s="0" t="s">
        <v>8549</v>
      </c>
      <c r="G2447" s="0" t="n">
        <v>1</v>
      </c>
      <c r="H2447" s="0" t="s">
        <v>33</v>
      </c>
      <c r="J2447" s="0" t="s">
        <v>60</v>
      </c>
      <c r="K2447" s="0" t="str">
        <f aca="false">"2.82 %"</f>
        <v>2.82 %</v>
      </c>
      <c r="O2447" s="0" t="s">
        <v>8550</v>
      </c>
    </row>
    <row r="2448" customFormat="false" ht="13.8" hidden="false" customHeight="false" outlineLevel="0" collapsed="false">
      <c r="A2448" s="0" t="s">
        <v>8551</v>
      </c>
      <c r="D2448" s="0" t="s">
        <v>16</v>
      </c>
      <c r="E2448" s="0" t="s">
        <v>17</v>
      </c>
      <c r="F2448" s="0" t="s">
        <v>8552</v>
      </c>
      <c r="G2448" s="0" t="n">
        <v>1</v>
      </c>
      <c r="H2448" s="0" t="s">
        <v>33</v>
      </c>
      <c r="J2448" s="0" t="s">
        <v>34</v>
      </c>
      <c r="K2448" s="0" t="str">
        <f aca="false">"1.21 %"</f>
        <v>1.21 %</v>
      </c>
      <c r="L2448" s="0" t="str">
        <f aca="false">"445 mV"</f>
        <v>445 mV</v>
      </c>
      <c r="N2448" s="0" t="str">
        <f aca="false">"0.46"</f>
        <v>0.46</v>
      </c>
      <c r="O2448" s="0" t="s">
        <v>8553</v>
      </c>
    </row>
    <row r="2449" customFormat="false" ht="13.8" hidden="false" customHeight="false" outlineLevel="0" collapsed="false">
      <c r="A2449" s="0" t="s">
        <v>8554</v>
      </c>
      <c r="D2449" s="0" t="s">
        <v>16</v>
      </c>
      <c r="E2449" s="0" t="s">
        <v>17</v>
      </c>
      <c r="F2449" s="0" t="s">
        <v>18</v>
      </c>
      <c r="G2449" s="0" t="n">
        <v>1</v>
      </c>
      <c r="H2449" s="0" t="s">
        <v>33</v>
      </c>
      <c r="J2449" s="0" t="s">
        <v>40</v>
      </c>
      <c r="K2449" s="0" t="str">
        <f aca="false">"3.05 %"</f>
        <v>3.05 %</v>
      </c>
      <c r="O2449" s="0" t="s">
        <v>8555</v>
      </c>
    </row>
    <row r="2450" customFormat="false" ht="13.8" hidden="false" customHeight="false" outlineLevel="0" collapsed="false">
      <c r="A2450" s="0" t="s">
        <v>8556</v>
      </c>
      <c r="D2450" s="0" t="s">
        <v>16</v>
      </c>
      <c r="E2450" s="0" t="s">
        <v>17</v>
      </c>
      <c r="F2450" s="0" t="s">
        <v>709</v>
      </c>
      <c r="G2450" s="0" t="n">
        <v>1</v>
      </c>
      <c r="H2450" s="0" t="s">
        <v>33</v>
      </c>
      <c r="J2450" s="0" t="s">
        <v>34</v>
      </c>
      <c r="K2450" s="0" t="str">
        <f aca="false">"~13 %"</f>
        <v>~13 %</v>
      </c>
      <c r="O2450" s="0" t="s">
        <v>8557</v>
      </c>
    </row>
    <row r="2451" customFormat="false" ht="13.8" hidden="false" customHeight="false" outlineLevel="0" collapsed="false">
      <c r="A2451" s="0" t="s">
        <v>8558</v>
      </c>
      <c r="D2451" s="0" t="s">
        <v>8559</v>
      </c>
      <c r="E2451" s="0" t="s">
        <v>879</v>
      </c>
      <c r="F2451" s="0" t="s">
        <v>8560</v>
      </c>
      <c r="G2451" s="0" t="n">
        <v>1</v>
      </c>
      <c r="H2451" s="0" t="s">
        <v>33</v>
      </c>
      <c r="J2451" s="0" t="s">
        <v>40</v>
      </c>
      <c r="K2451" s="0" t="str">
        <f aca="false">"1.5 %"</f>
        <v>1.5 %</v>
      </c>
      <c r="O2451" s="0" t="s">
        <v>8561</v>
      </c>
    </row>
    <row r="2452" customFormat="false" ht="13.8" hidden="false" customHeight="false" outlineLevel="0" collapsed="false">
      <c r="A2452" s="0" t="s">
        <v>8562</v>
      </c>
      <c r="D2452" s="0" t="s">
        <v>8563</v>
      </c>
      <c r="F2452" s="0" t="s">
        <v>8564</v>
      </c>
      <c r="G2452" s="0" t="n">
        <v>1</v>
      </c>
      <c r="H2452" s="0" t="s">
        <v>33</v>
      </c>
      <c r="J2452" s="0" t="s">
        <v>34</v>
      </c>
      <c r="K2452" s="0" t="str">
        <f aca="false">"2.57 %"</f>
        <v>2.57 %</v>
      </c>
      <c r="O2452" s="0" t="s">
        <v>8565</v>
      </c>
    </row>
    <row r="2453" customFormat="false" ht="13.8" hidden="false" customHeight="false" outlineLevel="0" collapsed="false">
      <c r="A2453" s="0" t="s">
        <v>8566</v>
      </c>
      <c r="D2453" s="0" t="s">
        <v>8567</v>
      </c>
      <c r="F2453" s="0" t="s">
        <v>8568</v>
      </c>
      <c r="G2453" s="0" t="n">
        <v>1</v>
      </c>
      <c r="H2453" s="0" t="s">
        <v>152</v>
      </c>
      <c r="J2453" s="0" t="s">
        <v>153</v>
      </c>
      <c r="K2453" s="0" t="str">
        <f aca="false">"2.6 %"</f>
        <v>2.6 %</v>
      </c>
      <c r="O2453" s="0" t="s">
        <v>8569</v>
      </c>
    </row>
    <row r="2454" customFormat="false" ht="13.8" hidden="false" customHeight="false" outlineLevel="0" collapsed="false">
      <c r="A2454" s="0" t="s">
        <v>8570</v>
      </c>
      <c r="D2454" s="0" t="s">
        <v>208</v>
      </c>
      <c r="E2454" s="0" t="s">
        <v>17</v>
      </c>
      <c r="F2454" s="0" t="s">
        <v>209</v>
      </c>
      <c r="G2454" s="0" t="n">
        <v>0</v>
      </c>
      <c r="H2454" s="0" t="s">
        <v>8398</v>
      </c>
      <c r="J2454" s="0" t="s">
        <v>8399</v>
      </c>
      <c r="K2454" s="0" t="str">
        <f aca="false">"2 %"</f>
        <v>2 %</v>
      </c>
      <c r="O2454" s="0" t="s">
        <v>8571</v>
      </c>
    </row>
    <row r="2455" customFormat="false" ht="13.8" hidden="false" customHeight="false" outlineLevel="0" collapsed="false">
      <c r="A2455" s="0" t="s">
        <v>8572</v>
      </c>
      <c r="D2455" s="0" t="s">
        <v>8573</v>
      </c>
      <c r="E2455" s="0" t="s">
        <v>1169</v>
      </c>
      <c r="F2455" s="0" t="s">
        <v>8574</v>
      </c>
      <c r="G2455" s="0" t="n">
        <v>0</v>
      </c>
      <c r="H2455" s="0" t="s">
        <v>1924</v>
      </c>
      <c r="I2455" s="0" t="s">
        <v>1925</v>
      </c>
      <c r="J2455" s="0" t="s">
        <v>8536</v>
      </c>
      <c r="K2455" s="0" t="str">
        <f aca="false">"8.1 %"</f>
        <v>8.1 %</v>
      </c>
      <c r="L2455" s="0" t="str">
        <f aca="false">"0.573 V"</f>
        <v>0.573 V</v>
      </c>
      <c r="O2455" s="0" t="s">
        <v>8575</v>
      </c>
    </row>
    <row r="2456" customFormat="false" ht="13.8" hidden="false" customHeight="false" outlineLevel="0" collapsed="false">
      <c r="A2456" s="0" t="s">
        <v>8572</v>
      </c>
      <c r="D2456" s="0" t="s">
        <v>8573</v>
      </c>
      <c r="E2456" s="0" t="s">
        <v>1169</v>
      </c>
      <c r="F2456" s="0" t="s">
        <v>8574</v>
      </c>
      <c r="G2456" s="0" t="n">
        <v>0</v>
      </c>
      <c r="H2456" s="0" t="s">
        <v>8573</v>
      </c>
      <c r="I2456" s="0" t="s">
        <v>1169</v>
      </c>
      <c r="J2456" s="0" t="s">
        <v>8574</v>
      </c>
      <c r="M2456" s="0" t="str">
        <f aca="false">"33.40 mA/cm^{2}"</f>
        <v>33.40 mA/cm^{2}</v>
      </c>
      <c r="N2456" s="0" t="str">
        <f aca="false">"0.423"</f>
        <v>0.423</v>
      </c>
      <c r="O2456" s="0" t="s">
        <v>8576</v>
      </c>
    </row>
    <row r="2457" customFormat="false" ht="13.8" hidden="false" customHeight="false" outlineLevel="0" collapsed="false">
      <c r="A2457" s="0" t="s">
        <v>8577</v>
      </c>
      <c r="D2457" s="0" t="s">
        <v>8578</v>
      </c>
      <c r="E2457" s="0" t="s">
        <v>3571</v>
      </c>
      <c r="F2457" s="0" t="s">
        <v>8579</v>
      </c>
      <c r="G2457" s="0" t="n">
        <v>1</v>
      </c>
      <c r="H2457" s="0" t="s">
        <v>33</v>
      </c>
      <c r="J2457" s="0" t="s">
        <v>34</v>
      </c>
      <c r="K2457" s="0" t="str">
        <f aca="false">"1.58 %"</f>
        <v>1.58 %</v>
      </c>
      <c r="L2457" s="0" t="str">
        <f aca="false">"0.51 V"</f>
        <v>0.51 V</v>
      </c>
      <c r="M2457" s="0" t="str">
        <f aca="false">"8.71 mA/cm^{2}"</f>
        <v>8.71 mA/cm^{2}</v>
      </c>
      <c r="N2457" s="0" t="str">
        <f aca="false">"35 %"</f>
        <v>35 %</v>
      </c>
      <c r="O2457" s="0" t="s">
        <v>8580</v>
      </c>
    </row>
    <row r="2458" customFormat="false" ht="13.8" hidden="false" customHeight="false" outlineLevel="0" collapsed="false">
      <c r="A2458" s="0" t="s">
        <v>8581</v>
      </c>
      <c r="D2458" s="0" t="s">
        <v>208</v>
      </c>
      <c r="E2458" s="0" t="s">
        <v>17</v>
      </c>
      <c r="F2458" s="0" t="s">
        <v>209</v>
      </c>
      <c r="G2458" s="0" t="n">
        <v>1</v>
      </c>
      <c r="H2458" s="0" t="s">
        <v>543</v>
      </c>
      <c r="J2458" s="0" t="s">
        <v>6986</v>
      </c>
      <c r="K2458" s="0" t="str">
        <f aca="false">"3.81 %"</f>
        <v>3.81 %</v>
      </c>
      <c r="O2458" s="0" t="s">
        <v>8582</v>
      </c>
    </row>
    <row r="2459" customFormat="false" ht="13.8" hidden="false" customHeight="false" outlineLevel="0" collapsed="false">
      <c r="A2459" s="0" t="s">
        <v>8583</v>
      </c>
      <c r="D2459" s="0" t="s">
        <v>1787</v>
      </c>
      <c r="E2459" s="0" t="s">
        <v>1169</v>
      </c>
      <c r="F2459" s="0" t="s">
        <v>1788</v>
      </c>
      <c r="G2459" s="0" t="n">
        <v>0</v>
      </c>
      <c r="H2459" s="0" t="s">
        <v>1924</v>
      </c>
      <c r="I2459" s="0" t="s">
        <v>1925</v>
      </c>
      <c r="J2459" s="0" t="s">
        <v>8536</v>
      </c>
      <c r="O2459" s="0" t="s">
        <v>8584</v>
      </c>
    </row>
    <row r="2460" customFormat="false" ht="13.8" hidden="false" customHeight="false" outlineLevel="0" collapsed="false">
      <c r="A2460" s="0" t="s">
        <v>8583</v>
      </c>
      <c r="D2460" s="0" t="s">
        <v>1787</v>
      </c>
      <c r="E2460" s="0" t="s">
        <v>1169</v>
      </c>
      <c r="F2460" s="0" t="s">
        <v>1788</v>
      </c>
      <c r="G2460" s="0" t="n">
        <v>0</v>
      </c>
      <c r="H2460" s="0" t="s">
        <v>1787</v>
      </c>
      <c r="I2460" s="0" t="s">
        <v>1169</v>
      </c>
      <c r="J2460" s="0" t="s">
        <v>1788</v>
      </c>
      <c r="K2460" s="0" t="str">
        <f aca="false">"11.04 %"</f>
        <v>11.04 %</v>
      </c>
      <c r="O2460" s="0" t="s">
        <v>8585</v>
      </c>
    </row>
    <row r="2461" customFormat="false" ht="13.8" hidden="false" customHeight="false" outlineLevel="0" collapsed="false">
      <c r="A2461" s="0" t="s">
        <v>8586</v>
      </c>
      <c r="D2461" s="0" t="s">
        <v>8587</v>
      </c>
      <c r="F2461" s="0" t="s">
        <v>8588</v>
      </c>
      <c r="G2461" s="0" t="n">
        <v>1</v>
      </c>
      <c r="H2461" s="0" t="s">
        <v>33</v>
      </c>
      <c r="J2461" s="0" t="s">
        <v>40</v>
      </c>
      <c r="K2461" s="0" t="str">
        <f aca="false">"2.77 %"</f>
        <v>2.77 %</v>
      </c>
      <c r="O2461" s="0" t="s">
        <v>8589</v>
      </c>
    </row>
    <row r="2462" customFormat="false" ht="13.8" hidden="false" customHeight="false" outlineLevel="0" collapsed="false">
      <c r="A2462" s="0" t="s">
        <v>8590</v>
      </c>
      <c r="D2462" s="0" t="s">
        <v>201</v>
      </c>
      <c r="E2462" s="0" t="s">
        <v>202</v>
      </c>
      <c r="F2462" s="0" t="s">
        <v>422</v>
      </c>
      <c r="G2462" s="0" t="n">
        <v>0</v>
      </c>
      <c r="H2462" s="0" t="s">
        <v>8591</v>
      </c>
      <c r="J2462" s="0" t="s">
        <v>8592</v>
      </c>
      <c r="K2462" s="0" t="str">
        <f aca="false">"6.1 %"</f>
        <v>6.1 %</v>
      </c>
      <c r="O2462" s="0" t="s">
        <v>8593</v>
      </c>
    </row>
    <row r="2463" customFormat="false" ht="13.8" hidden="false" customHeight="false" outlineLevel="0" collapsed="false">
      <c r="A2463" s="0" t="s">
        <v>8594</v>
      </c>
      <c r="D2463" s="0" t="s">
        <v>201</v>
      </c>
      <c r="E2463" s="0" t="s">
        <v>202</v>
      </c>
      <c r="F2463" s="0" t="s">
        <v>422</v>
      </c>
      <c r="G2463" s="0" t="n">
        <v>0</v>
      </c>
      <c r="H2463" s="0" t="s">
        <v>969</v>
      </c>
      <c r="J2463" s="0" t="s">
        <v>970</v>
      </c>
      <c r="K2463" s="0" t="str">
        <f aca="false">"7.3 %"</f>
        <v>7.3 %</v>
      </c>
      <c r="O2463" s="0" t="s">
        <v>8595</v>
      </c>
    </row>
    <row r="2464" customFormat="false" ht="13.8" hidden="false" customHeight="false" outlineLevel="0" collapsed="false">
      <c r="A2464" s="0" t="s">
        <v>8596</v>
      </c>
      <c r="D2464" s="0" t="s">
        <v>8597</v>
      </c>
      <c r="F2464" s="0" t="s">
        <v>40</v>
      </c>
      <c r="G2464" s="0" t="n">
        <v>1</v>
      </c>
      <c r="H2464" s="0" t="s">
        <v>27</v>
      </c>
      <c r="J2464" s="0" t="s">
        <v>28</v>
      </c>
      <c r="K2464" s="0" t="str">
        <f aca="false">"4.6 %"</f>
        <v>4.6 %</v>
      </c>
      <c r="O2464" s="0" t="s">
        <v>8598</v>
      </c>
    </row>
    <row r="2465" customFormat="false" ht="13.8" hidden="false" customHeight="false" outlineLevel="0" collapsed="false">
      <c r="A2465" s="0" t="s">
        <v>8599</v>
      </c>
      <c r="D2465" s="0" t="s">
        <v>16</v>
      </c>
      <c r="E2465" s="0" t="s">
        <v>17</v>
      </c>
      <c r="F2465" s="0" t="s">
        <v>116</v>
      </c>
      <c r="G2465" s="0" t="n">
        <v>1</v>
      </c>
      <c r="H2465" s="0" t="s">
        <v>33</v>
      </c>
      <c r="J2465" s="0" t="s">
        <v>34</v>
      </c>
      <c r="K2465" s="0" t="str">
        <f aca="false">"3.38 %"</f>
        <v>3.38 %</v>
      </c>
      <c r="M2465" s="0" t="str">
        <f aca="false">"9.48 mA/cm^{2}"</f>
        <v>9.48 mA/cm^{2}</v>
      </c>
      <c r="O2465" s="0" t="s">
        <v>8600</v>
      </c>
    </row>
    <row r="2466" customFormat="false" ht="13.8" hidden="false" customHeight="false" outlineLevel="0" collapsed="false">
      <c r="A2466" s="0" t="s">
        <v>8601</v>
      </c>
      <c r="D2466" s="0" t="s">
        <v>1550</v>
      </c>
      <c r="F2466" s="0" t="s">
        <v>1552</v>
      </c>
      <c r="G2466" s="0" t="n">
        <v>0</v>
      </c>
      <c r="H2466" s="0" t="s">
        <v>1641</v>
      </c>
      <c r="J2466" s="0" t="s">
        <v>1643</v>
      </c>
      <c r="K2466" s="0" t="str">
        <f aca="false">"6.11 %"</f>
        <v>6.11 %</v>
      </c>
      <c r="L2466" s="0" t="str">
        <f aca="false">"1.06 V"</f>
        <v>1.06 V</v>
      </c>
      <c r="O2466" s="0" t="s">
        <v>8602</v>
      </c>
    </row>
    <row r="2467" customFormat="false" ht="13.8" hidden="false" customHeight="false" outlineLevel="0" collapsed="false">
      <c r="A2467" s="0" t="s">
        <v>8601</v>
      </c>
      <c r="D2467" s="0" t="s">
        <v>1550</v>
      </c>
      <c r="F2467" s="0" t="s">
        <v>1552</v>
      </c>
      <c r="G2467" s="0" t="n">
        <v>0</v>
      </c>
      <c r="H2467" s="0" t="s">
        <v>1637</v>
      </c>
      <c r="J2467" s="0" t="s">
        <v>1639</v>
      </c>
      <c r="K2467" s="0" t="str">
        <f aca="false">"4.94 %"</f>
        <v>4.94 %</v>
      </c>
      <c r="L2467" s="0" t="str">
        <f aca="false">"1.02 V"</f>
        <v>1.02 V</v>
      </c>
      <c r="O2467" s="0" t="s">
        <v>8603</v>
      </c>
    </row>
    <row r="2468" customFormat="false" ht="13.8" hidden="false" customHeight="false" outlineLevel="0" collapsed="false">
      <c r="A2468" s="0" t="s">
        <v>8604</v>
      </c>
      <c r="D2468" s="0" t="s">
        <v>8605</v>
      </c>
      <c r="F2468" s="0" t="s">
        <v>8606</v>
      </c>
      <c r="G2468" s="0" t="n">
        <v>1</v>
      </c>
      <c r="H2468" s="0" t="s">
        <v>27</v>
      </c>
      <c r="J2468" s="0" t="s">
        <v>28</v>
      </c>
      <c r="K2468" s="0" t="str">
        <f aca="false">"5.47 %"</f>
        <v>5.47 %</v>
      </c>
      <c r="L2468" s="0" t="str">
        <f aca="false">"0.97 V"</f>
        <v>0.97 V</v>
      </c>
      <c r="O2468" s="0" t="s">
        <v>8607</v>
      </c>
    </row>
    <row r="2469" customFormat="false" ht="13.8" hidden="false" customHeight="false" outlineLevel="0" collapsed="false">
      <c r="A2469" s="0" t="s">
        <v>8608</v>
      </c>
      <c r="D2469" s="0" t="s">
        <v>201</v>
      </c>
      <c r="E2469" s="0" t="s">
        <v>202</v>
      </c>
      <c r="F2469" s="0" t="s">
        <v>8609</v>
      </c>
      <c r="G2469" s="0" t="n">
        <v>0</v>
      </c>
      <c r="H2469" s="0" t="s">
        <v>8610</v>
      </c>
      <c r="J2469" s="0" t="s">
        <v>8611</v>
      </c>
      <c r="K2469" s="0" t="str">
        <f aca="false">"4.26 %"</f>
        <v>4.26 %</v>
      </c>
      <c r="L2469" s="0" t="str">
        <f aca="false">"1.03 V"</f>
        <v>1.03 V</v>
      </c>
      <c r="O2469" s="0" t="s">
        <v>8612</v>
      </c>
    </row>
    <row r="2470" customFormat="false" ht="13.8" hidden="false" customHeight="false" outlineLevel="0" collapsed="false">
      <c r="A2470" s="0" t="s">
        <v>8613</v>
      </c>
      <c r="D2470" s="0" t="s">
        <v>16</v>
      </c>
      <c r="E2470" s="0" t="s">
        <v>17</v>
      </c>
      <c r="F2470" s="0" t="s">
        <v>116</v>
      </c>
      <c r="G2470" s="0" t="n">
        <v>1</v>
      </c>
      <c r="H2470" s="0" t="s">
        <v>33</v>
      </c>
      <c r="J2470" s="0" t="s">
        <v>34</v>
      </c>
      <c r="K2470" s="0" t="str">
        <f aca="false">"40 %"</f>
        <v>40 %</v>
      </c>
      <c r="M2470" s="0" t="str">
        <f aca="false">"5.51 mA cm^{-2}"</f>
        <v>5.51 mA cm^{-2}</v>
      </c>
      <c r="N2470" s="0" t="str">
        <f aca="false">"35 %"</f>
        <v>35 %</v>
      </c>
      <c r="O2470" s="0" t="s">
        <v>8614</v>
      </c>
    </row>
    <row r="2471" customFormat="false" ht="13.8" hidden="false" customHeight="false" outlineLevel="0" collapsed="false">
      <c r="A2471" s="0" t="s">
        <v>8615</v>
      </c>
      <c r="D2471" s="0" t="s">
        <v>201</v>
      </c>
      <c r="E2471" s="0" t="s">
        <v>202</v>
      </c>
      <c r="F2471" s="0" t="s">
        <v>422</v>
      </c>
      <c r="G2471" s="0" t="n">
        <v>1</v>
      </c>
      <c r="H2471" s="0" t="s">
        <v>33</v>
      </c>
      <c r="J2471" s="0" t="s">
        <v>34</v>
      </c>
      <c r="K2471" s="0" t="str">
        <f aca="false">"10.09 %"</f>
        <v>10.09 %</v>
      </c>
      <c r="O2471" s="0" t="s">
        <v>8616</v>
      </c>
    </row>
    <row r="2472" customFormat="false" ht="13.8" hidden="false" customHeight="false" outlineLevel="0" collapsed="false">
      <c r="A2472" s="0" t="s">
        <v>8617</v>
      </c>
      <c r="D2472" s="0" t="s">
        <v>8618</v>
      </c>
      <c r="F2472" s="0" t="s">
        <v>8619</v>
      </c>
      <c r="G2472" s="0" t="n">
        <v>0</v>
      </c>
      <c r="H2472" s="0" t="s">
        <v>8620</v>
      </c>
      <c r="J2472" s="0" t="s">
        <v>40</v>
      </c>
      <c r="K2472" s="0" t="str">
        <f aca="false">"14.8 %"</f>
        <v>14.8 %</v>
      </c>
      <c r="L2472" s="0" t="str">
        <f aca="false">"0.94 V"</f>
        <v>0.94 V</v>
      </c>
      <c r="M2472" s="0" t="str">
        <f aca="false">"21.8 mA cm^{-2}"</f>
        <v>21.8 mA cm^{-2}</v>
      </c>
      <c r="O2472" s="0" t="s">
        <v>8621</v>
      </c>
    </row>
    <row r="2473" customFormat="false" ht="13.8" hidden="false" customHeight="false" outlineLevel="0" collapsed="false">
      <c r="A2473" s="0" t="s">
        <v>8622</v>
      </c>
      <c r="D2473" s="0" t="s">
        <v>8623</v>
      </c>
      <c r="F2473" s="0" t="s">
        <v>8624</v>
      </c>
      <c r="G2473" s="0" t="n">
        <v>0</v>
      </c>
      <c r="H2473" s="0" t="s">
        <v>6858</v>
      </c>
      <c r="I2473" s="0" t="s">
        <v>8625</v>
      </c>
      <c r="J2473" s="0" t="s">
        <v>8626</v>
      </c>
      <c r="K2473" s="0" t="str">
        <f aca="false">"11.85 %"</f>
        <v>11.85 %</v>
      </c>
      <c r="L2473" s="0" t="str">
        <f aca="false">"0.84 V"</f>
        <v>0.84 V</v>
      </c>
      <c r="N2473" s="0" t="str">
        <f aca="false">"0.63"</f>
        <v>0.63</v>
      </c>
      <c r="O2473" s="0" t="s">
        <v>8627</v>
      </c>
    </row>
    <row r="2474" customFormat="false" ht="13.8" hidden="false" customHeight="false" outlineLevel="0" collapsed="false">
      <c r="A2474" s="0" t="s">
        <v>8622</v>
      </c>
      <c r="D2474" s="0" t="s">
        <v>8628</v>
      </c>
      <c r="F2474" s="0" t="s">
        <v>8629</v>
      </c>
      <c r="G2474" s="0" t="n">
        <v>0</v>
      </c>
      <c r="H2474" s="0" t="s">
        <v>6858</v>
      </c>
      <c r="I2474" s="0" t="s">
        <v>8625</v>
      </c>
      <c r="J2474" s="0" t="s">
        <v>8626</v>
      </c>
      <c r="K2474" s="0" t="str">
        <f aca="false">"14.10 %"</f>
        <v>14.10 %</v>
      </c>
      <c r="M2474" s="0" t="str">
        <f aca="false">"24.67 mA cm^{-2}"</f>
        <v>24.67 mA cm^{-2}</v>
      </c>
      <c r="N2474" s="0" t="str">
        <f aca="false">"0.68"</f>
        <v>0.68</v>
      </c>
      <c r="O2474" s="0" t="s">
        <v>8630</v>
      </c>
    </row>
    <row r="2475" customFormat="false" ht="13.8" hidden="false" customHeight="false" outlineLevel="0" collapsed="false">
      <c r="A2475" s="0" t="s">
        <v>8631</v>
      </c>
      <c r="D2475" s="0" t="s">
        <v>201</v>
      </c>
      <c r="E2475" s="0" t="s">
        <v>202</v>
      </c>
      <c r="F2475" s="0" t="s">
        <v>422</v>
      </c>
      <c r="G2475" s="0" t="n">
        <v>1</v>
      </c>
      <c r="H2475" s="0" t="s">
        <v>27</v>
      </c>
      <c r="J2475" s="0" t="s">
        <v>28</v>
      </c>
      <c r="K2475" s="0" t="str">
        <f aca="false">"8.48 %"</f>
        <v>8.48 %</v>
      </c>
      <c r="O2475" s="0" t="s">
        <v>8632</v>
      </c>
    </row>
    <row r="2476" customFormat="false" ht="13.8" hidden="false" customHeight="false" outlineLevel="0" collapsed="false">
      <c r="A2476" s="0" t="s">
        <v>8633</v>
      </c>
      <c r="B2476" s="0" t="n">
        <v>1</v>
      </c>
      <c r="D2476" s="0" t="s">
        <v>1116</v>
      </c>
      <c r="E2476" s="0" t="s">
        <v>1117</v>
      </c>
      <c r="F2476" s="0" t="s">
        <v>1118</v>
      </c>
      <c r="G2476" s="0" t="n">
        <v>0</v>
      </c>
      <c r="H2476" s="0" t="s">
        <v>5040</v>
      </c>
      <c r="I2476" s="0" t="s">
        <v>5041</v>
      </c>
      <c r="J2476" s="0" t="s">
        <v>5042</v>
      </c>
      <c r="K2476" s="0" t="str">
        <f aca="false">"15.87 %"</f>
        <v>15.87 %</v>
      </c>
      <c r="O2476" s="0" t="s">
        <v>8634</v>
      </c>
    </row>
    <row r="2477" customFormat="false" ht="13.8" hidden="false" customHeight="false" outlineLevel="0" collapsed="false">
      <c r="A2477" s="0" t="s">
        <v>8633</v>
      </c>
      <c r="B2477" s="0" t="n">
        <v>1</v>
      </c>
      <c r="D2477" s="0" t="s">
        <v>1116</v>
      </c>
      <c r="E2477" s="0" t="s">
        <v>1117</v>
      </c>
      <c r="F2477" s="0" t="s">
        <v>1118</v>
      </c>
      <c r="G2477" s="0" t="n">
        <v>0</v>
      </c>
      <c r="H2477" s="0" t="s">
        <v>8635</v>
      </c>
      <c r="I2477" s="0" t="s">
        <v>5041</v>
      </c>
      <c r="J2477" s="0" t="s">
        <v>8636</v>
      </c>
      <c r="K2477" s="0" t="str">
        <f aca="false">"8.35 %"</f>
        <v>8.35 %</v>
      </c>
    </row>
    <row r="2478" customFormat="false" ht="13.8" hidden="false" customHeight="false" outlineLevel="0" collapsed="false">
      <c r="A2478" s="0" t="s">
        <v>8637</v>
      </c>
      <c r="D2478" s="0" t="s">
        <v>8638</v>
      </c>
      <c r="F2478" s="0" t="s">
        <v>8639</v>
      </c>
      <c r="G2478" s="0" t="n">
        <v>0</v>
      </c>
      <c r="H2478" s="0" t="s">
        <v>8640</v>
      </c>
      <c r="J2478" s="0" t="s">
        <v>8641</v>
      </c>
      <c r="K2478" s="0" t="str">
        <f aca="false">"12.0 %"</f>
        <v>12.0 %</v>
      </c>
      <c r="O2478" s="0" t="s">
        <v>8642</v>
      </c>
    </row>
    <row r="2479" customFormat="false" ht="13.8" hidden="false" customHeight="false" outlineLevel="0" collapsed="false">
      <c r="A2479" s="0" t="s">
        <v>8637</v>
      </c>
      <c r="D2479" s="0" t="s">
        <v>8643</v>
      </c>
      <c r="F2479" s="0" t="s">
        <v>8644</v>
      </c>
      <c r="G2479" s="0" t="n">
        <v>0</v>
      </c>
      <c r="H2479" s="0" t="s">
        <v>8640</v>
      </c>
      <c r="J2479" s="0" t="s">
        <v>8641</v>
      </c>
      <c r="K2479" s="0" t="str">
        <f aca="false">"9.68 %"</f>
        <v>9.68 %</v>
      </c>
      <c r="O2479" s="0" t="s">
        <v>8645</v>
      </c>
    </row>
    <row r="2480" customFormat="false" ht="13.8" hidden="false" customHeight="false" outlineLevel="0" collapsed="false">
      <c r="A2480" s="0" t="s">
        <v>8637</v>
      </c>
      <c r="D2480" s="0" t="s">
        <v>8643</v>
      </c>
      <c r="F2480" s="0" t="s">
        <v>8644</v>
      </c>
      <c r="G2480" s="0" t="n">
        <v>0</v>
      </c>
      <c r="H2480" s="0" t="s">
        <v>163</v>
      </c>
      <c r="I2480" s="0" t="s">
        <v>164</v>
      </c>
      <c r="J2480" s="0" t="s">
        <v>165</v>
      </c>
      <c r="K2480" s="0" t="str">
        <f aca="false">"12.8 %"</f>
        <v>12.8 %</v>
      </c>
      <c r="O2480" s="0" t="s">
        <v>8646</v>
      </c>
    </row>
    <row r="2481" customFormat="false" ht="13.8" hidden="false" customHeight="false" outlineLevel="0" collapsed="false">
      <c r="A2481" s="0" t="s">
        <v>8637</v>
      </c>
      <c r="D2481" s="0" t="s">
        <v>8647</v>
      </c>
      <c r="F2481" s="0" t="s">
        <v>8648</v>
      </c>
      <c r="G2481" s="0" t="n">
        <v>0</v>
      </c>
      <c r="H2481" s="0" t="s">
        <v>163</v>
      </c>
      <c r="I2481" s="0" t="s">
        <v>164</v>
      </c>
      <c r="J2481" s="0" t="s">
        <v>165</v>
      </c>
      <c r="K2481" s="0" t="str">
        <f aca="false">"15.1 %"</f>
        <v>15.1 %</v>
      </c>
      <c r="O2481" s="0" t="s">
        <v>8649</v>
      </c>
    </row>
    <row r="2482" customFormat="false" ht="13.8" hidden="false" customHeight="false" outlineLevel="0" collapsed="false">
      <c r="A2482" s="0" t="s">
        <v>8650</v>
      </c>
      <c r="D2482" s="0" t="s">
        <v>2493</v>
      </c>
      <c r="E2482" s="0" t="s">
        <v>2494</v>
      </c>
      <c r="F2482" s="0" t="s">
        <v>2780</v>
      </c>
      <c r="G2482" s="0" t="n">
        <v>0</v>
      </c>
      <c r="H2482" s="0" t="s">
        <v>2050</v>
      </c>
      <c r="J2482" s="0" t="s">
        <v>2051</v>
      </c>
      <c r="K2482" s="0" t="str">
        <f aca="false">"11.01 %"</f>
        <v>11.01 %</v>
      </c>
      <c r="O2482" s="0" t="s">
        <v>8651</v>
      </c>
    </row>
    <row r="2483" customFormat="false" ht="13.8" hidden="false" customHeight="false" outlineLevel="0" collapsed="false">
      <c r="A2483" s="0" t="s">
        <v>8652</v>
      </c>
      <c r="D2483" s="0" t="s">
        <v>8653</v>
      </c>
      <c r="F2483" s="0" t="s">
        <v>8654</v>
      </c>
      <c r="G2483" s="0" t="n">
        <v>0</v>
      </c>
      <c r="H2483" s="0" t="s">
        <v>8655</v>
      </c>
      <c r="J2483" s="0" t="s">
        <v>8656</v>
      </c>
      <c r="K2483" s="0" t="str">
        <f aca="false">"2.51 %"</f>
        <v>2.51 %</v>
      </c>
      <c r="O2483" s="0" t="s">
        <v>8657</v>
      </c>
    </row>
    <row r="2484" customFormat="false" ht="13.8" hidden="false" customHeight="false" outlineLevel="0" collapsed="false">
      <c r="A2484" s="0" t="s">
        <v>8658</v>
      </c>
      <c r="D2484" s="0" t="s">
        <v>8659</v>
      </c>
      <c r="F2484" s="0" t="s">
        <v>8660</v>
      </c>
      <c r="G2484" s="0" t="n">
        <v>0</v>
      </c>
      <c r="H2484" s="0" t="s">
        <v>8661</v>
      </c>
      <c r="J2484" s="0" t="s">
        <v>40</v>
      </c>
      <c r="K2484" s="0" t="str">
        <f aca="false">"7.66 %"</f>
        <v>7.66 %</v>
      </c>
      <c r="O2484" s="0" t="s">
        <v>8662</v>
      </c>
    </row>
    <row r="2485" customFormat="false" ht="13.8" hidden="false" customHeight="false" outlineLevel="0" collapsed="false">
      <c r="A2485" s="0" t="s">
        <v>8663</v>
      </c>
      <c r="D2485" s="0" t="s">
        <v>201</v>
      </c>
      <c r="E2485" s="0" t="s">
        <v>202</v>
      </c>
      <c r="F2485" s="0" t="s">
        <v>422</v>
      </c>
      <c r="G2485" s="0" t="n">
        <v>1</v>
      </c>
      <c r="H2485" s="0" t="s">
        <v>27</v>
      </c>
      <c r="J2485" s="0" t="s">
        <v>28</v>
      </c>
      <c r="K2485" s="0" t="str">
        <f aca="false">"8.3 %"</f>
        <v>8.3 %</v>
      </c>
      <c r="O2485" s="0" t="s">
        <v>8664</v>
      </c>
    </row>
    <row r="2486" customFormat="false" ht="13.8" hidden="false" customHeight="false" outlineLevel="0" collapsed="false">
      <c r="A2486" s="0" t="s">
        <v>8665</v>
      </c>
      <c r="D2486" s="0" t="s">
        <v>599</v>
      </c>
      <c r="E2486" s="0" t="s">
        <v>600</v>
      </c>
      <c r="F2486" s="0" t="s">
        <v>601</v>
      </c>
      <c r="G2486" s="0" t="n">
        <v>0</v>
      </c>
      <c r="H2486" s="0" t="s">
        <v>8666</v>
      </c>
      <c r="J2486" s="0" t="s">
        <v>8667</v>
      </c>
      <c r="K2486" s="0" t="str">
        <f aca="false">"10.56 %"</f>
        <v>10.56 %</v>
      </c>
      <c r="L2486" s="0" t="str">
        <f aca="false">"0.93 V"</f>
        <v>0.93 V</v>
      </c>
      <c r="M2486" s="0" t="str">
        <f aca="false">"15.19 mA cm^{-2}"</f>
        <v>15.19 mA cm^{-2}</v>
      </c>
      <c r="N2486" s="0" t="str">
        <f aca="false">"73.82 %"</f>
        <v>73.82 %</v>
      </c>
      <c r="O2486" s="0" t="s">
        <v>8668</v>
      </c>
    </row>
    <row r="2487" customFormat="false" ht="13.8" hidden="false" customHeight="false" outlineLevel="0" collapsed="false">
      <c r="A2487" s="0" t="s">
        <v>8665</v>
      </c>
      <c r="D2487" s="0" t="s">
        <v>599</v>
      </c>
      <c r="E2487" s="0" t="s">
        <v>600</v>
      </c>
      <c r="F2487" s="0" t="s">
        <v>601</v>
      </c>
      <c r="G2487" s="0" t="n">
        <v>0</v>
      </c>
      <c r="H2487" s="0" t="s">
        <v>8669</v>
      </c>
      <c r="J2487" s="0" t="s">
        <v>8670</v>
      </c>
      <c r="K2487" s="0" t="str">
        <f aca="false">"10.08 %"</f>
        <v>10.08 %</v>
      </c>
      <c r="L2487" s="0" t="str">
        <f aca="false">"0.90 V"</f>
        <v>0.90 V</v>
      </c>
      <c r="M2487" s="0" t="str">
        <f aca="false">"15.89 mA cm^{-2}"</f>
        <v>15.89 mA cm^{-2}</v>
      </c>
      <c r="N2487" s="0" t="str">
        <f aca="false">"71.37 %"</f>
        <v>71.37 %</v>
      </c>
      <c r="O2487" s="0" t="s">
        <v>8671</v>
      </c>
    </row>
    <row r="2488" customFormat="false" ht="13.8" hidden="false" customHeight="false" outlineLevel="0" collapsed="false">
      <c r="A2488" s="0" t="s">
        <v>8672</v>
      </c>
      <c r="D2488" s="0" t="s">
        <v>16</v>
      </c>
      <c r="E2488" s="0" t="s">
        <v>17</v>
      </c>
      <c r="F2488" s="0" t="s">
        <v>18</v>
      </c>
      <c r="G2488" s="0" t="n">
        <v>1</v>
      </c>
      <c r="H2488" s="0" t="s">
        <v>27</v>
      </c>
      <c r="J2488" s="0" t="s">
        <v>1274</v>
      </c>
      <c r="K2488" s="0" t="str">
        <f aca="false">"2.5 %"</f>
        <v>2.5 %</v>
      </c>
      <c r="L2488" s="0" t="str">
        <f aca="false">"~1.1 V"</f>
        <v>~1.1 V</v>
      </c>
      <c r="O2488" s="0" t="s">
        <v>8673</v>
      </c>
    </row>
    <row r="2489" customFormat="false" ht="13.8" hidden="false" customHeight="false" outlineLevel="0" collapsed="false">
      <c r="A2489" s="0" t="s">
        <v>8674</v>
      </c>
      <c r="D2489" s="0" t="s">
        <v>8675</v>
      </c>
      <c r="F2489" s="0" t="s">
        <v>40</v>
      </c>
      <c r="G2489" s="0" t="n">
        <v>0</v>
      </c>
      <c r="H2489" s="0" t="s">
        <v>8676</v>
      </c>
      <c r="J2489" s="0" t="s">
        <v>8677</v>
      </c>
      <c r="K2489" s="0" t="str">
        <f aca="false">"5.46 %"</f>
        <v>5.46 %</v>
      </c>
      <c r="O2489" s="0" t="s">
        <v>8678</v>
      </c>
    </row>
    <row r="2490" customFormat="false" ht="13.8" hidden="false" customHeight="false" outlineLevel="0" collapsed="false">
      <c r="A2490" s="0" t="s">
        <v>8679</v>
      </c>
      <c r="D2490" s="0" t="s">
        <v>201</v>
      </c>
      <c r="E2490" s="0" t="s">
        <v>202</v>
      </c>
      <c r="F2490" s="0" t="s">
        <v>422</v>
      </c>
      <c r="G2490" s="0" t="n">
        <v>0</v>
      </c>
      <c r="H2490" s="0" t="s">
        <v>8680</v>
      </c>
      <c r="J2490" s="0" t="s">
        <v>40</v>
      </c>
      <c r="K2490" s="0" t="str">
        <f aca="false">"9.30 %"</f>
        <v>9.30 %</v>
      </c>
      <c r="O2490" s="0" t="s">
        <v>8681</v>
      </c>
    </row>
    <row r="2491" customFormat="false" ht="13.8" hidden="false" customHeight="false" outlineLevel="0" collapsed="false">
      <c r="A2491" s="0" t="s">
        <v>8682</v>
      </c>
      <c r="D2491" s="0" t="s">
        <v>8683</v>
      </c>
      <c r="E2491" s="0" t="s">
        <v>8684</v>
      </c>
      <c r="F2491" s="0" t="s">
        <v>8685</v>
      </c>
      <c r="G2491" s="0" t="n">
        <v>0</v>
      </c>
      <c r="H2491" s="0" t="s">
        <v>8686</v>
      </c>
      <c r="J2491" s="0" t="s">
        <v>8687</v>
      </c>
      <c r="K2491" s="0" t="str">
        <f aca="false">"10.81 %"</f>
        <v>10.81 %</v>
      </c>
      <c r="O2491" s="0" t="s">
        <v>8688</v>
      </c>
    </row>
    <row r="2492" customFormat="false" ht="13.8" hidden="false" customHeight="false" outlineLevel="0" collapsed="false">
      <c r="A2492" s="0" t="s">
        <v>8689</v>
      </c>
      <c r="D2492" s="0" t="s">
        <v>16</v>
      </c>
      <c r="E2492" s="0" t="s">
        <v>17</v>
      </c>
      <c r="F2492" s="0" t="s">
        <v>18</v>
      </c>
      <c r="G2492" s="0" t="n">
        <v>0</v>
      </c>
      <c r="H2492" s="0" t="s">
        <v>8690</v>
      </c>
      <c r="J2492" s="0" t="s">
        <v>40</v>
      </c>
      <c r="K2492" s="0" t="str">
        <f aca="false">"1.76 %"</f>
        <v>1.76 %</v>
      </c>
      <c r="O2492" s="0" t="s">
        <v>8691</v>
      </c>
    </row>
    <row r="2493" customFormat="false" ht="13.8" hidden="false" customHeight="false" outlineLevel="0" collapsed="false">
      <c r="A2493" s="0" t="s">
        <v>8692</v>
      </c>
      <c r="D2493" s="0" t="s">
        <v>5374</v>
      </c>
      <c r="E2493" s="0" t="s">
        <v>5375</v>
      </c>
      <c r="F2493" s="0" t="s">
        <v>5376</v>
      </c>
      <c r="G2493" s="0" t="n">
        <v>0</v>
      </c>
      <c r="H2493" s="0" t="s">
        <v>8693</v>
      </c>
      <c r="J2493" s="0" t="s">
        <v>8694</v>
      </c>
      <c r="K2493" s="0" t="str">
        <f aca="false">"9.2 %"</f>
        <v>9.2 %</v>
      </c>
      <c r="O2493" s="0" t="s">
        <v>8695</v>
      </c>
    </row>
    <row r="2494" customFormat="false" ht="13.8" hidden="false" customHeight="false" outlineLevel="0" collapsed="false">
      <c r="A2494" s="0" t="s">
        <v>8696</v>
      </c>
      <c r="D2494" s="0" t="s">
        <v>599</v>
      </c>
      <c r="E2494" s="0" t="s">
        <v>600</v>
      </c>
      <c r="F2494" s="0" t="s">
        <v>601</v>
      </c>
      <c r="G2494" s="0" t="n">
        <v>0</v>
      </c>
      <c r="H2494" s="0" t="s">
        <v>8697</v>
      </c>
      <c r="J2494" s="0" t="s">
        <v>8698</v>
      </c>
      <c r="K2494" s="0" t="str">
        <f aca="false">"11.63 %"</f>
        <v>11.63 %</v>
      </c>
      <c r="N2494" s="0" t="str">
        <f aca="false">"72.62 %"</f>
        <v>72.62 %</v>
      </c>
      <c r="O2494" s="0" t="s">
        <v>8699</v>
      </c>
    </row>
    <row r="2495" customFormat="false" ht="13.8" hidden="false" customHeight="false" outlineLevel="0" collapsed="false">
      <c r="A2495" s="0" t="s">
        <v>8700</v>
      </c>
      <c r="D2495" s="0" t="s">
        <v>16</v>
      </c>
      <c r="E2495" s="0" t="s">
        <v>17</v>
      </c>
      <c r="F2495" s="0" t="s">
        <v>116</v>
      </c>
      <c r="G2495" s="0" t="n">
        <v>0</v>
      </c>
      <c r="H2495" s="0" t="s">
        <v>8701</v>
      </c>
      <c r="J2495" s="0" t="s">
        <v>8702</v>
      </c>
      <c r="K2495" s="0" t="str">
        <f aca="false">"1.53 %"</f>
        <v>1.53 %</v>
      </c>
      <c r="O2495" s="0" t="s">
        <v>8703</v>
      </c>
    </row>
    <row r="2496" customFormat="false" ht="13.8" hidden="false" customHeight="false" outlineLevel="0" collapsed="false">
      <c r="A2496" s="0" t="s">
        <v>8704</v>
      </c>
      <c r="D2496" s="0" t="s">
        <v>16</v>
      </c>
      <c r="E2496" s="0" t="s">
        <v>17</v>
      </c>
      <c r="F2496" s="0" t="s">
        <v>18</v>
      </c>
      <c r="G2496" s="0" t="n">
        <v>0</v>
      </c>
      <c r="H2496" s="0" t="s">
        <v>8705</v>
      </c>
      <c r="J2496" s="0" t="s">
        <v>40</v>
      </c>
      <c r="K2496" s="0" t="str">
        <f aca="false">"2.11 %"</f>
        <v>2.11 %</v>
      </c>
      <c r="L2496" s="0" t="str">
        <f aca="false">"0.78 V"</f>
        <v>0.78 V</v>
      </c>
      <c r="O2496" s="0" t="s">
        <v>8706</v>
      </c>
    </row>
    <row r="2497" customFormat="false" ht="13.8" hidden="false" customHeight="false" outlineLevel="0" collapsed="false">
      <c r="A2497" s="0" t="s">
        <v>8707</v>
      </c>
      <c r="D2497" s="0" t="s">
        <v>8708</v>
      </c>
      <c r="F2497" s="0" t="s">
        <v>8709</v>
      </c>
      <c r="G2497" s="0" t="n">
        <v>1</v>
      </c>
      <c r="H2497" s="0" t="s">
        <v>27</v>
      </c>
      <c r="J2497" s="0" t="s">
        <v>40</v>
      </c>
      <c r="K2497" s="0" t="str">
        <f aca="false">"8.11 %"</f>
        <v>8.11 %</v>
      </c>
      <c r="L2497" s="0" t="str">
        <f aca="false">"0.86 V"</f>
        <v>0.86 V</v>
      </c>
      <c r="M2497" s="0" t="str">
        <f aca="false">"15.74 mA cm^{-2}"</f>
        <v>15.74 mA cm^{-2}</v>
      </c>
      <c r="N2497" s="0" t="str">
        <f aca="false">"0.68"</f>
        <v>0.68</v>
      </c>
      <c r="O2497" s="0" t="s">
        <v>8710</v>
      </c>
    </row>
    <row r="2498" customFormat="false" ht="13.8" hidden="false" customHeight="false" outlineLevel="0" collapsed="false">
      <c r="A2498" s="0" t="s">
        <v>8711</v>
      </c>
      <c r="D2498" s="0" t="s">
        <v>8712</v>
      </c>
      <c r="E2498" s="0" t="s">
        <v>8713</v>
      </c>
      <c r="F2498" s="0" t="s">
        <v>8714</v>
      </c>
      <c r="G2498" s="0" t="n">
        <v>1</v>
      </c>
      <c r="H2498" s="0" t="s">
        <v>27</v>
      </c>
      <c r="J2498" s="0" t="s">
        <v>28</v>
      </c>
      <c r="K2498" s="0" t="str">
        <f aca="false">"2.36 %"</f>
        <v>2.36 %</v>
      </c>
      <c r="L2498" s="0" t="str">
        <f aca="false">"1.08 V"</f>
        <v>1.08 V</v>
      </c>
      <c r="O2498" s="0" t="s">
        <v>8715</v>
      </c>
    </row>
    <row r="2499" customFormat="false" ht="13.8" hidden="false" customHeight="false" outlineLevel="0" collapsed="false">
      <c r="A2499" s="0" t="s">
        <v>8716</v>
      </c>
      <c r="D2499" s="0" t="s">
        <v>8717</v>
      </c>
      <c r="F2499" s="0" t="s">
        <v>8718</v>
      </c>
      <c r="G2499" s="0" t="n">
        <v>1</v>
      </c>
      <c r="H2499" s="0" t="s">
        <v>66</v>
      </c>
      <c r="J2499" s="0" t="s">
        <v>67</v>
      </c>
      <c r="K2499" s="0" t="str">
        <f aca="false">"4.62 %"</f>
        <v>4.62 %</v>
      </c>
      <c r="L2499" s="0" t="str">
        <f aca="false">"0.90 V"</f>
        <v>0.90 V</v>
      </c>
      <c r="M2499" s="0" t="str">
        <f aca="false">"7.99 mA cm^{-2}"</f>
        <v>7.99 mA cm^{-2}</v>
      </c>
      <c r="N2499" s="0" t="str">
        <f aca="false">"64 %"</f>
        <v>64 %</v>
      </c>
      <c r="O2499" s="0" t="s">
        <v>8719</v>
      </c>
    </row>
    <row r="2500" customFormat="false" ht="13.8" hidden="false" customHeight="false" outlineLevel="0" collapsed="false">
      <c r="A2500" s="0" t="s">
        <v>8720</v>
      </c>
      <c r="D2500" s="0" t="s">
        <v>8721</v>
      </c>
      <c r="F2500" s="0" t="s">
        <v>8722</v>
      </c>
      <c r="G2500" s="0" t="n">
        <v>1</v>
      </c>
      <c r="H2500" s="0" t="s">
        <v>33</v>
      </c>
      <c r="J2500" s="0" t="s">
        <v>34</v>
      </c>
      <c r="O2500" s="0" t="s">
        <v>8723</v>
      </c>
    </row>
    <row r="2501" customFormat="false" ht="13.8" hidden="false" customHeight="false" outlineLevel="0" collapsed="false">
      <c r="A2501" s="0" t="s">
        <v>8720</v>
      </c>
      <c r="D2501" s="0" t="s">
        <v>208</v>
      </c>
      <c r="E2501" s="0" t="s">
        <v>17</v>
      </c>
      <c r="F2501" s="0" t="s">
        <v>18</v>
      </c>
      <c r="G2501" s="0" t="n">
        <v>1</v>
      </c>
      <c r="H2501" s="0" t="s">
        <v>33</v>
      </c>
      <c r="J2501" s="0" t="s">
        <v>34</v>
      </c>
      <c r="K2501" s="0" t="str">
        <f aca="false">"0.51 %"</f>
        <v>0.51 %</v>
      </c>
      <c r="O2501" s="0" t="s">
        <v>8724</v>
      </c>
    </row>
    <row r="2502" customFormat="false" ht="13.8" hidden="false" customHeight="false" outlineLevel="0" collapsed="false">
      <c r="A2502" s="0" t="s">
        <v>8725</v>
      </c>
      <c r="D2502" s="0" t="s">
        <v>8726</v>
      </c>
      <c r="F2502" s="0" t="s">
        <v>8727</v>
      </c>
      <c r="G2502" s="0" t="n">
        <v>1</v>
      </c>
      <c r="H2502" s="0" t="s">
        <v>27</v>
      </c>
      <c r="J2502" s="0" t="s">
        <v>28</v>
      </c>
      <c r="K2502" s="0" t="str">
        <f aca="false">"5.22 %"</f>
        <v>5.22 %</v>
      </c>
      <c r="O2502" s="0" t="s">
        <v>8728</v>
      </c>
    </row>
    <row r="2503" customFormat="false" ht="13.8" hidden="false" customHeight="false" outlineLevel="0" collapsed="false">
      <c r="A2503" s="0" t="s">
        <v>8729</v>
      </c>
      <c r="D2503" s="0" t="s">
        <v>2253</v>
      </c>
      <c r="F2503" s="0" t="s">
        <v>8730</v>
      </c>
      <c r="G2503" s="0" t="n">
        <v>1</v>
      </c>
      <c r="H2503" s="0" t="s">
        <v>33</v>
      </c>
      <c r="J2503" s="0" t="s">
        <v>40</v>
      </c>
      <c r="K2503" s="0" t="str">
        <f aca="false">"4.53 %"</f>
        <v>4.53 %</v>
      </c>
      <c r="O2503" s="0" t="s">
        <v>8731</v>
      </c>
    </row>
    <row r="2504" customFormat="false" ht="13.8" hidden="false" customHeight="false" outlineLevel="0" collapsed="false">
      <c r="A2504" s="0" t="s">
        <v>8732</v>
      </c>
      <c r="D2504" s="0" t="s">
        <v>109</v>
      </c>
      <c r="E2504" s="0" t="s">
        <v>110</v>
      </c>
      <c r="F2504" s="0" t="s">
        <v>111</v>
      </c>
      <c r="G2504" s="0" t="n">
        <v>1</v>
      </c>
      <c r="H2504" s="0" t="s">
        <v>27</v>
      </c>
      <c r="J2504" s="0" t="s">
        <v>28</v>
      </c>
      <c r="K2504" s="0" t="str">
        <f aca="false">"7.26 %"</f>
        <v>7.26 %</v>
      </c>
      <c r="L2504" s="0" t="str">
        <f aca="false">"0.93 V"</f>
        <v>0.93 V</v>
      </c>
      <c r="O2504" s="0" t="s">
        <v>8733</v>
      </c>
    </row>
    <row r="2505" customFormat="false" ht="13.8" hidden="false" customHeight="false" outlineLevel="0" collapsed="false">
      <c r="A2505" s="0" t="s">
        <v>8734</v>
      </c>
      <c r="D2505" s="0" t="e">
        <f aca="false">- oligo(3-hexylthiophene)</f>
        <v>#NAME?</v>
      </c>
      <c r="F2505" s="0" t="s">
        <v>8735</v>
      </c>
      <c r="G2505" s="0" t="n">
        <v>1</v>
      </c>
      <c r="H2505" s="0" t="s">
        <v>76</v>
      </c>
      <c r="J2505" s="0" t="s">
        <v>40</v>
      </c>
      <c r="O2505" s="0" t="s">
        <v>8736</v>
      </c>
    </row>
    <row r="2506" customFormat="false" ht="13.8" hidden="false" customHeight="false" outlineLevel="0" collapsed="false">
      <c r="A2506" s="0" t="s">
        <v>8734</v>
      </c>
      <c r="D2506" s="0" t="s">
        <v>208</v>
      </c>
      <c r="E2506" s="0" t="s">
        <v>17</v>
      </c>
      <c r="F2506" s="0" t="s">
        <v>18</v>
      </c>
      <c r="G2506" s="0" t="n">
        <v>1</v>
      </c>
      <c r="H2506" s="0" t="s">
        <v>76</v>
      </c>
      <c r="J2506" s="0" t="s">
        <v>40</v>
      </c>
      <c r="K2506" s="0" t="str">
        <f aca="false">"0.73 %"</f>
        <v>0.73 %</v>
      </c>
      <c r="O2506" s="0" t="s">
        <v>8737</v>
      </c>
    </row>
    <row r="2507" customFormat="false" ht="13.8" hidden="false" customHeight="false" outlineLevel="0" collapsed="false">
      <c r="A2507" s="0" t="s">
        <v>8738</v>
      </c>
      <c r="D2507" s="0" t="s">
        <v>6362</v>
      </c>
      <c r="F2507" s="0" t="s">
        <v>8739</v>
      </c>
      <c r="G2507" s="0" t="n">
        <v>0</v>
      </c>
      <c r="H2507" s="0" t="s">
        <v>8740</v>
      </c>
      <c r="J2507" s="0" t="s">
        <v>40</v>
      </c>
      <c r="K2507" s="0" t="str">
        <f aca="false">"1.67 %"</f>
        <v>1.67 %</v>
      </c>
      <c r="O2507" s="0" t="s">
        <v>8741</v>
      </c>
    </row>
    <row r="2508" customFormat="false" ht="13.8" hidden="false" customHeight="false" outlineLevel="0" collapsed="false">
      <c r="A2508" s="0" t="s">
        <v>8742</v>
      </c>
      <c r="D2508" s="0" t="s">
        <v>128</v>
      </c>
      <c r="F2508" s="0" t="s">
        <v>8743</v>
      </c>
      <c r="G2508" s="0" t="n">
        <v>1</v>
      </c>
      <c r="H2508" s="0" t="s">
        <v>66</v>
      </c>
      <c r="J2508" s="0" t="s">
        <v>67</v>
      </c>
      <c r="K2508" s="0" t="str">
        <f aca="false">"~2 %"</f>
        <v>~2 %</v>
      </c>
      <c r="O2508" s="0" t="s">
        <v>8744</v>
      </c>
    </row>
    <row r="2509" customFormat="false" ht="13.8" hidden="false" customHeight="false" outlineLevel="0" collapsed="false">
      <c r="A2509" s="0" t="s">
        <v>8745</v>
      </c>
      <c r="D2509" s="0" t="s">
        <v>7825</v>
      </c>
      <c r="F2509" s="0" t="s">
        <v>8746</v>
      </c>
      <c r="G2509" s="0" t="n">
        <v>1</v>
      </c>
      <c r="H2509" s="0" t="s">
        <v>27</v>
      </c>
      <c r="J2509" s="0" t="s">
        <v>28</v>
      </c>
      <c r="K2509" s="0" t="str">
        <f aca="false">"0.22-1.74 %"</f>
        <v>0.22-1.74 %</v>
      </c>
      <c r="L2509" s="0" t="str">
        <f aca="false">"0.67-0.69 V"</f>
        <v>0.67-0.69 V</v>
      </c>
      <c r="M2509" s="0" t="str">
        <f aca="false">"0.95-4.44 mA cm^{-2}"</f>
        <v>0.95-4.44 mA cm^{-2}</v>
      </c>
      <c r="N2509" s="0" t="str">
        <f aca="false">"34.6-56.8 %"</f>
        <v>34.6-56.8 %</v>
      </c>
      <c r="O2509" s="0" t="s">
        <v>8747</v>
      </c>
    </row>
    <row r="2510" customFormat="false" ht="13.8" hidden="false" customHeight="false" outlineLevel="0" collapsed="false">
      <c r="A2510" s="0" t="s">
        <v>8748</v>
      </c>
      <c r="D2510" s="0" t="s">
        <v>7801</v>
      </c>
      <c r="F2510" s="0" t="s">
        <v>8749</v>
      </c>
      <c r="G2510" s="0" t="n">
        <v>1</v>
      </c>
      <c r="H2510" s="0" t="s">
        <v>33</v>
      </c>
      <c r="J2510" s="0" t="s">
        <v>34</v>
      </c>
      <c r="K2510" s="0" t="str">
        <f aca="false">"2.07 %"</f>
        <v>2.07 %</v>
      </c>
      <c r="N2510" s="0" t="str">
        <f aca="false">"0.57"</f>
        <v>0.57</v>
      </c>
      <c r="O2510" s="0" t="s">
        <v>8750</v>
      </c>
    </row>
    <row r="2511" customFormat="false" ht="13.8" hidden="false" customHeight="false" outlineLevel="0" collapsed="false">
      <c r="A2511" s="0" t="s">
        <v>8751</v>
      </c>
      <c r="D2511" s="0" t="s">
        <v>8752</v>
      </c>
      <c r="F2511" s="0" t="s">
        <v>8753</v>
      </c>
      <c r="G2511" s="0" t="n">
        <v>1</v>
      </c>
      <c r="H2511" s="0" t="s">
        <v>66</v>
      </c>
      <c r="J2511" s="0" t="s">
        <v>67</v>
      </c>
      <c r="K2511" s="0" t="str">
        <f aca="false">"2.12 %"</f>
        <v>2.12 %</v>
      </c>
      <c r="L2511" s="0" t="str">
        <f aca="false">"0.72 V"</f>
        <v>0.72 V</v>
      </c>
      <c r="N2511" s="0" t="str">
        <f aca="false">"54 %"</f>
        <v>54 %</v>
      </c>
      <c r="O2511" s="0" t="s">
        <v>8754</v>
      </c>
    </row>
    <row r="2512" customFormat="false" ht="13.8" hidden="false" customHeight="false" outlineLevel="0" collapsed="false">
      <c r="A2512" s="0" t="s">
        <v>8755</v>
      </c>
      <c r="D2512" s="0" t="s">
        <v>8756</v>
      </c>
      <c r="F2512" s="0" t="s">
        <v>8757</v>
      </c>
      <c r="G2512" s="0" t="n">
        <v>1</v>
      </c>
      <c r="H2512" s="0" t="s">
        <v>76</v>
      </c>
      <c r="J2512" s="0" t="s">
        <v>77</v>
      </c>
      <c r="K2512" s="0" t="str">
        <f aca="false">"2.60 %"</f>
        <v>2.60 %</v>
      </c>
      <c r="L2512" s="0" t="str">
        <f aca="false">"0.70 V"</f>
        <v>0.70 V</v>
      </c>
      <c r="M2512" s="0" t="str">
        <f aca="false">"8.37 mA cm^{-2}"</f>
        <v>8.37 mA cm^{-2}</v>
      </c>
      <c r="N2512" s="0" t="str">
        <f aca="false">"44.3 %"</f>
        <v>44.3 %</v>
      </c>
      <c r="O2512" s="0" t="s">
        <v>8758</v>
      </c>
    </row>
    <row r="2513" customFormat="false" ht="13.8" hidden="false" customHeight="false" outlineLevel="0" collapsed="false">
      <c r="A2513" s="0" t="s">
        <v>8759</v>
      </c>
      <c r="D2513" s="0" t="s">
        <v>8760</v>
      </c>
      <c r="F2513" s="0" t="s">
        <v>8761</v>
      </c>
      <c r="G2513" s="0" t="n">
        <v>0</v>
      </c>
      <c r="H2513" s="0" t="s">
        <v>163</v>
      </c>
      <c r="I2513" s="0" t="s">
        <v>164</v>
      </c>
      <c r="J2513" s="0" t="s">
        <v>165</v>
      </c>
      <c r="K2513" s="0" t="str">
        <f aca="false">"7.64 %"</f>
        <v>7.64 %</v>
      </c>
      <c r="L2513" s="0" t="str">
        <f aca="false">"0.906 V"</f>
        <v>0.906 V</v>
      </c>
      <c r="O2513" s="0" t="s">
        <v>8762</v>
      </c>
    </row>
    <row r="2514" customFormat="false" ht="13.8" hidden="false" customHeight="false" outlineLevel="0" collapsed="false">
      <c r="A2514" s="0" t="s">
        <v>8759</v>
      </c>
      <c r="D2514" s="0" t="s">
        <v>8763</v>
      </c>
      <c r="F2514" s="0" t="s">
        <v>8764</v>
      </c>
      <c r="G2514" s="0" t="n">
        <v>0</v>
      </c>
      <c r="H2514" s="0" t="s">
        <v>163</v>
      </c>
      <c r="I2514" s="0" t="s">
        <v>164</v>
      </c>
      <c r="J2514" s="0" t="s">
        <v>165</v>
      </c>
      <c r="L2514" s="0" t="str">
        <f aca="false">"0.814 V"</f>
        <v>0.814 V</v>
      </c>
      <c r="M2514" s="0" t="str">
        <f aca="false">"14.20 mA cm^{-2}"</f>
        <v>14.20 mA cm^{-2}</v>
      </c>
      <c r="N2514" s="0" t="str">
        <f aca="false">"59.36 %"</f>
        <v>59.36 %</v>
      </c>
      <c r="O2514" s="0" t="s">
        <v>8765</v>
      </c>
    </row>
    <row r="2515" customFormat="false" ht="13.8" hidden="false" customHeight="false" outlineLevel="0" collapsed="false">
      <c r="A2515" s="0" t="s">
        <v>8766</v>
      </c>
      <c r="D2515" s="0" t="s">
        <v>8767</v>
      </c>
      <c r="F2515" s="0" t="s">
        <v>8768</v>
      </c>
      <c r="G2515" s="0" t="n">
        <v>1</v>
      </c>
      <c r="H2515" s="0" t="s">
        <v>76</v>
      </c>
      <c r="J2515" s="0" t="s">
        <v>40</v>
      </c>
      <c r="L2515" s="0" t="str">
        <f aca="false">"~1 V"</f>
        <v>~1 V</v>
      </c>
      <c r="O2515" s="0" t="s">
        <v>8769</v>
      </c>
    </row>
    <row r="2516" customFormat="false" ht="13.8" hidden="false" customHeight="false" outlineLevel="0" collapsed="false">
      <c r="A2516" s="0" t="s">
        <v>8766</v>
      </c>
      <c r="D2516" s="0" t="s">
        <v>8770</v>
      </c>
      <c r="F2516" s="0" t="s">
        <v>8771</v>
      </c>
      <c r="G2516" s="0" t="n">
        <v>1</v>
      </c>
      <c r="H2516" s="0" t="s">
        <v>76</v>
      </c>
      <c r="J2516" s="0" t="s">
        <v>40</v>
      </c>
      <c r="K2516" s="0" t="str">
        <f aca="false">"2.92 %"</f>
        <v>2.92 %</v>
      </c>
      <c r="O2516" s="0" t="s">
        <v>8772</v>
      </c>
    </row>
    <row r="2517" customFormat="false" ht="13.8" hidden="false" customHeight="false" outlineLevel="0" collapsed="false">
      <c r="A2517" s="0" t="s">
        <v>8773</v>
      </c>
      <c r="D2517" s="0" t="s">
        <v>6214</v>
      </c>
      <c r="F2517" s="0" t="s">
        <v>40</v>
      </c>
      <c r="G2517" s="0" t="n">
        <v>1</v>
      </c>
      <c r="H2517" s="0" t="s">
        <v>27</v>
      </c>
      <c r="J2517" s="0" t="s">
        <v>40</v>
      </c>
      <c r="K2517" s="0" t="str">
        <f aca="false">"1.96 %"</f>
        <v>1.96 %</v>
      </c>
      <c r="O2517" s="0" t="s">
        <v>8774</v>
      </c>
    </row>
    <row r="2518" customFormat="false" ht="13.8" hidden="false" customHeight="false" outlineLevel="0" collapsed="false">
      <c r="A2518" s="0" t="s">
        <v>8775</v>
      </c>
      <c r="D2518" s="0" t="s">
        <v>8776</v>
      </c>
      <c r="F2518" s="0" t="s">
        <v>8777</v>
      </c>
      <c r="G2518" s="0" t="n">
        <v>0</v>
      </c>
      <c r="H2518" s="0" t="s">
        <v>8778</v>
      </c>
      <c r="J2518" s="0" t="s">
        <v>8779</v>
      </c>
      <c r="O2518" s="0" t="s">
        <v>8780</v>
      </c>
    </row>
    <row r="2519" customFormat="false" ht="13.8" hidden="false" customHeight="false" outlineLevel="0" collapsed="false">
      <c r="A2519" s="0" t="s">
        <v>8775</v>
      </c>
      <c r="D2519" s="0" t="s">
        <v>8778</v>
      </c>
      <c r="F2519" s="0" t="s">
        <v>8779</v>
      </c>
      <c r="G2519" s="0" t="n">
        <v>0</v>
      </c>
      <c r="J2519" s="0" t="s">
        <v>40</v>
      </c>
      <c r="K2519" s="0" t="str">
        <f aca="false">"10.63 %"</f>
        <v>10.63 %</v>
      </c>
      <c r="O2519" s="0" t="s">
        <v>8781</v>
      </c>
    </row>
    <row r="2520" customFormat="false" ht="13.8" hidden="false" customHeight="false" outlineLevel="0" collapsed="false">
      <c r="A2520" s="0" t="s">
        <v>8782</v>
      </c>
      <c r="D2520" s="0" t="s">
        <v>8783</v>
      </c>
      <c r="F2520" s="0" t="s">
        <v>8784</v>
      </c>
      <c r="G2520" s="0" t="n">
        <v>1</v>
      </c>
      <c r="H2520" s="0" t="s">
        <v>27</v>
      </c>
      <c r="J2520" s="0" t="s">
        <v>28</v>
      </c>
      <c r="K2520" s="0" t="str">
        <f aca="false">"3.65 %"</f>
        <v>3.65 %</v>
      </c>
      <c r="O2520" s="0" t="s">
        <v>8785</v>
      </c>
    </row>
    <row r="2521" customFormat="false" ht="13.8" hidden="false" customHeight="false" outlineLevel="0" collapsed="false">
      <c r="A2521" s="0" t="s">
        <v>8786</v>
      </c>
      <c r="D2521" s="0" t="s">
        <v>8787</v>
      </c>
      <c r="F2521" s="0" t="s">
        <v>8788</v>
      </c>
      <c r="G2521" s="0" t="n">
        <v>1</v>
      </c>
      <c r="H2521" s="0" t="s">
        <v>33</v>
      </c>
      <c r="J2521" s="0" t="s">
        <v>34</v>
      </c>
      <c r="K2521" s="0" t="str">
        <f aca="false">"1.18 %"</f>
        <v>1.18 %</v>
      </c>
      <c r="L2521" s="0" t="str">
        <f aca="false">"0.86 V"</f>
        <v>0.86 V</v>
      </c>
      <c r="M2521" s="0" t="str">
        <f aca="false">"3.97 mA cm^{-2}"</f>
        <v>3.97 mA cm^{-2}</v>
      </c>
      <c r="N2521" s="0" t="str">
        <f aca="false">"0.35"</f>
        <v>0.35</v>
      </c>
      <c r="O2521" s="0" t="s">
        <v>8789</v>
      </c>
    </row>
    <row r="2522" customFormat="false" ht="13.8" hidden="false" customHeight="false" outlineLevel="0" collapsed="false">
      <c r="A2522" s="0" t="s">
        <v>8790</v>
      </c>
      <c r="C2522" s="0" t="n">
        <v>1</v>
      </c>
      <c r="D2522" s="0" t="s">
        <v>599</v>
      </c>
      <c r="E2522" s="0" t="s">
        <v>600</v>
      </c>
      <c r="F2522" s="0" t="s">
        <v>601</v>
      </c>
      <c r="G2522" s="0" t="n">
        <v>1</v>
      </c>
      <c r="H2522" s="0" t="s">
        <v>575</v>
      </c>
      <c r="J2522" s="0" t="s">
        <v>576</v>
      </c>
      <c r="K2522" s="0" t="str">
        <f aca="false">"8.8 %"</f>
        <v>8.8 %</v>
      </c>
      <c r="O2522" s="0" t="s">
        <v>8791</v>
      </c>
    </row>
    <row r="2523" customFormat="false" ht="13.8" hidden="false" customHeight="false" outlineLevel="0" collapsed="false">
      <c r="A2523" s="0" t="s">
        <v>8792</v>
      </c>
      <c r="D2523" s="0" t="s">
        <v>8793</v>
      </c>
      <c r="F2523" s="0" t="s">
        <v>8794</v>
      </c>
      <c r="G2523" s="0" t="n">
        <v>0</v>
      </c>
      <c r="H2523" s="0" t="s">
        <v>8795</v>
      </c>
      <c r="J2523" s="0" t="s">
        <v>8796</v>
      </c>
      <c r="K2523" s="0" t="str">
        <f aca="false">"10.40 %"</f>
        <v>10.40 %</v>
      </c>
      <c r="L2523" s="0" t="str">
        <f aca="false">"0.959 V"</f>
        <v>0.959 V</v>
      </c>
      <c r="N2523" s="0" t="str">
        <f aca="false">"66.89 %"</f>
        <v>66.89 %</v>
      </c>
      <c r="O2523" s="0" t="s">
        <v>8797</v>
      </c>
    </row>
    <row r="2524" customFormat="false" ht="13.8" hidden="false" customHeight="false" outlineLevel="0" collapsed="false">
      <c r="A2524" s="0" t="s">
        <v>8792</v>
      </c>
      <c r="D2524" s="0" t="s">
        <v>8795</v>
      </c>
      <c r="F2524" s="0" t="s">
        <v>8796</v>
      </c>
      <c r="G2524" s="0" t="n">
        <v>0</v>
      </c>
      <c r="J2524" s="0" t="s">
        <v>40</v>
      </c>
      <c r="M2524" s="0" t="str">
        <f aca="false">"16.21 mA cm^{-2}"</f>
        <v>16.21 mA cm^{-2}</v>
      </c>
      <c r="N2524" s="0" t="str">
        <f aca="false">"46.31 %"</f>
        <v>46.31 %</v>
      </c>
      <c r="O2524" s="0" t="s">
        <v>8798</v>
      </c>
    </row>
    <row r="2525" customFormat="false" ht="13.8" hidden="false" customHeight="false" outlineLevel="0" collapsed="false">
      <c r="A2525" s="0" t="s">
        <v>8799</v>
      </c>
      <c r="D2525" s="0" t="s">
        <v>201</v>
      </c>
      <c r="E2525" s="0" t="s">
        <v>202</v>
      </c>
      <c r="F2525" s="0" t="s">
        <v>422</v>
      </c>
      <c r="G2525" s="0" t="n">
        <v>0</v>
      </c>
      <c r="H2525" s="0" t="s">
        <v>8800</v>
      </c>
      <c r="J2525" s="0" t="s">
        <v>8801</v>
      </c>
      <c r="K2525" s="0" t="str">
        <f aca="false">"~3 %"</f>
        <v>~3 %</v>
      </c>
      <c r="L2525" s="0" t="str">
        <f aca="false">"1.05 V"</f>
        <v>1.05 V</v>
      </c>
      <c r="O2525" s="0" t="s">
        <v>8802</v>
      </c>
    </row>
    <row r="2526" customFormat="false" ht="13.8" hidden="false" customHeight="false" outlineLevel="0" collapsed="false">
      <c r="A2526" s="0" t="s">
        <v>8803</v>
      </c>
      <c r="D2526" s="0" t="s">
        <v>8804</v>
      </c>
      <c r="F2526" s="0" t="s">
        <v>8805</v>
      </c>
      <c r="G2526" s="0" t="n">
        <v>0</v>
      </c>
      <c r="H2526" s="0" t="s">
        <v>201</v>
      </c>
      <c r="I2526" s="0" t="s">
        <v>202</v>
      </c>
      <c r="J2526" s="0" t="s">
        <v>422</v>
      </c>
      <c r="K2526" s="0" t="str">
        <f aca="false">"9.64 %"</f>
        <v>9.64 %</v>
      </c>
      <c r="O2526" s="0" t="s">
        <v>8806</v>
      </c>
    </row>
    <row r="2527" customFormat="false" ht="13.8" hidden="false" customHeight="false" outlineLevel="0" collapsed="false">
      <c r="A2527" s="0" t="s">
        <v>8807</v>
      </c>
      <c r="D2527" s="0" t="s">
        <v>201</v>
      </c>
      <c r="E2527" s="0" t="s">
        <v>202</v>
      </c>
      <c r="F2527" s="0" t="s">
        <v>422</v>
      </c>
      <c r="G2527" s="0" t="n">
        <v>1</v>
      </c>
      <c r="H2527" s="0" t="s">
        <v>27</v>
      </c>
      <c r="J2527" s="0" t="s">
        <v>28</v>
      </c>
      <c r="K2527" s="0" t="str">
        <f aca="false">"6.3 %"</f>
        <v>6.3 %</v>
      </c>
      <c r="O2527" s="0" t="s">
        <v>8808</v>
      </c>
    </row>
    <row r="2528" customFormat="false" ht="13.8" hidden="false" customHeight="false" outlineLevel="0" collapsed="false">
      <c r="A2528" s="0" t="s">
        <v>8809</v>
      </c>
      <c r="C2528" s="0" t="n">
        <v>1</v>
      </c>
      <c r="D2528" s="0" t="s">
        <v>8810</v>
      </c>
      <c r="F2528" s="0" t="s">
        <v>8811</v>
      </c>
      <c r="G2528" s="0" t="n">
        <v>0</v>
      </c>
      <c r="H2528" s="0" t="s">
        <v>5040</v>
      </c>
      <c r="I2528" s="0" t="s">
        <v>5041</v>
      </c>
      <c r="J2528" s="0" t="s">
        <v>5042</v>
      </c>
      <c r="K2528" s="0" t="str">
        <f aca="false">"17.13 %"</f>
        <v>17.13 %</v>
      </c>
      <c r="N2528" s="0" t="str">
        <f aca="false">"0.813"</f>
        <v>0.813</v>
      </c>
      <c r="O2528" s="0" t="s">
        <v>8812</v>
      </c>
    </row>
    <row r="2529" customFormat="false" ht="13.8" hidden="false" customHeight="false" outlineLevel="0" collapsed="false">
      <c r="A2529" s="0" t="s">
        <v>8813</v>
      </c>
      <c r="D2529" s="0" t="s">
        <v>6389</v>
      </c>
      <c r="E2529" s="0" t="s">
        <v>6390</v>
      </c>
      <c r="F2529" s="0" t="s">
        <v>6391</v>
      </c>
      <c r="G2529" s="0" t="n">
        <v>0</v>
      </c>
      <c r="H2529" s="0" t="s">
        <v>8814</v>
      </c>
      <c r="I2529" s="0" t="s">
        <v>8815</v>
      </c>
      <c r="J2529" s="0" t="s">
        <v>8816</v>
      </c>
      <c r="K2529" s="0" t="str">
        <f aca="false">"10 %"</f>
        <v>10 %</v>
      </c>
      <c r="M2529" s="0" t="str">
        <f aca="false">"19.44 and 22.52 mA cm^{-2}"</f>
        <v>19.44 and 22.52 mA cm^{-2}</v>
      </c>
      <c r="O2529" s="0" t="s">
        <v>8817</v>
      </c>
    </row>
    <row r="2530" customFormat="false" ht="13.8" hidden="false" customHeight="false" outlineLevel="0" collapsed="false">
      <c r="A2530" s="0" t="s">
        <v>8818</v>
      </c>
      <c r="B2530" s="0" t="n">
        <v>1</v>
      </c>
      <c r="D2530" s="0" t="s">
        <v>1116</v>
      </c>
      <c r="E2530" s="0" t="s">
        <v>1117</v>
      </c>
      <c r="F2530" s="0" t="s">
        <v>1118</v>
      </c>
      <c r="G2530" s="0" t="n">
        <v>0</v>
      </c>
      <c r="H2530" s="0" t="s">
        <v>5040</v>
      </c>
      <c r="I2530" s="0" t="s">
        <v>5041</v>
      </c>
      <c r="J2530" s="0" t="s">
        <v>5042</v>
      </c>
      <c r="K2530" s="0" t="str">
        <f aca="false">"15.7 %"</f>
        <v>15.7 %</v>
      </c>
      <c r="O2530" s="0" t="s">
        <v>8819</v>
      </c>
    </row>
    <row r="2531" customFormat="false" ht="13.8" hidden="false" customHeight="false" outlineLevel="0" collapsed="false">
      <c r="A2531" s="0" t="s">
        <v>8818</v>
      </c>
      <c r="C2531" s="0" t="n">
        <v>1</v>
      </c>
      <c r="D2531" s="0" t="s">
        <v>1116</v>
      </c>
      <c r="E2531" s="0" t="s">
        <v>1117</v>
      </c>
      <c r="F2531" s="0" t="s">
        <v>1118</v>
      </c>
      <c r="G2531" s="0" t="n">
        <v>0</v>
      </c>
      <c r="H2531" s="0" t="s">
        <v>5040</v>
      </c>
      <c r="I2531" s="0" t="s">
        <v>5041</v>
      </c>
      <c r="J2531" s="0" t="s">
        <v>5042</v>
      </c>
      <c r="K2531" s="0" t="str">
        <f aca="false">"16.6 %"</f>
        <v>16.6 %</v>
      </c>
      <c r="O2531" s="0" t="s">
        <v>8820</v>
      </c>
    </row>
    <row r="2532" customFormat="false" ht="13.8" hidden="false" customHeight="false" outlineLevel="0" collapsed="false">
      <c r="A2532" s="0" t="s">
        <v>8821</v>
      </c>
      <c r="D2532" s="0" t="s">
        <v>1116</v>
      </c>
      <c r="E2532" s="0" t="s">
        <v>1117</v>
      </c>
      <c r="F2532" s="0" t="s">
        <v>1118</v>
      </c>
      <c r="G2532" s="0" t="n">
        <v>0</v>
      </c>
      <c r="H2532" s="0" t="s">
        <v>8822</v>
      </c>
      <c r="J2532" s="0" t="s">
        <v>8823</v>
      </c>
      <c r="K2532" s="0" t="str">
        <f aca="false">"15.24 %"</f>
        <v>15.24 %</v>
      </c>
      <c r="O2532" s="0" t="s">
        <v>8824</v>
      </c>
    </row>
    <row r="2533" customFormat="false" ht="13.8" hidden="false" customHeight="false" outlineLevel="0" collapsed="false">
      <c r="A2533" s="0" t="s">
        <v>8821</v>
      </c>
      <c r="D2533" s="0" t="s">
        <v>1116</v>
      </c>
      <c r="E2533" s="0" t="s">
        <v>1117</v>
      </c>
      <c r="F2533" s="0" t="s">
        <v>1118</v>
      </c>
      <c r="G2533" s="0" t="n">
        <v>0</v>
      </c>
      <c r="H2533" s="0" t="s">
        <v>5355</v>
      </c>
      <c r="J2533" s="0" t="s">
        <v>8823</v>
      </c>
      <c r="K2533" s="0" t="str">
        <f aca="false">"13.12 %"</f>
        <v>13.12 %</v>
      </c>
      <c r="O2533" s="0" t="s">
        <v>8825</v>
      </c>
    </row>
    <row r="2534" customFormat="false" ht="13.8" hidden="false" customHeight="false" outlineLevel="0" collapsed="false">
      <c r="A2534" s="0" t="s">
        <v>8826</v>
      </c>
      <c r="D2534" s="0" t="s">
        <v>8827</v>
      </c>
      <c r="F2534" s="0" t="s">
        <v>8828</v>
      </c>
      <c r="G2534" s="0" t="n">
        <v>0</v>
      </c>
      <c r="H2534" s="0" t="s">
        <v>8829</v>
      </c>
      <c r="I2534" s="0" t="s">
        <v>5041</v>
      </c>
      <c r="J2534" s="0" t="s">
        <v>8830</v>
      </c>
      <c r="K2534" s="0" t="str">
        <f aca="false">"~15.50 %"</f>
        <v>~15.50 %</v>
      </c>
      <c r="O2534" s="0" t="s">
        <v>8831</v>
      </c>
    </row>
    <row r="2535" customFormat="false" ht="13.8" hidden="false" customHeight="false" outlineLevel="0" collapsed="false">
      <c r="A2535" s="0" t="s">
        <v>8832</v>
      </c>
      <c r="D2535" s="0" t="s">
        <v>599</v>
      </c>
      <c r="E2535" s="0" t="s">
        <v>600</v>
      </c>
      <c r="F2535" s="0" t="s">
        <v>601</v>
      </c>
      <c r="G2535" s="0" t="n">
        <v>0</v>
      </c>
      <c r="H2535" s="0" t="s">
        <v>8833</v>
      </c>
      <c r="J2535" s="0" t="s">
        <v>8834</v>
      </c>
      <c r="K2535" s="0" t="str">
        <f aca="false">"73 %"</f>
        <v>73 %</v>
      </c>
      <c r="N2535" s="0" t="str">
        <f aca="false">"6.7 %"</f>
        <v>6.7 %</v>
      </c>
      <c r="O2535" s="0" t="s">
        <v>8835</v>
      </c>
    </row>
    <row r="2536" customFormat="false" ht="13.8" hidden="false" customHeight="false" outlineLevel="0" collapsed="false">
      <c r="A2536" s="0" t="s">
        <v>8836</v>
      </c>
      <c r="D2536" s="0" t="s">
        <v>8837</v>
      </c>
      <c r="F2536" s="0" t="s">
        <v>8838</v>
      </c>
      <c r="G2536" s="0" t="n">
        <v>0</v>
      </c>
      <c r="H2536" s="0" t="s">
        <v>5040</v>
      </c>
      <c r="I2536" s="0" t="s">
        <v>5041</v>
      </c>
      <c r="J2536" s="0" t="s">
        <v>5042</v>
      </c>
      <c r="K2536" s="0" t="str">
        <f aca="false">"16.28 %"</f>
        <v>16.28 %</v>
      </c>
      <c r="O2536" s="0" t="s">
        <v>8839</v>
      </c>
    </row>
    <row r="2537" customFormat="false" ht="13.8" hidden="false" customHeight="false" outlineLevel="0" collapsed="false">
      <c r="A2537" s="0" t="s">
        <v>8840</v>
      </c>
      <c r="D2537" s="0" t="s">
        <v>8841</v>
      </c>
      <c r="F2537" s="0" t="s">
        <v>40</v>
      </c>
      <c r="G2537" s="0" t="n">
        <v>1</v>
      </c>
      <c r="H2537" s="0" t="s">
        <v>66</v>
      </c>
      <c r="J2537" s="0" t="s">
        <v>40</v>
      </c>
      <c r="O2537" s="0" t="s">
        <v>8842</v>
      </c>
    </row>
    <row r="2538" customFormat="false" ht="13.8" hidden="false" customHeight="false" outlineLevel="0" collapsed="false">
      <c r="A2538" s="0" t="s">
        <v>8843</v>
      </c>
      <c r="D2538" s="0" t="s">
        <v>8844</v>
      </c>
      <c r="F2538" s="0" t="s">
        <v>8845</v>
      </c>
      <c r="G2538" s="0" t="n">
        <v>1</v>
      </c>
      <c r="H2538" s="0" t="s">
        <v>27</v>
      </c>
      <c r="J2538" s="0" t="s">
        <v>40</v>
      </c>
      <c r="K2538" s="0" t="str">
        <f aca="false">"2.82 %"</f>
        <v>2.82 %</v>
      </c>
      <c r="M2538" s="0" t="str">
        <f aca="false">"6.52 mA/cm^{2}"</f>
        <v>6.52 mA/cm^{2}</v>
      </c>
      <c r="O2538" s="0" t="s">
        <v>8846</v>
      </c>
    </row>
    <row r="2539" customFormat="false" ht="13.8" hidden="false" customHeight="false" outlineLevel="0" collapsed="false">
      <c r="A2539" s="0" t="s">
        <v>8847</v>
      </c>
      <c r="D2539" s="0" t="s">
        <v>1116</v>
      </c>
      <c r="E2539" s="0" t="s">
        <v>1117</v>
      </c>
      <c r="F2539" s="0" t="s">
        <v>1118</v>
      </c>
      <c r="G2539" s="0" t="n">
        <v>1</v>
      </c>
      <c r="H2539" s="0" t="s">
        <v>27</v>
      </c>
      <c r="J2539" s="0" t="s">
        <v>28</v>
      </c>
      <c r="K2539" s="0" t="str">
        <f aca="false">"15.69 %"</f>
        <v>15.69 %</v>
      </c>
      <c r="O2539" s="0" t="s">
        <v>8848</v>
      </c>
    </row>
    <row r="2540" customFormat="false" ht="13.8" hidden="false" customHeight="false" outlineLevel="0" collapsed="false">
      <c r="A2540" s="0" t="s">
        <v>8849</v>
      </c>
      <c r="D2540" s="0" t="s">
        <v>599</v>
      </c>
      <c r="E2540" s="0" t="s">
        <v>600</v>
      </c>
      <c r="F2540" s="0" t="s">
        <v>601</v>
      </c>
      <c r="G2540" s="0" t="n">
        <v>0</v>
      </c>
      <c r="H2540" s="0" t="s">
        <v>8850</v>
      </c>
      <c r="J2540" s="0" t="s">
        <v>8851</v>
      </c>
      <c r="K2540" s="0" t="str">
        <f aca="false">"10.80 %"</f>
        <v>10.80 %</v>
      </c>
      <c r="O2540" s="0" t="s">
        <v>8852</v>
      </c>
    </row>
    <row r="2541" customFormat="false" ht="13.8" hidden="false" customHeight="false" outlineLevel="0" collapsed="false">
      <c r="A2541" s="0" t="s">
        <v>8853</v>
      </c>
      <c r="D2541" s="0" t="s">
        <v>201</v>
      </c>
      <c r="E2541" s="0" t="s">
        <v>202</v>
      </c>
      <c r="F2541" s="0" t="s">
        <v>422</v>
      </c>
      <c r="G2541" s="0" t="n">
        <v>0</v>
      </c>
      <c r="H2541" s="0" t="s">
        <v>8854</v>
      </c>
      <c r="J2541" s="0" t="s">
        <v>40</v>
      </c>
      <c r="K2541" s="0" t="str">
        <f aca="false">"4.50 %"</f>
        <v>4.50 %</v>
      </c>
      <c r="L2541" s="0" t="str">
        <f aca="false">"0.98 V"</f>
        <v>0.98 V</v>
      </c>
      <c r="O2541" s="0" t="s">
        <v>8855</v>
      </c>
    </row>
    <row r="2542" customFormat="false" ht="13.8" hidden="false" customHeight="false" outlineLevel="0" collapsed="false">
      <c r="A2542" s="0" t="s">
        <v>8856</v>
      </c>
      <c r="D2542" s="0" t="s">
        <v>599</v>
      </c>
      <c r="E2542" s="0" t="s">
        <v>600</v>
      </c>
      <c r="F2542" s="0" t="s">
        <v>5721</v>
      </c>
      <c r="G2542" s="0" t="n">
        <v>0</v>
      </c>
      <c r="H2542" s="0" t="s">
        <v>1472</v>
      </c>
      <c r="I2542" s="0" t="s">
        <v>6174</v>
      </c>
      <c r="J2542" s="0" t="s">
        <v>5341</v>
      </c>
      <c r="K2542" s="0" t="str">
        <f aca="false">"9.91 %"</f>
        <v>9.91 %</v>
      </c>
      <c r="O2542" s="0" t="s">
        <v>8857</v>
      </c>
    </row>
    <row r="2543" customFormat="false" ht="13.8" hidden="false" customHeight="false" outlineLevel="0" collapsed="false">
      <c r="A2543" s="0" t="s">
        <v>8858</v>
      </c>
      <c r="D2543" s="0" t="s">
        <v>599</v>
      </c>
      <c r="E2543" s="0" t="s">
        <v>600</v>
      </c>
      <c r="F2543" s="0" t="s">
        <v>601</v>
      </c>
      <c r="G2543" s="0" t="n">
        <v>0</v>
      </c>
      <c r="H2543" s="0" t="s">
        <v>8859</v>
      </c>
      <c r="J2543" s="0" t="s">
        <v>8860</v>
      </c>
      <c r="K2543" s="0" t="str">
        <f aca="false">"14.45 %"</f>
        <v>14.45 %</v>
      </c>
      <c r="L2543" s="0" t="str">
        <f aca="false">"0.946 V"</f>
        <v>0.946 V</v>
      </c>
      <c r="M2543" s="0" t="str">
        <f aca="false">"20.65 mA cm^{-2}"</f>
        <v>20.65 mA cm^{-2}</v>
      </c>
      <c r="O2543" s="0" t="s">
        <v>8861</v>
      </c>
    </row>
    <row r="2544" customFormat="false" ht="13.8" hidden="false" customHeight="false" outlineLevel="0" collapsed="false">
      <c r="A2544" s="0" t="s">
        <v>8862</v>
      </c>
      <c r="C2544" s="0" t="n">
        <v>1</v>
      </c>
      <c r="D2544" s="0" t="s">
        <v>1116</v>
      </c>
      <c r="E2544" s="0" t="s">
        <v>1117</v>
      </c>
      <c r="F2544" s="0" t="s">
        <v>8863</v>
      </c>
      <c r="G2544" s="0" t="n">
        <v>0</v>
      </c>
      <c r="H2544" s="0" t="s">
        <v>5040</v>
      </c>
      <c r="I2544" s="0" t="s">
        <v>5041</v>
      </c>
      <c r="J2544" s="0" t="s">
        <v>5042</v>
      </c>
      <c r="K2544" s="0" t="str">
        <f aca="false">"17.53 %"</f>
        <v>17.53 %</v>
      </c>
      <c r="O2544" s="0" t="s">
        <v>8864</v>
      </c>
    </row>
    <row r="2545" customFormat="false" ht="13.8" hidden="false" customHeight="false" outlineLevel="0" collapsed="false">
      <c r="A2545" s="0" t="s">
        <v>8865</v>
      </c>
      <c r="D2545" s="0" t="s">
        <v>1116</v>
      </c>
      <c r="E2545" s="0" t="s">
        <v>1117</v>
      </c>
      <c r="F2545" s="0" t="s">
        <v>1118</v>
      </c>
      <c r="G2545" s="0" t="n">
        <v>0</v>
      </c>
      <c r="H2545" s="0" t="s">
        <v>8866</v>
      </c>
      <c r="J2545" s="0" t="s">
        <v>8867</v>
      </c>
      <c r="K2545" s="0" t="str">
        <f aca="false">"13.5 %"</f>
        <v>13.5 %</v>
      </c>
      <c r="L2545" s="0" t="str">
        <f aca="false">"0.82 V"</f>
        <v>0.82 V</v>
      </c>
      <c r="N2545" s="0" t="str">
        <f aca="false">"0.78"</f>
        <v>0.78</v>
      </c>
      <c r="O2545" s="0" t="s">
        <v>8868</v>
      </c>
    </row>
    <row r="2546" customFormat="false" ht="13.8" hidden="false" customHeight="false" outlineLevel="0" collapsed="false">
      <c r="A2546" s="0" t="s">
        <v>8869</v>
      </c>
      <c r="D2546" s="0" t="s">
        <v>1116</v>
      </c>
      <c r="E2546" s="0" t="s">
        <v>1117</v>
      </c>
      <c r="F2546" s="0" t="s">
        <v>1118</v>
      </c>
      <c r="G2546" s="0" t="n">
        <v>0</v>
      </c>
      <c r="H2546" s="0" t="s">
        <v>8870</v>
      </c>
      <c r="J2546" s="0" t="s">
        <v>8871</v>
      </c>
      <c r="L2546" s="0" t="str">
        <f aca="false">"0.84 V"</f>
        <v>0.84 V</v>
      </c>
      <c r="N2546" s="0" t="str">
        <f aca="false">"72.68 %"</f>
        <v>72.68 %</v>
      </c>
      <c r="O2546" s="0" t="s">
        <v>8872</v>
      </c>
    </row>
    <row r="2547" customFormat="false" ht="13.8" hidden="false" customHeight="false" outlineLevel="0" collapsed="false">
      <c r="A2547" s="0" t="s">
        <v>8869</v>
      </c>
      <c r="D2547" s="0" t="s">
        <v>1116</v>
      </c>
      <c r="E2547" s="0" t="s">
        <v>1117</v>
      </c>
      <c r="F2547" s="0" t="s">
        <v>1118</v>
      </c>
      <c r="G2547" s="0" t="n">
        <v>0</v>
      </c>
      <c r="H2547" s="0" t="s">
        <v>8873</v>
      </c>
      <c r="J2547" s="0" t="s">
        <v>8874</v>
      </c>
      <c r="K2547" s="0" t="str">
        <f aca="false">"14.54 %"</f>
        <v>14.54 %</v>
      </c>
      <c r="M2547" s="0" t="str">
        <f aca="false">"23.82 mA cm^{-2}"</f>
        <v>23.82 mA cm^{-2}</v>
      </c>
      <c r="N2547" s="0" t="str">
        <f aca="false">"7.28 %"</f>
        <v>7.28 %</v>
      </c>
      <c r="O2547" s="0" t="s">
        <v>8875</v>
      </c>
    </row>
    <row r="2548" customFormat="false" ht="13.8" hidden="false" customHeight="false" outlineLevel="0" collapsed="false">
      <c r="A2548" s="0" t="s">
        <v>8876</v>
      </c>
      <c r="B2548" s="0" t="n">
        <v>1</v>
      </c>
      <c r="D2548" s="0" t="s">
        <v>599</v>
      </c>
      <c r="E2548" s="0" t="s">
        <v>600</v>
      </c>
      <c r="F2548" s="0" t="s">
        <v>601</v>
      </c>
      <c r="G2548" s="0" t="n">
        <v>0</v>
      </c>
      <c r="H2548" s="0" t="s">
        <v>2659</v>
      </c>
      <c r="I2548" s="0" t="s">
        <v>2660</v>
      </c>
      <c r="J2548" s="0" t="s">
        <v>6967</v>
      </c>
      <c r="K2548" s="0" t="str">
        <f aca="false">"10.2 %"</f>
        <v>10.2 %</v>
      </c>
      <c r="O2548" s="0" t="s">
        <v>8877</v>
      </c>
    </row>
    <row r="2549" customFormat="false" ht="13.8" hidden="false" customHeight="false" outlineLevel="0" collapsed="false">
      <c r="A2549" s="0" t="s">
        <v>8878</v>
      </c>
      <c r="D2549" s="0" t="s">
        <v>8879</v>
      </c>
      <c r="F2549" s="0" t="s">
        <v>8880</v>
      </c>
      <c r="G2549" s="0" t="n">
        <v>0</v>
      </c>
      <c r="H2549" s="0" t="s">
        <v>8881</v>
      </c>
      <c r="J2549" s="0" t="s">
        <v>8880</v>
      </c>
      <c r="K2549" s="0" t="str">
        <f aca="false">"5.79 %"</f>
        <v>5.79 %</v>
      </c>
      <c r="O2549" s="0" t="s">
        <v>8882</v>
      </c>
    </row>
    <row r="2550" customFormat="false" ht="13.8" hidden="false" customHeight="false" outlineLevel="0" collapsed="false">
      <c r="A2550" s="0" t="s">
        <v>8883</v>
      </c>
      <c r="B2550" s="0" t="n">
        <v>1</v>
      </c>
      <c r="D2550" s="0" t="s">
        <v>1116</v>
      </c>
      <c r="E2550" s="0" t="s">
        <v>1117</v>
      </c>
      <c r="F2550" s="0" t="s">
        <v>1118</v>
      </c>
      <c r="G2550" s="0" t="n">
        <v>0</v>
      </c>
      <c r="H2550" s="0" t="s">
        <v>8829</v>
      </c>
      <c r="I2550" s="0" t="s">
        <v>5041</v>
      </c>
      <c r="J2550" s="0" t="s">
        <v>8830</v>
      </c>
      <c r="K2550" s="0" t="str">
        <f aca="false">"16 %"</f>
        <v>16 %</v>
      </c>
      <c r="O2550" s="0" t="s">
        <v>8884</v>
      </c>
    </row>
    <row r="2551" customFormat="false" ht="13.8" hidden="false" customHeight="false" outlineLevel="0" collapsed="false">
      <c r="A2551" s="0" t="s">
        <v>8885</v>
      </c>
      <c r="D2551" s="0" t="s">
        <v>8886</v>
      </c>
      <c r="F2551" s="0" t="s">
        <v>8887</v>
      </c>
      <c r="G2551" s="0" t="n">
        <v>0</v>
      </c>
      <c r="H2551" s="0" t="s">
        <v>4736</v>
      </c>
      <c r="I2551" s="0" t="s">
        <v>6928</v>
      </c>
      <c r="J2551" s="0" t="s">
        <v>6929</v>
      </c>
      <c r="K2551" s="0" t="str">
        <f aca="false">"10 %"</f>
        <v>10 %</v>
      </c>
      <c r="M2551" s="0" t="str">
        <f aca="false">"22.7 mA cm^{-2}"</f>
        <v>22.7 mA cm^{-2}</v>
      </c>
      <c r="O2551" s="0" t="s">
        <v>8888</v>
      </c>
    </row>
    <row r="2552" customFormat="false" ht="13.8" hidden="false" customHeight="false" outlineLevel="0" collapsed="false">
      <c r="A2552" s="0" t="s">
        <v>8889</v>
      </c>
      <c r="D2552" s="0" t="s">
        <v>599</v>
      </c>
      <c r="E2552" s="0" t="s">
        <v>600</v>
      </c>
      <c r="F2552" s="0" t="s">
        <v>601</v>
      </c>
      <c r="G2552" s="0" t="n">
        <v>0</v>
      </c>
      <c r="H2552" s="0" t="s">
        <v>8890</v>
      </c>
      <c r="J2552" s="0" t="s">
        <v>8891</v>
      </c>
      <c r="K2552" s="0" t="str">
        <f aca="false">"11.5 %"</f>
        <v>11.5 %</v>
      </c>
      <c r="L2552" s="0" t="str">
        <f aca="false">"0.94 V"</f>
        <v>0.94 V</v>
      </c>
      <c r="O2552" s="0" t="s">
        <v>8892</v>
      </c>
    </row>
    <row r="2553" customFormat="false" ht="13.8" hidden="false" customHeight="false" outlineLevel="0" collapsed="false">
      <c r="A2553" s="0" t="s">
        <v>8893</v>
      </c>
      <c r="D2553" s="0" t="s">
        <v>1116</v>
      </c>
      <c r="E2553" s="0" t="s">
        <v>1117</v>
      </c>
      <c r="F2553" s="0" t="s">
        <v>1118</v>
      </c>
      <c r="G2553" s="0" t="n">
        <v>0</v>
      </c>
      <c r="H2553" s="0" t="s">
        <v>8894</v>
      </c>
      <c r="J2553" s="0" t="s">
        <v>8895</v>
      </c>
      <c r="K2553" s="0" t="str">
        <f aca="false">"10.39 %"</f>
        <v>10.39 %</v>
      </c>
      <c r="L2553" s="0" t="str">
        <f aca="false">"0.91 V"</f>
        <v>0.91 V</v>
      </c>
      <c r="M2553" s="0" t="str">
        <f aca="false">"16.77 mA cm^{-2}"</f>
        <v>16.77 mA cm^{-2}</v>
      </c>
      <c r="N2553" s="0" t="str">
        <f aca="false">"68.08 %"</f>
        <v>68.08 %</v>
      </c>
      <c r="O2553" s="0" t="s">
        <v>8896</v>
      </c>
    </row>
    <row r="2554" customFormat="false" ht="13.8" hidden="false" customHeight="false" outlineLevel="0" collapsed="false">
      <c r="A2554" s="0" t="s">
        <v>8897</v>
      </c>
      <c r="D2554" s="0" t="s">
        <v>1990</v>
      </c>
      <c r="F2554" s="0" t="s">
        <v>1991</v>
      </c>
      <c r="G2554" s="0" t="n">
        <v>0</v>
      </c>
      <c r="H2554" s="0" t="s">
        <v>1121</v>
      </c>
      <c r="I2554" s="0" t="s">
        <v>225</v>
      </c>
      <c r="J2554" s="0" t="s">
        <v>1122</v>
      </c>
      <c r="K2554" s="0" t="str">
        <f aca="false">"6.90 %"</f>
        <v>6.90 %</v>
      </c>
      <c r="O2554" s="0" t="s">
        <v>8898</v>
      </c>
    </row>
    <row r="2555" customFormat="false" ht="13.8" hidden="false" customHeight="false" outlineLevel="0" collapsed="false">
      <c r="A2555" s="0" t="s">
        <v>8899</v>
      </c>
      <c r="D2555" s="0" t="s">
        <v>8900</v>
      </c>
      <c r="F2555" s="0" t="s">
        <v>8901</v>
      </c>
      <c r="G2555" s="0" t="n">
        <v>0</v>
      </c>
      <c r="H2555" s="0" t="s">
        <v>5040</v>
      </c>
      <c r="I2555" s="0" t="s">
        <v>5041</v>
      </c>
      <c r="J2555" s="0" t="s">
        <v>5042</v>
      </c>
      <c r="K2555" s="0" t="str">
        <f aca="false">"9.13 %"</f>
        <v>9.13 %</v>
      </c>
      <c r="O2555" s="0" t="s">
        <v>8902</v>
      </c>
    </row>
    <row r="2556" customFormat="false" ht="13.8" hidden="false" customHeight="false" outlineLevel="0" collapsed="false">
      <c r="A2556" s="0" t="s">
        <v>8899</v>
      </c>
      <c r="D2556" s="0" t="s">
        <v>8900</v>
      </c>
      <c r="F2556" s="0" t="s">
        <v>8901</v>
      </c>
      <c r="G2556" s="0" t="n">
        <v>0</v>
      </c>
      <c r="H2556" s="0" t="s">
        <v>163</v>
      </c>
      <c r="I2556" s="0" t="s">
        <v>164</v>
      </c>
      <c r="J2556" s="0" t="s">
        <v>165</v>
      </c>
      <c r="K2556" s="0" t="str">
        <f aca="false">"3.54 %"</f>
        <v>3.54 %</v>
      </c>
      <c r="O2556" s="0" t="s">
        <v>8903</v>
      </c>
    </row>
    <row r="2557" customFormat="false" ht="13.8" hidden="false" customHeight="false" outlineLevel="0" collapsed="false">
      <c r="A2557" s="0" t="s">
        <v>8904</v>
      </c>
      <c r="D2557" s="0" t="s">
        <v>8905</v>
      </c>
      <c r="F2557" s="0" t="s">
        <v>8906</v>
      </c>
      <c r="G2557" s="0" t="n">
        <v>0</v>
      </c>
      <c r="H2557" s="0" t="s">
        <v>8829</v>
      </c>
      <c r="I2557" s="0" t="s">
        <v>5041</v>
      </c>
      <c r="J2557" s="0" t="s">
        <v>8830</v>
      </c>
      <c r="K2557" s="0" t="str">
        <f aca="false">"15.63 %"</f>
        <v>15.63 %</v>
      </c>
      <c r="O2557" s="0" t="s">
        <v>8907</v>
      </c>
    </row>
    <row r="2558" customFormat="false" ht="13.8" hidden="false" customHeight="false" outlineLevel="0" collapsed="false">
      <c r="A2558" s="0" t="s">
        <v>8904</v>
      </c>
      <c r="D2558" s="0" t="s">
        <v>8908</v>
      </c>
      <c r="F2558" s="0" t="s">
        <v>8909</v>
      </c>
      <c r="G2558" s="0" t="n">
        <v>0</v>
      </c>
      <c r="H2558" s="0" t="s">
        <v>8829</v>
      </c>
      <c r="I2558" s="0" t="s">
        <v>5041</v>
      </c>
      <c r="J2558" s="0" t="s">
        <v>8830</v>
      </c>
      <c r="K2558" s="0" t="str">
        <f aca="false">"11.84 %"</f>
        <v>11.84 %</v>
      </c>
      <c r="O2558" s="0" t="s">
        <v>8910</v>
      </c>
    </row>
    <row r="2559" customFormat="false" ht="13.8" hidden="false" customHeight="false" outlineLevel="0" collapsed="false">
      <c r="A2559" s="0" t="s">
        <v>8904</v>
      </c>
      <c r="D2559" s="0" t="s">
        <v>8908</v>
      </c>
      <c r="F2559" s="0" t="s">
        <v>8909</v>
      </c>
      <c r="G2559" s="0" t="n">
        <v>0</v>
      </c>
      <c r="H2559" s="0" t="s">
        <v>8911</v>
      </c>
      <c r="J2559" s="0" t="s">
        <v>8906</v>
      </c>
      <c r="K2559" s="0" t="str">
        <f aca="false">"14.86 %"</f>
        <v>14.86 %</v>
      </c>
      <c r="O2559" s="0" t="s">
        <v>8912</v>
      </c>
    </row>
    <row r="2560" customFormat="false" ht="13.8" hidden="false" customHeight="false" outlineLevel="0" collapsed="false">
      <c r="A2560" s="0" t="s">
        <v>8913</v>
      </c>
      <c r="D2560" s="0" t="s">
        <v>8914</v>
      </c>
      <c r="F2560" s="0" t="s">
        <v>8915</v>
      </c>
      <c r="G2560" s="0" t="n">
        <v>0</v>
      </c>
      <c r="H2560" s="0" t="s">
        <v>8916</v>
      </c>
      <c r="J2560" s="0" t="s">
        <v>40</v>
      </c>
      <c r="K2560" s="0" t="str">
        <f aca="false">"13.06 %"</f>
        <v>13.06 %</v>
      </c>
      <c r="O2560" s="0" t="s">
        <v>8917</v>
      </c>
    </row>
    <row r="2561" customFormat="false" ht="13.8" hidden="false" customHeight="false" outlineLevel="0" collapsed="false">
      <c r="A2561" s="0" t="s">
        <v>8918</v>
      </c>
      <c r="D2561" s="0" t="s">
        <v>253</v>
      </c>
      <c r="F2561" s="0" t="s">
        <v>2054</v>
      </c>
      <c r="G2561" s="0" t="n">
        <v>0</v>
      </c>
      <c r="H2561" s="0" t="s">
        <v>163</v>
      </c>
      <c r="I2561" s="0" t="s">
        <v>164</v>
      </c>
      <c r="J2561" s="0" t="s">
        <v>165</v>
      </c>
      <c r="K2561" s="0" t="str">
        <f aca="false">"12.84 %"</f>
        <v>12.84 %</v>
      </c>
      <c r="O2561" s="0" t="s">
        <v>8919</v>
      </c>
    </row>
    <row r="2562" customFormat="false" ht="13.8" hidden="false" customHeight="false" outlineLevel="0" collapsed="false">
      <c r="A2562" s="0" t="s">
        <v>8918</v>
      </c>
      <c r="D2562" s="0" t="s">
        <v>128</v>
      </c>
      <c r="F2562" s="0" t="s">
        <v>5586</v>
      </c>
      <c r="G2562" s="0" t="n">
        <v>0</v>
      </c>
      <c r="H2562" s="0" t="s">
        <v>163</v>
      </c>
      <c r="I2562" s="0" t="s">
        <v>164</v>
      </c>
      <c r="J2562" s="0" t="s">
        <v>165</v>
      </c>
      <c r="K2562" s="0" t="str">
        <f aca="false">"11.80 %"</f>
        <v>11.80 %</v>
      </c>
      <c r="O2562" s="0" t="s">
        <v>8920</v>
      </c>
    </row>
    <row r="2563" customFormat="false" ht="13.8" hidden="false" customHeight="false" outlineLevel="0" collapsed="false">
      <c r="A2563" s="0" t="s">
        <v>8921</v>
      </c>
      <c r="D2563" s="0" t="s">
        <v>8922</v>
      </c>
      <c r="F2563" s="0" t="s">
        <v>40</v>
      </c>
      <c r="G2563" s="0" t="n">
        <v>1</v>
      </c>
      <c r="H2563" s="0" t="s">
        <v>27</v>
      </c>
      <c r="J2563" s="0" t="s">
        <v>28</v>
      </c>
      <c r="K2563" s="0" t="str">
        <f aca="false">"3.79 %"</f>
        <v>3.79 %</v>
      </c>
      <c r="L2563" s="0" t="str">
        <f aca="false">"0.96 V"</f>
        <v>0.96 V</v>
      </c>
      <c r="O2563" s="0" t="s">
        <v>8923</v>
      </c>
    </row>
    <row r="2564" customFormat="false" ht="13.8" hidden="false" customHeight="false" outlineLevel="0" collapsed="false">
      <c r="A2564" s="0" t="s">
        <v>8924</v>
      </c>
      <c r="D2564" s="0" t="s">
        <v>8925</v>
      </c>
      <c r="F2564" s="0" t="s">
        <v>8926</v>
      </c>
      <c r="G2564" s="0" t="n">
        <v>0</v>
      </c>
      <c r="H2564" s="0" t="s">
        <v>8927</v>
      </c>
      <c r="J2564" s="0" t="s">
        <v>40</v>
      </c>
      <c r="K2564" s="0" t="str">
        <f aca="false">"9.8 %"</f>
        <v>9.8 %</v>
      </c>
      <c r="O2564" s="0" t="s">
        <v>8928</v>
      </c>
    </row>
    <row r="2565" customFormat="false" ht="13.8" hidden="false" customHeight="false" outlineLevel="0" collapsed="false">
      <c r="A2565" s="0" t="s">
        <v>8929</v>
      </c>
      <c r="D2565" s="0" t="s">
        <v>7080</v>
      </c>
      <c r="E2565" s="0" t="s">
        <v>7081</v>
      </c>
      <c r="F2565" s="0" t="s">
        <v>8930</v>
      </c>
      <c r="G2565" s="0" t="n">
        <v>1</v>
      </c>
      <c r="H2565" s="0" t="s">
        <v>27</v>
      </c>
      <c r="J2565" s="0" t="s">
        <v>28</v>
      </c>
      <c r="K2565" s="0" t="str">
        <f aca="false">"13.26 %"</f>
        <v>13.26 %</v>
      </c>
      <c r="L2565" s="0" t="str">
        <f aca="false">"0.98 V"</f>
        <v>0.98 V</v>
      </c>
      <c r="M2565" s="0" t="str">
        <f aca="false">"18.95 mA cm^{-2}"</f>
        <v>18.95 mA cm^{-2}</v>
      </c>
      <c r="O2565" s="0" t="s">
        <v>8931</v>
      </c>
    </row>
    <row r="2566" customFormat="false" ht="13.8" hidden="false" customHeight="false" outlineLevel="0" collapsed="false">
      <c r="A2566" s="0" t="s">
        <v>8929</v>
      </c>
      <c r="D2566" s="0" t="s">
        <v>8932</v>
      </c>
      <c r="E2566" s="0" t="s">
        <v>8933</v>
      </c>
      <c r="F2566" s="0" t="s">
        <v>8934</v>
      </c>
      <c r="G2566" s="0" t="n">
        <v>1</v>
      </c>
      <c r="H2566" s="0" t="s">
        <v>27</v>
      </c>
      <c r="J2566" s="0" t="s">
        <v>28</v>
      </c>
      <c r="L2566" s="0" t="str">
        <f aca="false">"1.06 V"</f>
        <v>1.06 V</v>
      </c>
      <c r="O2566" s="0" t="s">
        <v>8935</v>
      </c>
    </row>
    <row r="2567" customFormat="false" ht="13.8" hidden="false" customHeight="false" outlineLevel="0" collapsed="false">
      <c r="A2567" s="0" t="s">
        <v>8936</v>
      </c>
      <c r="D2567" s="0" t="s">
        <v>8937</v>
      </c>
      <c r="F2567" s="0" t="s">
        <v>8938</v>
      </c>
      <c r="G2567" s="0" t="n">
        <v>0</v>
      </c>
      <c r="H2567" s="0" t="s">
        <v>8939</v>
      </c>
      <c r="J2567" s="0" t="s">
        <v>40</v>
      </c>
      <c r="K2567" s="0" t="str">
        <f aca="false">"7.04 %"</f>
        <v>7.04 %</v>
      </c>
      <c r="L2567" s="0" t="str">
        <f aca="false">"0.86 V"</f>
        <v>0.86 V</v>
      </c>
      <c r="M2567" s="0" t="str">
        <f aca="false">"14.96 mA/cm^{2}"</f>
        <v>14.96 mA/cm^{2}</v>
      </c>
      <c r="N2567" s="0" t="str">
        <f aca="false">"54 %"</f>
        <v>54 %</v>
      </c>
      <c r="O2567" s="0" t="s">
        <v>8940</v>
      </c>
    </row>
    <row r="2568" customFormat="false" ht="13.8" hidden="false" customHeight="false" outlineLevel="0" collapsed="false">
      <c r="A2568" s="0" t="s">
        <v>8941</v>
      </c>
      <c r="D2568" s="0" t="s">
        <v>8942</v>
      </c>
      <c r="F2568" s="0" t="s">
        <v>8943</v>
      </c>
      <c r="G2568" s="0" t="n">
        <v>1</v>
      </c>
      <c r="H2568" s="0" t="s">
        <v>27</v>
      </c>
      <c r="J2568" s="0" t="s">
        <v>28</v>
      </c>
      <c r="K2568" s="0" t="str">
        <f aca="false">"7.58 %"</f>
        <v>7.58 %</v>
      </c>
      <c r="L2568" s="0" t="str">
        <f aca="false">"0.865 V"</f>
        <v>0.865 V</v>
      </c>
      <c r="M2568" s="0" t="str">
        <f aca="false">"12.40 mA cm^{-2}"</f>
        <v>12.40 mA cm^{-2}</v>
      </c>
      <c r="O2568" s="0" t="s">
        <v>8944</v>
      </c>
    </row>
    <row r="2569" customFormat="false" ht="13.8" hidden="false" customHeight="false" outlineLevel="0" collapsed="false">
      <c r="A2569" s="0" t="s">
        <v>8941</v>
      </c>
      <c r="D2569" s="0" t="s">
        <v>7753</v>
      </c>
      <c r="F2569" s="0" t="s">
        <v>8945</v>
      </c>
      <c r="G2569" s="0" t="n">
        <v>1</v>
      </c>
      <c r="H2569" s="0" t="s">
        <v>27</v>
      </c>
      <c r="J2569" s="0" t="s">
        <v>28</v>
      </c>
      <c r="K2569" s="0" t="str">
        <f aca="false">"4.71 %"</f>
        <v>4.71 %</v>
      </c>
      <c r="M2569" s="0" t="str">
        <f aca="false">"9.85 mA cm^{-2}"</f>
        <v>9.85 mA cm^{-2}</v>
      </c>
      <c r="N2569" s="0" t="str">
        <f aca="false">"70.83 %"</f>
        <v>70.83 %</v>
      </c>
      <c r="O2569" s="0" t="s">
        <v>8946</v>
      </c>
    </row>
    <row r="2570" customFormat="false" ht="13.8" hidden="false" customHeight="false" outlineLevel="0" collapsed="false">
      <c r="A2570" s="0" t="s">
        <v>8947</v>
      </c>
      <c r="D2570" s="0" t="s">
        <v>8948</v>
      </c>
      <c r="F2570" s="0" t="s">
        <v>8949</v>
      </c>
      <c r="G2570" s="0" t="n">
        <v>0</v>
      </c>
      <c r="H2570" s="0" t="s">
        <v>8950</v>
      </c>
      <c r="J2570" s="0" t="s">
        <v>8951</v>
      </c>
      <c r="K2570" s="0" t="str">
        <f aca="false">"12.8 %"</f>
        <v>12.8 %</v>
      </c>
      <c r="O2570" s="0" t="s">
        <v>8952</v>
      </c>
    </row>
    <row r="2571" customFormat="false" ht="13.8" hidden="false" customHeight="false" outlineLevel="0" collapsed="false">
      <c r="A2571" s="0" t="s">
        <v>8953</v>
      </c>
      <c r="D2571" s="0" t="s">
        <v>8954</v>
      </c>
      <c r="F2571" s="0" t="s">
        <v>8955</v>
      </c>
      <c r="G2571" s="0" t="n">
        <v>1</v>
      </c>
      <c r="H2571" s="0" t="s">
        <v>27</v>
      </c>
      <c r="J2571" s="0" t="s">
        <v>28</v>
      </c>
      <c r="K2571" s="0" t="str">
        <f aca="false">"5.0 %"</f>
        <v>5.0 %</v>
      </c>
      <c r="O2571" s="0" t="s">
        <v>8956</v>
      </c>
    </row>
    <row r="2572" customFormat="false" ht="13.8" hidden="false" customHeight="false" outlineLevel="0" collapsed="false">
      <c r="A2572" s="0" t="s">
        <v>8957</v>
      </c>
      <c r="D2572" s="0" t="s">
        <v>8958</v>
      </c>
      <c r="F2572" s="0" t="s">
        <v>8959</v>
      </c>
      <c r="G2572" s="0" t="n">
        <v>0</v>
      </c>
      <c r="H2572" s="0" t="s">
        <v>8960</v>
      </c>
      <c r="J2572" s="0" t="s">
        <v>40</v>
      </c>
      <c r="K2572" s="0" t="str">
        <f aca="false">"12.33 %"</f>
        <v>12.33 %</v>
      </c>
      <c r="O2572" s="0" t="s">
        <v>8961</v>
      </c>
    </row>
    <row r="2573" customFormat="false" ht="13.8" hidden="false" customHeight="false" outlineLevel="0" collapsed="false">
      <c r="A2573" s="0" t="s">
        <v>8957</v>
      </c>
      <c r="D2573" s="0" t="s">
        <v>8962</v>
      </c>
      <c r="F2573" s="0" t="s">
        <v>8963</v>
      </c>
      <c r="G2573" s="0" t="n">
        <v>0</v>
      </c>
      <c r="H2573" s="0" t="s">
        <v>8960</v>
      </c>
      <c r="J2573" s="0" t="s">
        <v>40</v>
      </c>
      <c r="K2573" s="0" t="str">
        <f aca="false">"9.21 %"</f>
        <v>9.21 %</v>
      </c>
      <c r="O2573" s="0" t="s">
        <v>8964</v>
      </c>
    </row>
    <row r="2574" customFormat="false" ht="13.8" hidden="false" customHeight="false" outlineLevel="0" collapsed="false">
      <c r="A2574" s="0" t="s">
        <v>8965</v>
      </c>
      <c r="D2574" s="0" t="s">
        <v>8966</v>
      </c>
      <c r="F2574" s="0" t="s">
        <v>8967</v>
      </c>
      <c r="G2574" s="0" t="n">
        <v>1</v>
      </c>
      <c r="H2574" s="0" t="s">
        <v>27</v>
      </c>
      <c r="J2574" s="0" t="s">
        <v>28</v>
      </c>
      <c r="K2574" s="0" t="str">
        <f aca="false">"15.05 %"</f>
        <v>15.05 %</v>
      </c>
      <c r="O2574" s="0" t="s">
        <v>8968</v>
      </c>
    </row>
    <row r="2575" customFormat="false" ht="13.8" hidden="false" customHeight="false" outlineLevel="0" collapsed="false">
      <c r="A2575" s="0" t="s">
        <v>8965</v>
      </c>
      <c r="D2575" s="0" t="s">
        <v>5040</v>
      </c>
      <c r="E2575" s="0" t="s">
        <v>5041</v>
      </c>
      <c r="F2575" s="0" t="s">
        <v>5042</v>
      </c>
      <c r="G2575" s="0" t="n">
        <v>1</v>
      </c>
      <c r="H2575" s="0" t="s">
        <v>27</v>
      </c>
      <c r="J2575" s="0" t="s">
        <v>28</v>
      </c>
      <c r="K2575" s="0" t="str">
        <f aca="false">"16.43 %"</f>
        <v>16.43 %</v>
      </c>
      <c r="O2575" s="0" t="s">
        <v>8969</v>
      </c>
    </row>
    <row r="2576" customFormat="false" ht="13.8" hidden="false" customHeight="false" outlineLevel="0" collapsed="false">
      <c r="A2576" s="0" t="s">
        <v>8970</v>
      </c>
      <c r="D2576" s="0" t="s">
        <v>665</v>
      </c>
      <c r="E2576" s="0" t="s">
        <v>666</v>
      </c>
      <c r="F2576" s="0" t="s">
        <v>667</v>
      </c>
      <c r="G2576" s="0" t="n">
        <v>0</v>
      </c>
      <c r="H2576" s="0" t="s">
        <v>8971</v>
      </c>
      <c r="J2576" s="0" t="s">
        <v>8972</v>
      </c>
      <c r="K2576" s="0" t="str">
        <f aca="false">"5.78 %"</f>
        <v>5.78 %</v>
      </c>
      <c r="O2576" s="0" t="s">
        <v>8973</v>
      </c>
    </row>
    <row r="2577" customFormat="false" ht="13.8" hidden="false" customHeight="false" outlineLevel="0" collapsed="false">
      <c r="A2577" s="0" t="s">
        <v>8974</v>
      </c>
      <c r="D2577" s="0" t="s">
        <v>1116</v>
      </c>
      <c r="E2577" s="0" t="s">
        <v>1117</v>
      </c>
      <c r="F2577" s="0" t="s">
        <v>1118</v>
      </c>
      <c r="G2577" s="0" t="n">
        <v>0</v>
      </c>
      <c r="H2577" s="0" t="s">
        <v>8975</v>
      </c>
      <c r="J2577" s="0" t="s">
        <v>8976</v>
      </c>
      <c r="K2577" s="0" t="str">
        <f aca="false">"14.83 %"</f>
        <v>14.83 %</v>
      </c>
      <c r="O2577" s="0" t="s">
        <v>8977</v>
      </c>
    </row>
    <row r="2578" customFormat="false" ht="13.8" hidden="false" customHeight="false" outlineLevel="0" collapsed="false">
      <c r="A2578" s="0" t="s">
        <v>8974</v>
      </c>
      <c r="D2578" s="0" t="s">
        <v>1116</v>
      </c>
      <c r="E2578" s="0" t="s">
        <v>1117</v>
      </c>
      <c r="F2578" s="0" t="s">
        <v>1118</v>
      </c>
      <c r="G2578" s="0" t="n">
        <v>0</v>
      </c>
      <c r="H2578" s="0" t="s">
        <v>8978</v>
      </c>
      <c r="J2578" s="0" t="s">
        <v>8979</v>
      </c>
      <c r="K2578" s="0" t="str">
        <f aca="false">"13.87 %"</f>
        <v>13.87 %</v>
      </c>
      <c r="O2578" s="0" t="s">
        <v>8980</v>
      </c>
    </row>
    <row r="2579" customFormat="false" ht="13.8" hidden="false" customHeight="false" outlineLevel="0" collapsed="false">
      <c r="A2579" s="0" t="s">
        <v>8981</v>
      </c>
      <c r="D2579" s="0" t="s">
        <v>8982</v>
      </c>
      <c r="F2579" s="0" t="s">
        <v>8983</v>
      </c>
      <c r="G2579" s="0" t="n">
        <v>0</v>
      </c>
      <c r="H2579" s="0" t="s">
        <v>8984</v>
      </c>
      <c r="J2579" s="0" t="s">
        <v>8985</v>
      </c>
      <c r="K2579" s="0" t="str">
        <f aca="false">"6.17 %"</f>
        <v>6.17 %</v>
      </c>
      <c r="L2579" s="0" t="str">
        <f aca="false">"0.99 V"</f>
        <v>0.99 V</v>
      </c>
      <c r="M2579" s="0" t="str">
        <f aca="false">"11.21 mA cm^{-2}"</f>
        <v>11.21 mA cm^{-2}</v>
      </c>
      <c r="N2579" s="0" t="str">
        <f aca="false">"55.6 %"</f>
        <v>55.6 %</v>
      </c>
      <c r="O2579" s="0" t="s">
        <v>8986</v>
      </c>
    </row>
    <row r="2580" customFormat="false" ht="13.8" hidden="false" customHeight="false" outlineLevel="0" collapsed="false">
      <c r="A2580" s="0" t="s">
        <v>8987</v>
      </c>
      <c r="D2580" s="0" t="s">
        <v>8988</v>
      </c>
      <c r="E2580" s="0" t="s">
        <v>600</v>
      </c>
      <c r="F2580" s="0" t="s">
        <v>8989</v>
      </c>
      <c r="G2580" s="0" t="n">
        <v>0</v>
      </c>
      <c r="H2580" s="0" t="s">
        <v>8990</v>
      </c>
      <c r="J2580" s="0" t="s">
        <v>8991</v>
      </c>
      <c r="K2580" s="0" t="str">
        <f aca="false">"7.24 and 9.08 %"</f>
        <v>7.24 and 9.08 %</v>
      </c>
      <c r="O2580" s="0" t="s">
        <v>8992</v>
      </c>
    </row>
    <row r="2581" customFormat="false" ht="13.8" hidden="false" customHeight="false" outlineLevel="0" collapsed="false">
      <c r="A2581" s="0" t="s">
        <v>8993</v>
      </c>
      <c r="D2581" s="0" t="s">
        <v>599</v>
      </c>
      <c r="E2581" s="0" t="s">
        <v>600</v>
      </c>
      <c r="F2581" s="0" t="s">
        <v>8994</v>
      </c>
      <c r="G2581" s="0" t="n">
        <v>0</v>
      </c>
      <c r="H2581" s="0" t="s">
        <v>8995</v>
      </c>
      <c r="J2581" s="0" t="s">
        <v>8996</v>
      </c>
      <c r="K2581" s="0" t="str">
        <f aca="false">"14.32 %"</f>
        <v>14.32 %</v>
      </c>
      <c r="O2581" s="0" t="s">
        <v>8997</v>
      </c>
    </row>
    <row r="2582" customFormat="false" ht="13.8" hidden="false" customHeight="false" outlineLevel="0" collapsed="false">
      <c r="A2582" s="0" t="s">
        <v>8998</v>
      </c>
      <c r="D2582" s="0" t="s">
        <v>599</v>
      </c>
      <c r="E2582" s="0" t="s">
        <v>600</v>
      </c>
      <c r="F2582" s="0" t="s">
        <v>4351</v>
      </c>
      <c r="G2582" s="0" t="n">
        <v>0</v>
      </c>
      <c r="H2582" s="0" t="s">
        <v>8999</v>
      </c>
      <c r="J2582" s="0" t="s">
        <v>9000</v>
      </c>
      <c r="K2582" s="0" t="str">
        <f aca="false">"7.7 %"</f>
        <v>7.7 %</v>
      </c>
      <c r="O2582" s="0" t="s">
        <v>9001</v>
      </c>
    </row>
    <row r="2583" customFormat="false" ht="13.8" hidden="false" customHeight="false" outlineLevel="0" collapsed="false">
      <c r="A2583" s="0" t="s">
        <v>9002</v>
      </c>
      <c r="D2583" s="0" t="s">
        <v>16</v>
      </c>
      <c r="E2583" s="0" t="s">
        <v>17</v>
      </c>
      <c r="F2583" s="0" t="s">
        <v>18</v>
      </c>
      <c r="G2583" s="0" t="n">
        <v>0</v>
      </c>
      <c r="H2583" s="0" t="s">
        <v>9003</v>
      </c>
      <c r="J2583" s="0" t="s">
        <v>9004</v>
      </c>
      <c r="K2583" s="0" t="str">
        <f aca="false">"3.60 %"</f>
        <v>3.60 %</v>
      </c>
      <c r="O2583" s="0" t="s">
        <v>9005</v>
      </c>
    </row>
    <row r="2584" customFormat="false" ht="13.8" hidden="false" customHeight="false" outlineLevel="0" collapsed="false">
      <c r="A2584" s="0" t="s">
        <v>9006</v>
      </c>
      <c r="D2584" s="0" t="s">
        <v>9007</v>
      </c>
      <c r="F2584" s="0" t="s">
        <v>9008</v>
      </c>
      <c r="G2584" s="0" t="n">
        <v>0</v>
      </c>
      <c r="H2584" s="0" t="s">
        <v>9009</v>
      </c>
      <c r="J2584" s="0" t="s">
        <v>9008</v>
      </c>
      <c r="K2584" s="0" t="str">
        <f aca="false">"15.8 %"</f>
        <v>15.8 %</v>
      </c>
      <c r="M2584" s="0" t="str">
        <f aca="false">"24.7 mA/cm^{2}"</f>
        <v>24.7 mA/cm^{2}</v>
      </c>
      <c r="O2584" s="0" t="s">
        <v>9010</v>
      </c>
    </row>
    <row r="2585" customFormat="false" ht="13.8" hidden="false" customHeight="false" outlineLevel="0" collapsed="false">
      <c r="A2585" s="0" t="s">
        <v>9011</v>
      </c>
      <c r="D2585" s="0" t="s">
        <v>109</v>
      </c>
      <c r="E2585" s="0" t="s">
        <v>110</v>
      </c>
      <c r="F2585" s="0" t="s">
        <v>111</v>
      </c>
      <c r="G2585" s="0" t="n">
        <v>1</v>
      </c>
      <c r="H2585" s="0" t="s">
        <v>33</v>
      </c>
      <c r="J2585" s="0" t="s">
        <v>34</v>
      </c>
      <c r="K2585" s="0" t="str">
        <f aca="false">"4.47 %"</f>
        <v>4.47 %</v>
      </c>
      <c r="O2585" s="0" t="s">
        <v>9012</v>
      </c>
    </row>
    <row r="2586" customFormat="false" ht="13.8" hidden="false" customHeight="false" outlineLevel="0" collapsed="false">
      <c r="A2586" s="0" t="s">
        <v>9013</v>
      </c>
      <c r="D2586" s="0" t="s">
        <v>302</v>
      </c>
      <c r="E2586" s="0" t="s">
        <v>202</v>
      </c>
      <c r="F2586" s="0" t="s">
        <v>9014</v>
      </c>
      <c r="G2586" s="0" t="n">
        <v>1</v>
      </c>
      <c r="H2586" s="0" t="s">
        <v>27</v>
      </c>
      <c r="J2586" s="0" t="s">
        <v>28</v>
      </c>
      <c r="K2586" s="0" t="str">
        <f aca="false">"7.1 %"</f>
        <v>7.1 %</v>
      </c>
      <c r="O2586" s="0" t="s">
        <v>9015</v>
      </c>
    </row>
    <row r="2587" customFormat="false" ht="13.8" hidden="false" customHeight="false" outlineLevel="0" collapsed="false">
      <c r="A2587" s="0" t="s">
        <v>9013</v>
      </c>
      <c r="D2587" s="0" t="s">
        <v>9016</v>
      </c>
      <c r="F2587" s="0" t="s">
        <v>9017</v>
      </c>
      <c r="G2587" s="0" t="n">
        <v>1</v>
      </c>
      <c r="H2587" s="0" t="s">
        <v>27</v>
      </c>
      <c r="J2587" s="0" t="s">
        <v>28</v>
      </c>
      <c r="O2587" s="0" t="s">
        <v>9018</v>
      </c>
    </row>
    <row r="2588" customFormat="false" ht="13.8" hidden="false" customHeight="false" outlineLevel="0" collapsed="false">
      <c r="A2588" s="0" t="s">
        <v>9019</v>
      </c>
      <c r="D2588" s="0" t="s">
        <v>9020</v>
      </c>
      <c r="F2588" s="0" t="s">
        <v>9021</v>
      </c>
      <c r="G2588" s="0" t="n">
        <v>1</v>
      </c>
      <c r="H2588" s="0" t="s">
        <v>76</v>
      </c>
      <c r="J2588" s="0" t="s">
        <v>77</v>
      </c>
      <c r="M2588" s="0" t="str">
        <f aca="false">"12.77 mA cm^{-2}"</f>
        <v>12.77 mA cm^{-2}</v>
      </c>
      <c r="O2588" s="0" t="s">
        <v>9022</v>
      </c>
    </row>
    <row r="2589" customFormat="false" ht="13.8" hidden="false" customHeight="false" outlineLevel="0" collapsed="false">
      <c r="A2589" s="0" t="s">
        <v>9019</v>
      </c>
      <c r="D2589" s="0" t="s">
        <v>9023</v>
      </c>
      <c r="F2589" s="0" t="s">
        <v>9024</v>
      </c>
      <c r="G2589" s="0" t="n">
        <v>1</v>
      </c>
      <c r="H2589" s="0" t="s">
        <v>76</v>
      </c>
      <c r="J2589" s="0" t="s">
        <v>77</v>
      </c>
      <c r="K2589" s="0" t="str">
        <f aca="false">"7.14 %"</f>
        <v>7.14 %</v>
      </c>
      <c r="L2589" s="0" t="str">
        <f aca="false">"0.80 V"</f>
        <v>0.80 V</v>
      </c>
      <c r="N2589" s="0" t="str">
        <f aca="false">"68.99 %"</f>
        <v>68.99 %</v>
      </c>
      <c r="O2589" s="0" t="s">
        <v>9025</v>
      </c>
    </row>
    <row r="2590" customFormat="false" ht="13.8" hidden="false" customHeight="false" outlineLevel="0" collapsed="false">
      <c r="A2590" s="0" t="s">
        <v>9026</v>
      </c>
      <c r="D2590" s="0" t="s">
        <v>9027</v>
      </c>
      <c r="F2590" s="0" t="s">
        <v>40</v>
      </c>
      <c r="G2590" s="0" t="n">
        <v>0</v>
      </c>
      <c r="H2590" s="0" t="s">
        <v>9027</v>
      </c>
      <c r="J2590" s="0" t="s">
        <v>40</v>
      </c>
      <c r="K2590" s="0" t="str">
        <f aca="false">"0.9 %"</f>
        <v>0.9 %</v>
      </c>
      <c r="O2590" s="0" t="s">
        <v>9028</v>
      </c>
    </row>
    <row r="2591" customFormat="false" ht="13.8" hidden="false" customHeight="false" outlineLevel="0" collapsed="false">
      <c r="A2591" s="0" t="s">
        <v>9026</v>
      </c>
      <c r="D2591" s="0" t="s">
        <v>9027</v>
      </c>
      <c r="F2591" s="0" t="s">
        <v>40</v>
      </c>
      <c r="G2591" s="0" t="n">
        <v>0</v>
      </c>
      <c r="H2591" s="0" t="s">
        <v>9029</v>
      </c>
      <c r="J2591" s="0" t="s">
        <v>40</v>
      </c>
      <c r="K2591" s="0" t="str">
        <f aca="false">"3.2 %"</f>
        <v>3.2 %</v>
      </c>
      <c r="O2591" s="0" t="s">
        <v>9030</v>
      </c>
    </row>
    <row r="2592" customFormat="false" ht="13.8" hidden="false" customHeight="false" outlineLevel="0" collapsed="false">
      <c r="A2592" s="0" t="s">
        <v>9031</v>
      </c>
      <c r="D2592" s="0" t="s">
        <v>16</v>
      </c>
      <c r="E2592" s="0" t="s">
        <v>17</v>
      </c>
      <c r="F2592" s="0" t="s">
        <v>116</v>
      </c>
      <c r="G2592" s="0" t="n">
        <v>1</v>
      </c>
      <c r="H2592" s="0" t="s">
        <v>33</v>
      </c>
      <c r="J2592" s="0" t="s">
        <v>34</v>
      </c>
      <c r="K2592" s="0" t="str">
        <f aca="false">"5.1 %"</f>
        <v>5.1 %</v>
      </c>
      <c r="O2592" s="0" t="s">
        <v>9032</v>
      </c>
    </row>
    <row r="2593" customFormat="false" ht="13.8" hidden="false" customHeight="false" outlineLevel="0" collapsed="false">
      <c r="A2593" s="0" t="s">
        <v>9033</v>
      </c>
      <c r="D2593" s="0" t="s">
        <v>599</v>
      </c>
      <c r="E2593" s="0" t="s">
        <v>600</v>
      </c>
      <c r="F2593" s="0" t="s">
        <v>601</v>
      </c>
      <c r="G2593" s="0" t="n">
        <v>1</v>
      </c>
      <c r="H2593" s="0" t="s">
        <v>76</v>
      </c>
      <c r="J2593" s="0" t="s">
        <v>40</v>
      </c>
      <c r="K2593" s="0" t="str">
        <f aca="false">"5.98 %"</f>
        <v>5.98 %</v>
      </c>
      <c r="M2593" s="0" t="str">
        <f aca="false">"11.8-13.1 mA cm^{-2}"</f>
        <v>11.8-13.1 mA cm^{-2}</v>
      </c>
      <c r="N2593" s="0" t="str">
        <f aca="false">"0.54-0.68"</f>
        <v>0.54-0.68</v>
      </c>
      <c r="O2593" s="0" t="s">
        <v>9034</v>
      </c>
    </row>
    <row r="2594" customFormat="false" ht="13.8" hidden="false" customHeight="false" outlineLevel="0" collapsed="false">
      <c r="A2594" s="0" t="s">
        <v>9035</v>
      </c>
      <c r="D2594" s="0" t="s">
        <v>9036</v>
      </c>
      <c r="F2594" s="0" t="s">
        <v>9037</v>
      </c>
      <c r="G2594" s="0" t="n">
        <v>0</v>
      </c>
      <c r="H2594" s="0" t="s">
        <v>8829</v>
      </c>
      <c r="I2594" s="0" t="s">
        <v>5041</v>
      </c>
      <c r="J2594" s="0" t="s">
        <v>8830</v>
      </c>
      <c r="K2594" s="0" t="str">
        <f aca="false">"15.10 %"</f>
        <v>15.10 %</v>
      </c>
      <c r="O2594" s="0" t="s">
        <v>9038</v>
      </c>
    </row>
    <row r="2595" customFormat="false" ht="13.8" hidden="false" customHeight="false" outlineLevel="0" collapsed="false">
      <c r="A2595" s="0" t="s">
        <v>9039</v>
      </c>
      <c r="C2595" s="0" t="n">
        <v>1</v>
      </c>
      <c r="D2595" s="0" t="s">
        <v>1116</v>
      </c>
      <c r="E2595" s="0" t="s">
        <v>1117</v>
      </c>
      <c r="F2595" s="0" t="s">
        <v>1118</v>
      </c>
      <c r="G2595" s="0" t="n">
        <v>0</v>
      </c>
      <c r="H2595" s="0" t="s">
        <v>5040</v>
      </c>
      <c r="I2595" s="0" t="s">
        <v>5041</v>
      </c>
      <c r="J2595" s="0" t="s">
        <v>5042</v>
      </c>
      <c r="K2595" s="0" t="str">
        <f aca="false">"26.4 %"</f>
        <v>26.4 %</v>
      </c>
      <c r="O2595" s="0" t="s">
        <v>9040</v>
      </c>
    </row>
    <row r="2596" customFormat="false" ht="13.8" hidden="false" customHeight="false" outlineLevel="0" collapsed="false">
      <c r="A2596" s="0" t="s">
        <v>9041</v>
      </c>
      <c r="D2596" s="0" t="s">
        <v>599</v>
      </c>
      <c r="E2596" s="0" t="s">
        <v>600</v>
      </c>
      <c r="F2596" s="0" t="s">
        <v>601</v>
      </c>
      <c r="G2596" s="0" t="n">
        <v>0</v>
      </c>
      <c r="H2596" s="0" t="s">
        <v>9042</v>
      </c>
      <c r="J2596" s="0" t="s">
        <v>9043</v>
      </c>
      <c r="L2596" s="0" t="str">
        <f aca="false">"0.93 V"</f>
        <v>0.93 V</v>
      </c>
      <c r="O2596" s="0" t="s">
        <v>9044</v>
      </c>
    </row>
    <row r="2597" customFormat="false" ht="13.8" hidden="false" customHeight="false" outlineLevel="0" collapsed="false">
      <c r="A2597" s="0" t="s">
        <v>9041</v>
      </c>
      <c r="D2597" s="0" t="s">
        <v>599</v>
      </c>
      <c r="E2597" s="0" t="s">
        <v>600</v>
      </c>
      <c r="F2597" s="0" t="s">
        <v>601</v>
      </c>
      <c r="G2597" s="0" t="n">
        <v>0</v>
      </c>
      <c r="H2597" s="0" t="s">
        <v>9045</v>
      </c>
      <c r="J2597" s="0" t="s">
        <v>9046</v>
      </c>
      <c r="K2597" s="0" t="str">
        <f aca="false">"8.72 %"</f>
        <v>8.72 %</v>
      </c>
      <c r="L2597" s="0" t="str">
        <f aca="false">"1.06 V"</f>
        <v>1.06 V</v>
      </c>
      <c r="O2597" s="0" t="s">
        <v>9047</v>
      </c>
    </row>
    <row r="2598" customFormat="false" ht="13.8" hidden="false" customHeight="false" outlineLevel="0" collapsed="false">
      <c r="A2598" s="0" t="s">
        <v>9048</v>
      </c>
      <c r="C2598" s="0" t="n">
        <v>1</v>
      </c>
      <c r="D2598" s="0" t="s">
        <v>1116</v>
      </c>
      <c r="E2598" s="0" t="s">
        <v>1117</v>
      </c>
      <c r="F2598" s="0" t="s">
        <v>1118</v>
      </c>
      <c r="G2598" s="0" t="n">
        <v>0</v>
      </c>
      <c r="H2598" s="0" t="s">
        <v>5040</v>
      </c>
      <c r="I2598" s="0" t="s">
        <v>5041</v>
      </c>
      <c r="J2598" s="0" t="s">
        <v>5042</v>
      </c>
      <c r="K2598" s="0" t="str">
        <f aca="false">"18 %"</f>
        <v>18 %</v>
      </c>
      <c r="O2598" s="0" t="s">
        <v>9049</v>
      </c>
    </row>
    <row r="2599" customFormat="false" ht="13.8" hidden="false" customHeight="false" outlineLevel="0" collapsed="false">
      <c r="A2599" s="0" t="s">
        <v>9050</v>
      </c>
      <c r="D2599" s="0" t="s">
        <v>9051</v>
      </c>
      <c r="F2599" s="0" t="s">
        <v>9052</v>
      </c>
      <c r="G2599" s="0" t="n">
        <v>0</v>
      </c>
      <c r="H2599" s="0" t="s">
        <v>9053</v>
      </c>
      <c r="J2599" s="0" t="s">
        <v>40</v>
      </c>
      <c r="K2599" s="0" t="str">
        <f aca="false">"13.8 %"</f>
        <v>13.8 %</v>
      </c>
      <c r="O2599" s="0" t="s">
        <v>9054</v>
      </c>
    </row>
    <row r="2600" customFormat="false" ht="13.8" hidden="false" customHeight="false" outlineLevel="0" collapsed="false">
      <c r="A2600" s="0" t="s">
        <v>9055</v>
      </c>
      <c r="D2600" s="0" t="s">
        <v>9056</v>
      </c>
      <c r="F2600" s="0" t="s">
        <v>9057</v>
      </c>
      <c r="G2600" s="0" t="n">
        <v>0</v>
      </c>
      <c r="H2600" s="0" t="s">
        <v>9058</v>
      </c>
      <c r="J2600" s="0" t="s">
        <v>9059</v>
      </c>
      <c r="K2600" s="0" t="str">
        <f aca="false">"15 %"</f>
        <v>15 %</v>
      </c>
      <c r="O2600" s="0" t="s">
        <v>9060</v>
      </c>
    </row>
    <row r="2601" customFormat="false" ht="13.8" hidden="false" customHeight="false" outlineLevel="0" collapsed="false">
      <c r="A2601" s="0" t="s">
        <v>9061</v>
      </c>
      <c r="D2601" s="0" t="s">
        <v>9062</v>
      </c>
      <c r="F2601" s="0" t="s">
        <v>9063</v>
      </c>
      <c r="G2601" s="0" t="n">
        <v>0</v>
      </c>
      <c r="H2601" s="0" t="s">
        <v>9064</v>
      </c>
      <c r="I2601" s="0" t="s">
        <v>9065</v>
      </c>
      <c r="J2601" s="0" t="s">
        <v>9066</v>
      </c>
      <c r="K2601" s="0" t="str">
        <f aca="false">"13.96 %"</f>
        <v>13.96 %</v>
      </c>
      <c r="O2601" s="0" t="s">
        <v>9067</v>
      </c>
    </row>
    <row r="2602" customFormat="false" ht="13.8" hidden="false" customHeight="false" outlineLevel="0" collapsed="false">
      <c r="A2602" s="0" t="s">
        <v>9061</v>
      </c>
      <c r="F2602" s="0" t="s">
        <v>40</v>
      </c>
      <c r="G2602" s="0" t="n">
        <v>0</v>
      </c>
      <c r="H2602" s="0" t="s">
        <v>9064</v>
      </c>
      <c r="I2602" s="0" t="s">
        <v>9065</v>
      </c>
      <c r="J2602" s="0" t="s">
        <v>9066</v>
      </c>
      <c r="K2602" s="0" t="str">
        <f aca="false">"9.63 %"</f>
        <v>9.63 %</v>
      </c>
      <c r="O2602" s="0" t="s">
        <v>9068</v>
      </c>
    </row>
    <row r="2603" customFormat="false" ht="13.8" hidden="false" customHeight="false" outlineLevel="0" collapsed="false">
      <c r="A2603" s="0" t="s">
        <v>9069</v>
      </c>
      <c r="D2603" s="0" t="s">
        <v>16</v>
      </c>
      <c r="E2603" s="0" t="s">
        <v>17</v>
      </c>
      <c r="F2603" s="0" t="s">
        <v>116</v>
      </c>
      <c r="G2603" s="0" t="n">
        <v>0</v>
      </c>
      <c r="H2603" s="0" t="s">
        <v>9070</v>
      </c>
      <c r="J2603" s="0" t="s">
        <v>9071</v>
      </c>
      <c r="K2603" s="0" t="str">
        <f aca="false">"2.86 %"</f>
        <v>2.86 %</v>
      </c>
      <c r="O2603" s="0" t="s">
        <v>9072</v>
      </c>
    </row>
    <row r="2604" customFormat="false" ht="13.8" hidden="false" customHeight="false" outlineLevel="0" collapsed="false">
      <c r="A2604" s="0" t="s">
        <v>9069</v>
      </c>
      <c r="D2604" s="0" t="s">
        <v>201</v>
      </c>
      <c r="E2604" s="0" t="s">
        <v>202</v>
      </c>
      <c r="F2604" s="0" t="s">
        <v>422</v>
      </c>
      <c r="G2604" s="0" t="n">
        <v>0</v>
      </c>
      <c r="H2604" s="0" t="s">
        <v>9070</v>
      </c>
      <c r="J2604" s="0" t="s">
        <v>9071</v>
      </c>
      <c r="K2604" s="0" t="str">
        <f aca="false">"6.13 %"</f>
        <v>6.13 %</v>
      </c>
      <c r="O2604" s="0" t="s">
        <v>9073</v>
      </c>
    </row>
    <row r="2605" customFormat="false" ht="13.8" hidden="false" customHeight="false" outlineLevel="0" collapsed="false">
      <c r="A2605" s="0" t="s">
        <v>9074</v>
      </c>
      <c r="D2605" s="0" t="s">
        <v>16</v>
      </c>
      <c r="E2605" s="0" t="s">
        <v>17</v>
      </c>
      <c r="F2605" s="0" t="s">
        <v>3521</v>
      </c>
      <c r="G2605" s="0" t="n">
        <v>0</v>
      </c>
      <c r="H2605" s="0" t="s">
        <v>9075</v>
      </c>
      <c r="J2605" s="0" t="s">
        <v>9076</v>
      </c>
      <c r="K2605" s="0" t="str">
        <f aca="false">"6.12 %"</f>
        <v>6.12 %</v>
      </c>
      <c r="L2605" s="0" t="str">
        <f aca="false">"0.759 V"</f>
        <v>0.759 V</v>
      </c>
      <c r="O2605" s="0" t="s">
        <v>9077</v>
      </c>
    </row>
    <row r="2606" customFormat="false" ht="13.8" hidden="false" customHeight="false" outlineLevel="0" collapsed="false">
      <c r="A2606" s="0" t="s">
        <v>9074</v>
      </c>
      <c r="D2606" s="0" t="s">
        <v>16</v>
      </c>
      <c r="E2606" s="0" t="s">
        <v>17</v>
      </c>
      <c r="F2606" s="0" t="s">
        <v>3521</v>
      </c>
      <c r="G2606" s="0" t="n">
        <v>0</v>
      </c>
      <c r="H2606" s="0" t="s">
        <v>6642</v>
      </c>
      <c r="J2606" s="0" t="s">
        <v>9078</v>
      </c>
      <c r="L2606" s="0" t="str">
        <f aca="false">"0.685 V"</f>
        <v>0.685 V</v>
      </c>
      <c r="O2606" s="0" t="s">
        <v>9079</v>
      </c>
    </row>
    <row r="2607" customFormat="false" ht="13.8" hidden="false" customHeight="false" outlineLevel="0" collapsed="false">
      <c r="A2607" s="0" t="s">
        <v>9080</v>
      </c>
      <c r="D2607" s="0" t="s">
        <v>9081</v>
      </c>
      <c r="E2607" s="0" t="s">
        <v>9082</v>
      </c>
      <c r="F2607" s="0" t="s">
        <v>9083</v>
      </c>
      <c r="G2607" s="0" t="n">
        <v>0</v>
      </c>
      <c r="H2607" s="0" t="s">
        <v>9081</v>
      </c>
      <c r="I2607" s="0" t="s">
        <v>9082</v>
      </c>
      <c r="J2607" s="0" t="s">
        <v>9083</v>
      </c>
      <c r="K2607" s="0" t="str">
        <f aca="false">"14.25 %"</f>
        <v>14.25 %</v>
      </c>
      <c r="N2607" s="0" t="str">
        <f aca="false">"67.46 %"</f>
        <v>67.46 %</v>
      </c>
      <c r="O2607" s="0" t="s">
        <v>9084</v>
      </c>
    </row>
    <row r="2608" customFormat="false" ht="13.8" hidden="false" customHeight="false" outlineLevel="0" collapsed="false">
      <c r="A2608" s="0" t="s">
        <v>9085</v>
      </c>
      <c r="D2608" s="0" t="s">
        <v>678</v>
      </c>
      <c r="E2608" s="0" t="s">
        <v>679</v>
      </c>
      <c r="F2608" s="0" t="s">
        <v>9086</v>
      </c>
      <c r="G2608" s="0" t="n">
        <v>0</v>
      </c>
      <c r="H2608" s="0" t="s">
        <v>1587</v>
      </c>
      <c r="J2608" s="0" t="s">
        <v>1589</v>
      </c>
      <c r="K2608" s="0" t="str">
        <f aca="false">"6.93 %"</f>
        <v>6.93 %</v>
      </c>
      <c r="O2608" s="0" t="s">
        <v>9087</v>
      </c>
    </row>
    <row r="2609" customFormat="false" ht="13.8" hidden="false" customHeight="false" outlineLevel="0" collapsed="false">
      <c r="A2609" s="0" t="s">
        <v>9088</v>
      </c>
      <c r="D2609" s="0" t="s">
        <v>1047</v>
      </c>
      <c r="E2609" s="0" t="s">
        <v>600</v>
      </c>
      <c r="F2609" s="0" t="s">
        <v>6436</v>
      </c>
      <c r="G2609" s="0" t="n">
        <v>0</v>
      </c>
      <c r="H2609" s="0" t="s">
        <v>163</v>
      </c>
      <c r="I2609" s="0" t="s">
        <v>164</v>
      </c>
      <c r="J2609" s="0" t="s">
        <v>165</v>
      </c>
      <c r="K2609" s="0" t="str">
        <f aca="false">"10.36 %"</f>
        <v>10.36 %</v>
      </c>
      <c r="O2609" s="0" t="s">
        <v>9089</v>
      </c>
    </row>
    <row r="2610" customFormat="false" ht="13.8" hidden="false" customHeight="false" outlineLevel="0" collapsed="false">
      <c r="A2610" s="0" t="s">
        <v>9090</v>
      </c>
      <c r="D2610" s="0" t="s">
        <v>9091</v>
      </c>
      <c r="F2610" s="0" t="s">
        <v>9092</v>
      </c>
      <c r="G2610" s="0" t="n">
        <v>0</v>
      </c>
      <c r="H2610" s="0" t="s">
        <v>9093</v>
      </c>
      <c r="J2610" s="0" t="s">
        <v>9094</v>
      </c>
      <c r="K2610" s="0" t="str">
        <f aca="false">"5.00 %"</f>
        <v>5.00 %</v>
      </c>
      <c r="O2610" s="0" t="s">
        <v>9095</v>
      </c>
    </row>
    <row r="2611" customFormat="false" ht="13.8" hidden="false" customHeight="false" outlineLevel="0" collapsed="false">
      <c r="A2611" s="0" t="s">
        <v>9096</v>
      </c>
      <c r="D2611" s="0" t="s">
        <v>599</v>
      </c>
      <c r="E2611" s="0" t="s">
        <v>600</v>
      </c>
      <c r="F2611" s="0" t="s">
        <v>9097</v>
      </c>
      <c r="G2611" s="0" t="n">
        <v>0</v>
      </c>
      <c r="H2611" s="0" t="s">
        <v>9098</v>
      </c>
      <c r="J2611" s="0" t="s">
        <v>40</v>
      </c>
      <c r="K2611" s="0" t="str">
        <f aca="false">"6.80 %"</f>
        <v>6.80 %</v>
      </c>
      <c r="O2611" s="0" t="s">
        <v>9099</v>
      </c>
    </row>
    <row r="2612" customFormat="false" ht="13.8" hidden="false" customHeight="false" outlineLevel="0" collapsed="false">
      <c r="A2612" s="0" t="s">
        <v>9100</v>
      </c>
      <c r="D2612" s="0" t="s">
        <v>1116</v>
      </c>
      <c r="E2612" s="0" t="s">
        <v>1117</v>
      </c>
      <c r="F2612" s="0" t="s">
        <v>1118</v>
      </c>
      <c r="G2612" s="0" t="n">
        <v>0</v>
      </c>
      <c r="H2612" s="0" t="s">
        <v>9101</v>
      </c>
      <c r="J2612" s="0" t="s">
        <v>9102</v>
      </c>
      <c r="K2612" s="0" t="str">
        <f aca="false">"13.4 %"</f>
        <v>13.4 %</v>
      </c>
      <c r="L2612" s="0" t="str">
        <f aca="false">"0.87 V"</f>
        <v>0.87 V</v>
      </c>
      <c r="N2612" s="0" t="str">
        <f aca="false">"67.7 %"</f>
        <v>67.7 %</v>
      </c>
      <c r="O2612" s="0" t="s">
        <v>9103</v>
      </c>
    </row>
    <row r="2613" customFormat="false" ht="13.8" hidden="false" customHeight="false" outlineLevel="0" collapsed="false">
      <c r="A2613" s="0" t="s">
        <v>9100</v>
      </c>
      <c r="D2613" s="0" t="s">
        <v>1116</v>
      </c>
      <c r="E2613" s="0" t="s">
        <v>1117</v>
      </c>
      <c r="F2613" s="0" t="s">
        <v>1118</v>
      </c>
      <c r="G2613" s="0" t="n">
        <v>0</v>
      </c>
      <c r="H2613" s="0" t="s">
        <v>9104</v>
      </c>
      <c r="J2613" s="0" t="s">
        <v>9105</v>
      </c>
      <c r="M2613" s="0" t="str">
        <f aca="false">"22.8 mA cm^{-2}"</f>
        <v>22.8 mA cm^{-2}</v>
      </c>
      <c r="O2613" s="0" t="s">
        <v>9106</v>
      </c>
    </row>
    <row r="2614" customFormat="false" ht="13.8" hidden="false" customHeight="false" outlineLevel="0" collapsed="false">
      <c r="A2614" s="0" t="s">
        <v>9107</v>
      </c>
      <c r="B2614" s="0" t="n">
        <v>1</v>
      </c>
      <c r="D2614" s="0" t="s">
        <v>461</v>
      </c>
      <c r="E2614" s="0" t="s">
        <v>462</v>
      </c>
      <c r="F2614" s="0" t="s">
        <v>463</v>
      </c>
      <c r="G2614" s="0" t="n">
        <v>0</v>
      </c>
      <c r="H2614" s="0" t="s">
        <v>1121</v>
      </c>
      <c r="I2614" s="0" t="s">
        <v>225</v>
      </c>
      <c r="J2614" s="0" t="s">
        <v>1122</v>
      </c>
      <c r="K2614" s="0" t="str">
        <f aca="false">"8.73 %"</f>
        <v>8.73 %</v>
      </c>
      <c r="O2614" s="0" t="s">
        <v>9108</v>
      </c>
    </row>
    <row r="2615" customFormat="false" ht="13.8" hidden="false" customHeight="false" outlineLevel="0" collapsed="false">
      <c r="A2615" s="0" t="s">
        <v>9109</v>
      </c>
      <c r="D2615" s="0" t="s">
        <v>9110</v>
      </c>
      <c r="F2615" s="0" t="s">
        <v>9111</v>
      </c>
      <c r="G2615" s="0" t="n">
        <v>0</v>
      </c>
      <c r="H2615" s="0" t="s">
        <v>7236</v>
      </c>
      <c r="I2615" s="0" t="s">
        <v>7237</v>
      </c>
      <c r="J2615" s="0" t="s">
        <v>7238</v>
      </c>
      <c r="K2615" s="0" t="str">
        <f aca="false">"12.59 %"</f>
        <v>12.59 %</v>
      </c>
      <c r="O2615" s="0" t="s">
        <v>9112</v>
      </c>
    </row>
    <row r="2616" customFormat="false" ht="13.8" hidden="false" customHeight="false" outlineLevel="0" collapsed="false">
      <c r="A2616" s="0" t="s">
        <v>9109</v>
      </c>
      <c r="D2616" s="0" t="s">
        <v>9113</v>
      </c>
      <c r="F2616" s="0" t="s">
        <v>9114</v>
      </c>
      <c r="G2616" s="0" t="n">
        <v>0</v>
      </c>
      <c r="H2616" s="0" t="s">
        <v>7236</v>
      </c>
      <c r="I2616" s="0" t="s">
        <v>7237</v>
      </c>
      <c r="J2616" s="0" t="s">
        <v>7238</v>
      </c>
      <c r="K2616" s="0" t="str">
        <f aca="false">"11.10 %"</f>
        <v>11.10 %</v>
      </c>
      <c r="M2616" s="0" t="str">
        <f aca="false">"17.07 mA cm^{-2}"</f>
        <v>17.07 mA cm^{-2}</v>
      </c>
      <c r="O2616" s="0" t="s">
        <v>9115</v>
      </c>
    </row>
    <row r="2617" customFormat="false" ht="13.8" hidden="false" customHeight="false" outlineLevel="0" collapsed="false">
      <c r="A2617" s="0" t="s">
        <v>9116</v>
      </c>
      <c r="D2617" s="0" t="s">
        <v>1116</v>
      </c>
      <c r="E2617" s="0" t="s">
        <v>1117</v>
      </c>
      <c r="F2617" s="0" t="s">
        <v>1118</v>
      </c>
      <c r="G2617" s="0" t="n">
        <v>1</v>
      </c>
      <c r="H2617" s="0" t="s">
        <v>27</v>
      </c>
      <c r="J2617" s="0" t="s">
        <v>28</v>
      </c>
      <c r="K2617" s="0" t="str">
        <f aca="false">"11.17 %"</f>
        <v>11.17 %</v>
      </c>
      <c r="L2617" s="0" t="str">
        <f aca="false">"1.00 V"</f>
        <v>1.00 V</v>
      </c>
      <c r="O2617" s="0" t="s">
        <v>9117</v>
      </c>
    </row>
    <row r="2618" customFormat="false" ht="13.8" hidden="false" customHeight="false" outlineLevel="0" collapsed="false">
      <c r="A2618" s="0" t="s">
        <v>9118</v>
      </c>
      <c r="D2618" s="0" t="s">
        <v>9119</v>
      </c>
      <c r="F2618" s="0" t="s">
        <v>9120</v>
      </c>
      <c r="G2618" s="0" t="n">
        <v>1</v>
      </c>
      <c r="H2618" s="0" t="s">
        <v>27</v>
      </c>
      <c r="J2618" s="0" t="s">
        <v>28</v>
      </c>
      <c r="K2618" s="0" t="str">
        <f aca="false">"5.0 %"</f>
        <v>5.0 %</v>
      </c>
      <c r="O2618" s="0" t="s">
        <v>9121</v>
      </c>
    </row>
    <row r="2619" customFormat="false" ht="13.8" hidden="false" customHeight="false" outlineLevel="0" collapsed="false">
      <c r="A2619" s="0" t="s">
        <v>9118</v>
      </c>
      <c r="F2619" s="0" t="s">
        <v>40</v>
      </c>
      <c r="G2619" s="0" t="n">
        <v>1</v>
      </c>
      <c r="H2619" s="0" t="s">
        <v>27</v>
      </c>
      <c r="J2619" s="0" t="s">
        <v>28</v>
      </c>
      <c r="L2619" s="0" t="str">
        <f aca="false">"0.93 V"</f>
        <v>0.93 V</v>
      </c>
      <c r="M2619" s="0" t="str">
        <f aca="false">"9.9 mA cm^{-2}"</f>
        <v>9.9 mA cm^{-2}</v>
      </c>
      <c r="N2619" s="0" t="str">
        <f aca="false">"0.53"</f>
        <v>0.53</v>
      </c>
      <c r="O2619" s="0" t="s">
        <v>9122</v>
      </c>
    </row>
    <row r="2620" customFormat="false" ht="13.8" hidden="false" customHeight="false" outlineLevel="0" collapsed="false">
      <c r="A2620" s="0" t="s">
        <v>9123</v>
      </c>
      <c r="D2620" s="0" t="s">
        <v>9124</v>
      </c>
      <c r="F2620" s="0" t="s">
        <v>9125</v>
      </c>
      <c r="G2620" s="0" t="n">
        <v>1</v>
      </c>
      <c r="H2620" s="0" t="s">
        <v>76</v>
      </c>
      <c r="J2620" s="0" t="s">
        <v>77</v>
      </c>
      <c r="K2620" s="0" t="str">
        <f aca="false">"5.0 %"</f>
        <v>5.0 %</v>
      </c>
      <c r="O2620" s="0" t="s">
        <v>9126</v>
      </c>
    </row>
    <row r="2621" customFormat="false" ht="13.8" hidden="false" customHeight="false" outlineLevel="0" collapsed="false">
      <c r="A2621" s="0" t="s">
        <v>9127</v>
      </c>
      <c r="D2621" s="0" t="s">
        <v>85</v>
      </c>
      <c r="E2621" s="0" t="s">
        <v>86</v>
      </c>
      <c r="F2621" s="0" t="s">
        <v>9128</v>
      </c>
      <c r="G2621" s="0" t="n">
        <v>1</v>
      </c>
      <c r="H2621" s="0" t="s">
        <v>758</v>
      </c>
      <c r="J2621" s="0" t="s">
        <v>759</v>
      </c>
      <c r="K2621" s="0" t="str">
        <f aca="false">"~8.59 %"</f>
        <v>~8.59 %</v>
      </c>
      <c r="O2621" s="0" t="s">
        <v>9129</v>
      </c>
    </row>
    <row r="2622" customFormat="false" ht="13.8" hidden="false" customHeight="false" outlineLevel="0" collapsed="false">
      <c r="A2622" s="0" t="s">
        <v>9130</v>
      </c>
      <c r="D2622" s="0" t="s">
        <v>16</v>
      </c>
      <c r="E2622" s="0" t="s">
        <v>17</v>
      </c>
      <c r="F2622" s="0" t="s">
        <v>1351</v>
      </c>
      <c r="G2622" s="0" t="n">
        <v>1</v>
      </c>
      <c r="H2622" s="0" t="s">
        <v>33</v>
      </c>
      <c r="J2622" s="0" t="s">
        <v>34</v>
      </c>
      <c r="K2622" s="0" t="str">
        <f aca="false">"13.17 %"</f>
        <v>13.17 %</v>
      </c>
      <c r="L2622" s="0" t="str">
        <f aca="false">"0.60 V"</f>
        <v>0.60 V</v>
      </c>
      <c r="M2622" s="0" t="str">
        <f aca="false">"10.86 mA/cm^{2}"</f>
        <v>10.86 mA/cm^{2}</v>
      </c>
      <c r="N2622" s="0" t="str">
        <f aca="false">"64.68 %"</f>
        <v>64.68 %</v>
      </c>
      <c r="O2622" s="0" t="s">
        <v>9131</v>
      </c>
    </row>
    <row r="2623" customFormat="false" ht="13.8" hidden="false" customHeight="false" outlineLevel="0" collapsed="false">
      <c r="A2623" s="0" t="s">
        <v>9132</v>
      </c>
      <c r="D2623" s="0" t="s">
        <v>924</v>
      </c>
      <c r="E2623" s="0" t="s">
        <v>925</v>
      </c>
      <c r="F2623" s="0" t="s">
        <v>926</v>
      </c>
      <c r="G2623" s="0" t="n">
        <v>1</v>
      </c>
      <c r="H2623" s="0" t="s">
        <v>33</v>
      </c>
      <c r="J2623" s="0" t="s">
        <v>34</v>
      </c>
      <c r="K2623" s="0" t="str">
        <f aca="false">"~ 0.5 %"</f>
        <v>~ 0.5 %</v>
      </c>
      <c r="O2623" s="0" t="s">
        <v>9133</v>
      </c>
    </row>
    <row r="2624" customFormat="false" ht="13.8" hidden="false" customHeight="false" outlineLevel="0" collapsed="false">
      <c r="A2624" s="0" t="s">
        <v>9134</v>
      </c>
      <c r="D2624" s="0" t="s">
        <v>208</v>
      </c>
      <c r="E2624" s="0" t="s">
        <v>17</v>
      </c>
      <c r="F2624" s="0" t="s">
        <v>209</v>
      </c>
      <c r="G2624" s="0" t="n">
        <v>1</v>
      </c>
      <c r="H2624" s="0" t="s">
        <v>76</v>
      </c>
      <c r="J2624" s="0" t="s">
        <v>77</v>
      </c>
      <c r="K2624" s="0" t="str">
        <f aca="false">"2.50 %"</f>
        <v>2.50 %</v>
      </c>
      <c r="M2624" s="0" t="str">
        <f aca="false">"18.9 mA/cm^{2}"</f>
        <v>18.9 mA/cm^{2}</v>
      </c>
      <c r="O2624" s="0" t="s">
        <v>9135</v>
      </c>
    </row>
    <row r="2625" customFormat="false" ht="13.8" hidden="false" customHeight="false" outlineLevel="0" collapsed="false">
      <c r="A2625" s="0" t="s">
        <v>9136</v>
      </c>
      <c r="D2625" s="0" t="s">
        <v>1116</v>
      </c>
      <c r="E2625" s="0" t="s">
        <v>1117</v>
      </c>
      <c r="F2625" s="0" t="s">
        <v>1118</v>
      </c>
      <c r="G2625" s="0" t="n">
        <v>0</v>
      </c>
      <c r="H2625" s="0" t="s">
        <v>9137</v>
      </c>
      <c r="J2625" s="0" t="s">
        <v>9138</v>
      </c>
      <c r="K2625" s="0" t="str">
        <f aca="false">"11.1 %"</f>
        <v>11.1 %</v>
      </c>
      <c r="O2625" s="0" t="s">
        <v>9139</v>
      </c>
    </row>
    <row r="2626" customFormat="false" ht="13.8" hidden="false" customHeight="false" outlineLevel="0" collapsed="false">
      <c r="A2626" s="0" t="s">
        <v>9140</v>
      </c>
      <c r="D2626" s="0" t="s">
        <v>599</v>
      </c>
      <c r="E2626" s="0" t="s">
        <v>600</v>
      </c>
      <c r="F2626" s="0" t="s">
        <v>5474</v>
      </c>
      <c r="G2626" s="0" t="n">
        <v>0</v>
      </c>
      <c r="H2626" s="0" t="s">
        <v>9141</v>
      </c>
      <c r="J2626" s="0" t="s">
        <v>9142</v>
      </c>
      <c r="K2626" s="0" t="str">
        <f aca="false">"7.02 %"</f>
        <v>7.02 %</v>
      </c>
      <c r="O2626" s="0" t="s">
        <v>9143</v>
      </c>
    </row>
    <row r="2627" customFormat="false" ht="13.8" hidden="false" customHeight="false" outlineLevel="0" collapsed="false">
      <c r="A2627" s="0" t="s">
        <v>9144</v>
      </c>
      <c r="C2627" s="0" t="n">
        <v>1</v>
      </c>
      <c r="D2627" s="0" t="s">
        <v>201</v>
      </c>
      <c r="E2627" s="0" t="s">
        <v>202</v>
      </c>
      <c r="F2627" s="0" t="s">
        <v>422</v>
      </c>
      <c r="G2627" s="0" t="n">
        <v>0</v>
      </c>
      <c r="H2627" s="0" t="s">
        <v>8814</v>
      </c>
      <c r="I2627" s="0" t="s">
        <v>8815</v>
      </c>
      <c r="J2627" s="0" t="s">
        <v>8816</v>
      </c>
      <c r="K2627" s="0" t="str">
        <f aca="false">"12.1 %"</f>
        <v>12.1 %</v>
      </c>
      <c r="M2627" s="0" t="str">
        <f aca="false">"21.9 mA cm^{-2}"</f>
        <v>21.9 mA cm^{-2}</v>
      </c>
      <c r="O2627" s="0" t="s">
        <v>9145</v>
      </c>
    </row>
    <row r="2628" customFormat="false" ht="13.8" hidden="false" customHeight="false" outlineLevel="0" collapsed="false">
      <c r="A2628" s="0" t="s">
        <v>9146</v>
      </c>
      <c r="D2628" s="0" t="s">
        <v>9147</v>
      </c>
      <c r="E2628" s="0" t="s">
        <v>9148</v>
      </c>
      <c r="F2628" s="0" t="s">
        <v>9149</v>
      </c>
      <c r="G2628" s="0" t="n">
        <v>1</v>
      </c>
      <c r="H2628" s="0" t="s">
        <v>27</v>
      </c>
      <c r="J2628" s="0" t="s">
        <v>28</v>
      </c>
      <c r="K2628" s="0" t="str">
        <f aca="false">"18 %"</f>
        <v>18 %</v>
      </c>
      <c r="O2628" s="0" t="s">
        <v>9150</v>
      </c>
    </row>
    <row r="2629" customFormat="false" ht="13.8" hidden="false" customHeight="false" outlineLevel="0" collapsed="false">
      <c r="A2629" s="0" t="s">
        <v>9151</v>
      </c>
      <c r="D2629" s="0" t="s">
        <v>9152</v>
      </c>
      <c r="F2629" s="0" t="s">
        <v>9153</v>
      </c>
      <c r="G2629" s="0" t="n">
        <v>0</v>
      </c>
      <c r="H2629" s="0" t="s">
        <v>9154</v>
      </c>
      <c r="J2629" s="0" t="s">
        <v>40</v>
      </c>
      <c r="K2629" s="0" t="str">
        <f aca="false">"13 %"</f>
        <v>13 %</v>
      </c>
      <c r="O2629" s="0" t="s">
        <v>9155</v>
      </c>
    </row>
    <row r="2630" customFormat="false" ht="13.8" hidden="false" customHeight="false" outlineLevel="0" collapsed="false">
      <c r="A2630" s="0" t="s">
        <v>9151</v>
      </c>
      <c r="D2630" s="0" t="e">
        <f aca="false">- it</f>
        <v>#NAME?</v>
      </c>
      <c r="F2630" s="0" t="s">
        <v>9156</v>
      </c>
      <c r="G2630" s="0" t="n">
        <v>0</v>
      </c>
      <c r="H2630" s="0" t="s">
        <v>9154</v>
      </c>
      <c r="J2630" s="0" t="s">
        <v>40</v>
      </c>
      <c r="K2630" s="0" t="str">
        <f aca="false">"12.12 %"</f>
        <v>12.12 %</v>
      </c>
      <c r="O2630" s="0" t="s">
        <v>9157</v>
      </c>
    </row>
    <row r="2631" customFormat="false" ht="13.8" hidden="false" customHeight="false" outlineLevel="0" collapsed="false">
      <c r="A2631" s="0" t="s">
        <v>9158</v>
      </c>
      <c r="D2631" s="0" t="s">
        <v>9159</v>
      </c>
      <c r="F2631" s="0" t="s">
        <v>9160</v>
      </c>
      <c r="G2631" s="0" t="n">
        <v>0</v>
      </c>
      <c r="H2631" s="0" t="s">
        <v>9161</v>
      </c>
      <c r="I2631" s="0" t="s">
        <v>9162</v>
      </c>
      <c r="J2631" s="0" t="s">
        <v>9163</v>
      </c>
      <c r="K2631" s="0" t="str">
        <f aca="false">"10.06 %"</f>
        <v>10.06 %</v>
      </c>
      <c r="O2631" s="0" t="s">
        <v>9164</v>
      </c>
    </row>
    <row r="2632" customFormat="false" ht="13.8" hidden="false" customHeight="false" outlineLevel="0" collapsed="false">
      <c r="A2632" s="0" t="s">
        <v>9158</v>
      </c>
      <c r="D2632" s="0" t="s">
        <v>9165</v>
      </c>
      <c r="F2632" s="0" t="s">
        <v>9166</v>
      </c>
      <c r="G2632" s="0" t="n">
        <v>0</v>
      </c>
      <c r="H2632" s="0" t="s">
        <v>9161</v>
      </c>
      <c r="I2632" s="0" t="s">
        <v>9162</v>
      </c>
      <c r="J2632" s="0" t="s">
        <v>9163</v>
      </c>
      <c r="K2632" s="0" t="str">
        <f aca="false">"13.35 %"</f>
        <v>13.35 %</v>
      </c>
      <c r="O2632" s="0" t="s">
        <v>9167</v>
      </c>
    </row>
    <row r="2633" customFormat="false" ht="13.8" hidden="false" customHeight="false" outlineLevel="0" collapsed="false">
      <c r="A2633" s="0" t="s">
        <v>9168</v>
      </c>
      <c r="D2633" s="0" t="s">
        <v>1116</v>
      </c>
      <c r="E2633" s="0" t="s">
        <v>1117</v>
      </c>
      <c r="F2633" s="0" t="s">
        <v>1118</v>
      </c>
      <c r="G2633" s="0" t="n">
        <v>0</v>
      </c>
      <c r="H2633" s="0" t="s">
        <v>9169</v>
      </c>
      <c r="J2633" s="0" t="s">
        <v>9170</v>
      </c>
      <c r="K2633" s="0" t="str">
        <f aca="false">"15.2 %"</f>
        <v>15.2 %</v>
      </c>
      <c r="O2633" s="0" t="s">
        <v>9171</v>
      </c>
    </row>
    <row r="2634" customFormat="false" ht="13.8" hidden="false" customHeight="false" outlineLevel="0" collapsed="false">
      <c r="A2634" s="0" t="s">
        <v>9172</v>
      </c>
      <c r="D2634" s="0" t="s">
        <v>599</v>
      </c>
      <c r="E2634" s="0" t="s">
        <v>600</v>
      </c>
      <c r="F2634" s="0" t="s">
        <v>601</v>
      </c>
      <c r="G2634" s="0" t="n">
        <v>0</v>
      </c>
      <c r="H2634" s="0" t="s">
        <v>9173</v>
      </c>
      <c r="J2634" s="0" t="s">
        <v>9174</v>
      </c>
      <c r="K2634" s="0" t="str">
        <f aca="false">"11.51 %"</f>
        <v>11.51 %</v>
      </c>
      <c r="O2634" s="0" t="s">
        <v>9175</v>
      </c>
    </row>
    <row r="2635" customFormat="false" ht="13.8" hidden="false" customHeight="false" outlineLevel="0" collapsed="false">
      <c r="A2635" s="0" t="s">
        <v>9176</v>
      </c>
      <c r="D2635" s="0" t="s">
        <v>9177</v>
      </c>
      <c r="F2635" s="0" t="s">
        <v>9178</v>
      </c>
      <c r="G2635" s="0" t="n">
        <v>0</v>
      </c>
      <c r="H2635" s="0" t="s">
        <v>9179</v>
      </c>
      <c r="J2635" s="0" t="s">
        <v>9178</v>
      </c>
      <c r="K2635" s="0" t="str">
        <f aca="false">"15.19 %"</f>
        <v>15.19 %</v>
      </c>
      <c r="L2635" s="0" t="str">
        <f aca="false">"0.83 V"</f>
        <v>0.83 V</v>
      </c>
      <c r="M2635" s="0" t="str">
        <f aca="false">"25.42 mA cm^{-2}"</f>
        <v>25.42 mA cm^{-2}</v>
      </c>
      <c r="N2635" s="0" t="str">
        <f aca="false">"72.0 %"</f>
        <v>72.0 %</v>
      </c>
      <c r="O2635" s="0" t="s">
        <v>9180</v>
      </c>
    </row>
    <row r="2636" customFormat="false" ht="13.8" hidden="false" customHeight="false" outlineLevel="0" collapsed="false">
      <c r="A2636" s="0" t="s">
        <v>9181</v>
      </c>
      <c r="D2636" s="0" t="s">
        <v>9182</v>
      </c>
      <c r="F2636" s="0" t="s">
        <v>9183</v>
      </c>
      <c r="G2636" s="0" t="n">
        <v>0</v>
      </c>
      <c r="H2636" s="0" t="s">
        <v>9184</v>
      </c>
      <c r="J2636" s="0" t="s">
        <v>9185</v>
      </c>
      <c r="K2636" s="0" t="str">
        <f aca="false">"10 %"</f>
        <v>10 %</v>
      </c>
      <c r="O2636" s="0" t="s">
        <v>9186</v>
      </c>
    </row>
    <row r="2637" customFormat="false" ht="13.8" hidden="false" customHeight="false" outlineLevel="0" collapsed="false">
      <c r="A2637" s="0" t="s">
        <v>9187</v>
      </c>
      <c r="D2637" s="0" t="s">
        <v>16</v>
      </c>
      <c r="E2637" s="0" t="s">
        <v>17</v>
      </c>
      <c r="F2637" s="0" t="s">
        <v>116</v>
      </c>
      <c r="G2637" s="0" t="n">
        <v>1</v>
      </c>
      <c r="H2637" s="0" t="s">
        <v>76</v>
      </c>
      <c r="J2637" s="0" t="s">
        <v>77</v>
      </c>
      <c r="K2637" s="0" t="str">
        <f aca="false">"~ 0.52 %"</f>
        <v>~ 0.52 %</v>
      </c>
      <c r="O2637" s="0" t="s">
        <v>9188</v>
      </c>
    </row>
    <row r="2638" customFormat="false" ht="13.8" hidden="false" customHeight="false" outlineLevel="0" collapsed="false">
      <c r="A2638" s="0" t="s">
        <v>9189</v>
      </c>
      <c r="D2638" s="0" t="s">
        <v>16</v>
      </c>
      <c r="E2638" s="0" t="s">
        <v>17</v>
      </c>
      <c r="F2638" s="0" t="s">
        <v>116</v>
      </c>
      <c r="G2638" s="0" t="n">
        <v>0</v>
      </c>
      <c r="H2638" s="0" t="s">
        <v>9190</v>
      </c>
      <c r="J2638" s="0" t="s">
        <v>9191</v>
      </c>
      <c r="K2638" s="0" t="str">
        <f aca="false">"0.008 %"</f>
        <v>0.008 %</v>
      </c>
      <c r="M2638" s="0" t="str">
        <f aca="false">"0.11 mA cm^{-2}"</f>
        <v>0.11 mA cm^{-2}</v>
      </c>
      <c r="O2638" s="0" t="s">
        <v>9192</v>
      </c>
    </row>
    <row r="2639" customFormat="false" ht="13.8" hidden="false" customHeight="false" outlineLevel="0" collapsed="false">
      <c r="A2639" s="0" t="s">
        <v>9193</v>
      </c>
      <c r="D2639" s="0" t="s">
        <v>5532</v>
      </c>
      <c r="F2639" s="0" t="s">
        <v>9194</v>
      </c>
      <c r="G2639" s="0" t="n">
        <v>1</v>
      </c>
      <c r="H2639" s="0" t="s">
        <v>27</v>
      </c>
      <c r="J2639" s="0" t="s">
        <v>28</v>
      </c>
      <c r="K2639" s="0" t="str">
        <f aca="false">"2.9 %"</f>
        <v>2.9 %</v>
      </c>
      <c r="L2639" s="0" t="str">
        <f aca="false">"0.88 V"</f>
        <v>0.88 V</v>
      </c>
      <c r="M2639" s="0" t="str">
        <f aca="false">"5.6 mA/cm^{2}"</f>
        <v>5.6 mA/cm^{2}</v>
      </c>
      <c r="N2639" s="0" t="str">
        <f aca="false">"59.1 %"</f>
        <v>59.1 %</v>
      </c>
      <c r="O2639" s="0" t="s">
        <v>9195</v>
      </c>
    </row>
    <row r="2640" customFormat="false" ht="13.8" hidden="false" customHeight="false" outlineLevel="0" collapsed="false">
      <c r="A2640" s="0" t="s">
        <v>9196</v>
      </c>
      <c r="D2640" s="0" t="s">
        <v>124</v>
      </c>
      <c r="F2640" s="0" t="s">
        <v>427</v>
      </c>
      <c r="G2640" s="0" t="n">
        <v>1</v>
      </c>
      <c r="H2640" s="0" t="s">
        <v>27</v>
      </c>
      <c r="J2640" s="0" t="s">
        <v>1799</v>
      </c>
      <c r="O2640" s="0" t="s">
        <v>9197</v>
      </c>
    </row>
    <row r="2641" customFormat="false" ht="13.8" hidden="false" customHeight="false" outlineLevel="0" collapsed="false">
      <c r="A2641" s="0" t="s">
        <v>9196</v>
      </c>
      <c r="F2641" s="0" t="s">
        <v>40</v>
      </c>
      <c r="G2641" s="0" t="n">
        <v>1</v>
      </c>
      <c r="H2641" s="0" t="s">
        <v>27</v>
      </c>
      <c r="J2641" s="0" t="s">
        <v>1799</v>
      </c>
      <c r="K2641" s="0" t="str">
        <f aca="false">"5.08 %"</f>
        <v>5.08 %</v>
      </c>
      <c r="O2641" s="0" t="s">
        <v>9198</v>
      </c>
    </row>
    <row r="2642" customFormat="false" ht="13.8" hidden="false" customHeight="false" outlineLevel="0" collapsed="false">
      <c r="A2642" s="0" t="s">
        <v>9196</v>
      </c>
      <c r="D2642" s="0" t="s">
        <v>128</v>
      </c>
      <c r="F2642" s="0" t="s">
        <v>130</v>
      </c>
      <c r="G2642" s="0" t="n">
        <v>1</v>
      </c>
      <c r="H2642" s="0" t="s">
        <v>27</v>
      </c>
      <c r="J2642" s="0" t="s">
        <v>1799</v>
      </c>
      <c r="K2642" s="0" t="str">
        <f aca="false">"6.05 %"</f>
        <v>6.05 %</v>
      </c>
      <c r="O2642" s="0" t="s">
        <v>9199</v>
      </c>
    </row>
    <row r="2643" customFormat="false" ht="13.8" hidden="false" customHeight="false" outlineLevel="0" collapsed="false">
      <c r="A2643" s="0" t="s">
        <v>9200</v>
      </c>
      <c r="D2643" s="0" t="s">
        <v>9201</v>
      </c>
      <c r="F2643" s="0" t="s">
        <v>9202</v>
      </c>
      <c r="G2643" s="0" t="n">
        <v>0</v>
      </c>
      <c r="H2643" s="0" t="s">
        <v>9203</v>
      </c>
      <c r="J2643" s="0" t="s">
        <v>40</v>
      </c>
      <c r="K2643" s="0" t="str">
        <f aca="false">"10.90 %"</f>
        <v>10.90 %</v>
      </c>
      <c r="O2643" s="0" t="s">
        <v>9204</v>
      </c>
    </row>
    <row r="2644" customFormat="false" ht="13.8" hidden="false" customHeight="false" outlineLevel="0" collapsed="false">
      <c r="A2644" s="0" t="s">
        <v>9205</v>
      </c>
      <c r="D2644" s="0" t="s">
        <v>9206</v>
      </c>
      <c r="F2644" s="0" t="s">
        <v>9207</v>
      </c>
      <c r="G2644" s="0" t="n">
        <v>0</v>
      </c>
      <c r="H2644" s="0" t="s">
        <v>9208</v>
      </c>
      <c r="J2644" s="0" t="s">
        <v>9207</v>
      </c>
      <c r="K2644" s="0" t="str">
        <f aca="false">"~10 %"</f>
        <v>~10 %</v>
      </c>
      <c r="M2644" s="0" t="str">
        <f aca="false">"16.3 mA/cm^{2}"</f>
        <v>16.3 mA/cm^{2}</v>
      </c>
      <c r="O2644" s="0" t="s">
        <v>9209</v>
      </c>
    </row>
    <row r="2645" customFormat="false" ht="13.8" hidden="false" customHeight="false" outlineLevel="0" collapsed="false">
      <c r="A2645" s="0" t="s">
        <v>9210</v>
      </c>
      <c r="D2645" s="0" t="s">
        <v>1116</v>
      </c>
      <c r="E2645" s="0" t="s">
        <v>1117</v>
      </c>
      <c r="F2645" s="0" t="s">
        <v>1118</v>
      </c>
      <c r="G2645" s="0" t="n">
        <v>1</v>
      </c>
      <c r="H2645" s="0" t="s">
        <v>27</v>
      </c>
      <c r="J2645" s="0" t="s">
        <v>28</v>
      </c>
      <c r="K2645" s="0" t="str">
        <f aca="false">"12.61 %"</f>
        <v>12.61 %</v>
      </c>
      <c r="O2645" s="0" t="s">
        <v>9211</v>
      </c>
    </row>
    <row r="2646" customFormat="false" ht="13.8" hidden="false" customHeight="false" outlineLevel="0" collapsed="false">
      <c r="A2646" s="0" t="s">
        <v>9212</v>
      </c>
      <c r="D2646" s="0" t="s">
        <v>9213</v>
      </c>
      <c r="F2646" s="0" t="s">
        <v>40</v>
      </c>
      <c r="G2646" s="0" t="n">
        <v>0</v>
      </c>
      <c r="H2646" s="0" t="s">
        <v>9214</v>
      </c>
      <c r="J2646" s="0" t="s">
        <v>40</v>
      </c>
      <c r="K2646" s="0" t="str">
        <f aca="false">"14.76 %"</f>
        <v>14.76 %</v>
      </c>
      <c r="O2646" s="0" t="s">
        <v>9215</v>
      </c>
    </row>
    <row r="2647" customFormat="false" ht="13.8" hidden="false" customHeight="false" outlineLevel="0" collapsed="false">
      <c r="A2647" s="0" t="s">
        <v>9212</v>
      </c>
      <c r="D2647" s="0" t="s">
        <v>9216</v>
      </c>
      <c r="F2647" s="0" t="s">
        <v>40</v>
      </c>
      <c r="G2647" s="0" t="n">
        <v>0</v>
      </c>
      <c r="H2647" s="0" t="s">
        <v>9214</v>
      </c>
      <c r="J2647" s="0" t="s">
        <v>40</v>
      </c>
      <c r="K2647" s="0" t="str">
        <f aca="false">"14.76 %"</f>
        <v>14.76 %</v>
      </c>
      <c r="O2647" s="0" t="s">
        <v>9217</v>
      </c>
    </row>
    <row r="2648" customFormat="false" ht="13.8" hidden="false" customHeight="false" outlineLevel="0" collapsed="false">
      <c r="A2648" s="0" t="s">
        <v>9212</v>
      </c>
      <c r="D2648" s="0" t="s">
        <v>253</v>
      </c>
      <c r="F2648" s="0" t="s">
        <v>9218</v>
      </c>
      <c r="G2648" s="0" t="n">
        <v>0</v>
      </c>
      <c r="H2648" s="0" t="s">
        <v>9214</v>
      </c>
      <c r="J2648" s="0" t="s">
        <v>40</v>
      </c>
      <c r="K2648" s="0" t="str">
        <f aca="false">"13.13 %"</f>
        <v>13.13 %</v>
      </c>
      <c r="O2648" s="0" t="s">
        <v>9219</v>
      </c>
    </row>
    <row r="2649" customFormat="false" ht="13.8" hidden="false" customHeight="false" outlineLevel="0" collapsed="false">
      <c r="A2649" s="0" t="s">
        <v>9220</v>
      </c>
      <c r="D2649" s="0" t="s">
        <v>9221</v>
      </c>
      <c r="F2649" s="0" t="s">
        <v>9222</v>
      </c>
      <c r="G2649" s="0" t="n">
        <v>0</v>
      </c>
      <c r="H2649" s="0" t="s">
        <v>5180</v>
      </c>
      <c r="J2649" s="0" t="s">
        <v>9222</v>
      </c>
      <c r="K2649" s="0" t="str">
        <f aca="false">"10.52 %"</f>
        <v>10.52 %</v>
      </c>
      <c r="O2649" s="0" t="s">
        <v>9223</v>
      </c>
    </row>
    <row r="2650" customFormat="false" ht="13.8" hidden="false" customHeight="false" outlineLevel="0" collapsed="false">
      <c r="A2650" s="0" t="s">
        <v>9224</v>
      </c>
      <c r="D2650" s="0" t="s">
        <v>599</v>
      </c>
      <c r="E2650" s="0" t="s">
        <v>600</v>
      </c>
      <c r="F2650" s="0" t="s">
        <v>601</v>
      </c>
      <c r="G2650" s="0" t="n">
        <v>0</v>
      </c>
      <c r="H2650" s="0" t="s">
        <v>5040</v>
      </c>
      <c r="I2650" s="0" t="s">
        <v>5041</v>
      </c>
      <c r="J2650" s="0" t="s">
        <v>5042</v>
      </c>
      <c r="K2650" s="0" t="str">
        <f aca="false">"10.32 %"</f>
        <v>10.32 %</v>
      </c>
      <c r="O2650" s="0" t="s">
        <v>9225</v>
      </c>
    </row>
    <row r="2651" customFormat="false" ht="13.8" hidden="false" customHeight="false" outlineLevel="0" collapsed="false">
      <c r="A2651" s="0" t="s">
        <v>9224</v>
      </c>
      <c r="D2651" s="0" t="s">
        <v>1116</v>
      </c>
      <c r="E2651" s="0" t="s">
        <v>1117</v>
      </c>
      <c r="F2651" s="0" t="s">
        <v>1118</v>
      </c>
      <c r="G2651" s="0" t="n">
        <v>0</v>
      </c>
      <c r="H2651" s="0" t="s">
        <v>163</v>
      </c>
      <c r="I2651" s="0" t="s">
        <v>164</v>
      </c>
      <c r="J2651" s="0" t="s">
        <v>165</v>
      </c>
      <c r="K2651" s="0" t="str">
        <f aca="false">"14.66 %"</f>
        <v>14.66 %</v>
      </c>
      <c r="O2651" s="0" t="s">
        <v>9226</v>
      </c>
    </row>
    <row r="2652" customFormat="false" ht="13.8" hidden="false" customHeight="false" outlineLevel="0" collapsed="false">
      <c r="A2652" s="0" t="s">
        <v>9224</v>
      </c>
      <c r="D2652" s="0" t="s">
        <v>599</v>
      </c>
      <c r="E2652" s="0" t="s">
        <v>600</v>
      </c>
      <c r="F2652" s="0" t="s">
        <v>601</v>
      </c>
      <c r="G2652" s="0" t="n">
        <v>0</v>
      </c>
      <c r="H2652" s="0" t="s">
        <v>163</v>
      </c>
      <c r="I2652" s="0" t="s">
        <v>164</v>
      </c>
      <c r="J2652" s="0" t="s">
        <v>165</v>
      </c>
      <c r="K2652" s="0" t="str">
        <f aca="false">"16.46 %"</f>
        <v>16.46 %</v>
      </c>
      <c r="O2652" s="0" t="s">
        <v>9227</v>
      </c>
    </row>
    <row r="2653" customFormat="false" ht="13.8" hidden="false" customHeight="false" outlineLevel="0" collapsed="false">
      <c r="A2653" s="0" t="s">
        <v>9228</v>
      </c>
      <c r="D2653" s="0" t="s">
        <v>1116</v>
      </c>
      <c r="E2653" s="0" t="s">
        <v>1117</v>
      </c>
      <c r="F2653" s="0" t="s">
        <v>1118</v>
      </c>
      <c r="G2653" s="0" t="n">
        <v>0</v>
      </c>
      <c r="H2653" s="0" t="s">
        <v>5040</v>
      </c>
      <c r="I2653" s="0" t="s">
        <v>5041</v>
      </c>
      <c r="J2653" s="0" t="s">
        <v>5042</v>
      </c>
      <c r="K2653" s="0" t="str">
        <f aca="false">"14.46 %"</f>
        <v>14.46 %</v>
      </c>
      <c r="O2653" s="0" t="s">
        <v>9229</v>
      </c>
    </row>
    <row r="2654" customFormat="false" ht="13.8" hidden="false" customHeight="false" outlineLevel="0" collapsed="false">
      <c r="A2654" s="0" t="s">
        <v>9230</v>
      </c>
      <c r="D2654" s="0" t="s">
        <v>1116</v>
      </c>
      <c r="E2654" s="0" t="s">
        <v>1117</v>
      </c>
      <c r="F2654" s="0" t="s">
        <v>1118</v>
      </c>
      <c r="G2654" s="0" t="n">
        <v>0</v>
      </c>
      <c r="H2654" s="0" t="s">
        <v>9231</v>
      </c>
      <c r="J2654" s="0" t="s">
        <v>9232</v>
      </c>
      <c r="K2654" s="0" t="str">
        <f aca="false">"11.94 %"</f>
        <v>11.94 %</v>
      </c>
      <c r="O2654" s="0" t="s">
        <v>9233</v>
      </c>
    </row>
    <row r="2655" customFormat="false" ht="13.8" hidden="false" customHeight="false" outlineLevel="0" collapsed="false">
      <c r="A2655" s="0" t="s">
        <v>9234</v>
      </c>
      <c r="D2655" s="0" t="s">
        <v>9235</v>
      </c>
      <c r="F2655" s="0" t="s">
        <v>9236</v>
      </c>
      <c r="G2655" s="0" t="n">
        <v>0</v>
      </c>
      <c r="H2655" s="0" t="s">
        <v>8635</v>
      </c>
      <c r="J2655" s="0" t="s">
        <v>8636</v>
      </c>
      <c r="K2655" s="0" t="str">
        <f aca="false">"10.17 %"</f>
        <v>10.17 %</v>
      </c>
      <c r="O2655" s="0" t="s">
        <v>9237</v>
      </c>
    </row>
    <row r="2656" customFormat="false" ht="13.8" hidden="false" customHeight="false" outlineLevel="0" collapsed="false">
      <c r="A2656" s="0" t="s">
        <v>9238</v>
      </c>
      <c r="D2656" s="0" t="s">
        <v>9239</v>
      </c>
      <c r="F2656" s="0" t="s">
        <v>9240</v>
      </c>
      <c r="G2656" s="0" t="n">
        <v>0</v>
      </c>
      <c r="H2656" s="0" t="s">
        <v>9241</v>
      </c>
      <c r="J2656" s="0" t="s">
        <v>40</v>
      </c>
      <c r="K2656" s="0" t="str">
        <f aca="false">"12.17 %"</f>
        <v>12.17 %</v>
      </c>
      <c r="M2656" s="0" t="str">
        <f aca="false">"20.63 mA cm^{-2}"</f>
        <v>20.63 mA cm^{-2}</v>
      </c>
      <c r="N2656" s="0" t="str">
        <f aca="false">"0.669"</f>
        <v>0.669</v>
      </c>
      <c r="O2656" s="0" t="s">
        <v>9242</v>
      </c>
    </row>
    <row r="2657" customFormat="false" ht="13.8" hidden="false" customHeight="false" outlineLevel="0" collapsed="false">
      <c r="A2657" s="0" t="s">
        <v>9243</v>
      </c>
      <c r="C2657" s="0" t="n">
        <v>1</v>
      </c>
      <c r="D2657" s="0" t="s">
        <v>1116</v>
      </c>
      <c r="E2657" s="0" t="s">
        <v>1117</v>
      </c>
      <c r="F2657" s="0" t="s">
        <v>1118</v>
      </c>
      <c r="G2657" s="0" t="n">
        <v>0</v>
      </c>
      <c r="H2657" s="0" t="s">
        <v>5040</v>
      </c>
      <c r="I2657" s="0" t="s">
        <v>5041</v>
      </c>
      <c r="J2657" s="0" t="s">
        <v>5042</v>
      </c>
      <c r="K2657" s="0" t="str">
        <f aca="false">"17.0 %"</f>
        <v>17.0 %</v>
      </c>
      <c r="O2657" s="0" t="s">
        <v>9244</v>
      </c>
    </row>
    <row r="2658" customFormat="false" ht="13.8" hidden="false" customHeight="false" outlineLevel="0" collapsed="false">
      <c r="A2658" s="0" t="s">
        <v>9245</v>
      </c>
      <c r="D2658" s="0" t="s">
        <v>9246</v>
      </c>
      <c r="F2658" s="0" t="s">
        <v>9247</v>
      </c>
      <c r="G2658" s="0" t="n">
        <v>0</v>
      </c>
      <c r="H2658" s="0" t="s">
        <v>9248</v>
      </c>
      <c r="J2658" s="0" t="s">
        <v>9249</v>
      </c>
      <c r="K2658" s="0" t="str">
        <f aca="false">"18 %"</f>
        <v>18 %</v>
      </c>
      <c r="O2658" s="0" t="s">
        <v>9250</v>
      </c>
    </row>
    <row r="2659" customFormat="false" ht="13.8" hidden="false" customHeight="false" outlineLevel="0" collapsed="false">
      <c r="A2659" s="0" t="s">
        <v>9245</v>
      </c>
      <c r="D2659" s="0" t="s">
        <v>9251</v>
      </c>
      <c r="F2659" s="0" t="s">
        <v>9252</v>
      </c>
      <c r="G2659" s="0" t="n">
        <v>0</v>
      </c>
      <c r="H2659" s="0" t="s">
        <v>9248</v>
      </c>
      <c r="J2659" s="0" t="s">
        <v>9249</v>
      </c>
      <c r="K2659" s="0" t="str">
        <f aca="false">"9.65 %"</f>
        <v>9.65 %</v>
      </c>
      <c r="O2659" s="0" t="s">
        <v>9253</v>
      </c>
    </row>
    <row r="2660" customFormat="false" ht="13.8" hidden="false" customHeight="false" outlineLevel="0" collapsed="false">
      <c r="A2660" s="0" t="s">
        <v>9254</v>
      </c>
      <c r="D2660" s="0" t="s">
        <v>599</v>
      </c>
      <c r="E2660" s="0" t="s">
        <v>600</v>
      </c>
      <c r="F2660" s="0" t="s">
        <v>601</v>
      </c>
      <c r="G2660" s="0" t="n">
        <v>0</v>
      </c>
      <c r="H2660" s="0" t="s">
        <v>9255</v>
      </c>
      <c r="J2660" s="0" t="s">
        <v>9256</v>
      </c>
      <c r="K2660" s="0" t="str">
        <f aca="false">"4.39 %"</f>
        <v>4.39 %</v>
      </c>
      <c r="N2660" s="0" t="str">
        <f aca="false">"64.46 %"</f>
        <v>64.46 %</v>
      </c>
      <c r="O2660" s="0" t="s">
        <v>9257</v>
      </c>
    </row>
    <row r="2661" customFormat="false" ht="13.8" hidden="false" customHeight="false" outlineLevel="0" collapsed="false">
      <c r="A2661" s="0" t="s">
        <v>9254</v>
      </c>
      <c r="D2661" s="0" t="s">
        <v>599</v>
      </c>
      <c r="E2661" s="0" t="s">
        <v>600</v>
      </c>
      <c r="F2661" s="0" t="s">
        <v>601</v>
      </c>
      <c r="G2661" s="0" t="n">
        <v>0</v>
      </c>
      <c r="H2661" s="0" t="s">
        <v>9258</v>
      </c>
      <c r="J2661" s="0" t="s">
        <v>9259</v>
      </c>
      <c r="M2661" s="0" t="str">
        <f aca="false">"16.90 mA/cm^{2}"</f>
        <v>16.90 mA/cm^{2}</v>
      </c>
      <c r="O2661" s="0" t="s">
        <v>9260</v>
      </c>
    </row>
    <row r="2662" customFormat="false" ht="13.8" hidden="false" customHeight="false" outlineLevel="0" collapsed="false">
      <c r="A2662" s="0" t="s">
        <v>9261</v>
      </c>
      <c r="D2662" s="0" t="s">
        <v>599</v>
      </c>
      <c r="E2662" s="0" t="s">
        <v>600</v>
      </c>
      <c r="F2662" s="0" t="s">
        <v>601</v>
      </c>
      <c r="G2662" s="0" t="n">
        <v>0</v>
      </c>
      <c r="H2662" s="0" t="s">
        <v>9262</v>
      </c>
      <c r="J2662" s="0" t="s">
        <v>9263</v>
      </c>
      <c r="K2662" s="0" t="str">
        <f aca="false">"8.23 %"</f>
        <v>8.23 %</v>
      </c>
      <c r="M2662" s="0" t="str">
        <f aca="false">"14.33 mA cm^{-2}"</f>
        <v>14.33 mA cm^{-2}</v>
      </c>
      <c r="O2662" s="0" t="s">
        <v>9264</v>
      </c>
    </row>
    <row r="2663" customFormat="false" ht="13.8" hidden="false" customHeight="false" outlineLevel="0" collapsed="false">
      <c r="A2663" s="0" t="s">
        <v>9261</v>
      </c>
      <c r="D2663" s="0" t="s">
        <v>599</v>
      </c>
      <c r="E2663" s="0" t="s">
        <v>600</v>
      </c>
      <c r="F2663" s="0" t="s">
        <v>601</v>
      </c>
      <c r="G2663" s="0" t="n">
        <v>0</v>
      </c>
      <c r="H2663" s="0" t="s">
        <v>9265</v>
      </c>
      <c r="J2663" s="0" t="s">
        <v>9263</v>
      </c>
      <c r="K2663" s="0" t="str">
        <f aca="false">"7.53 %"</f>
        <v>7.53 %</v>
      </c>
      <c r="O2663" s="0" t="s">
        <v>9266</v>
      </c>
    </row>
    <row r="2664" customFormat="false" ht="13.8" hidden="false" customHeight="false" outlineLevel="0" collapsed="false">
      <c r="A2664" s="0" t="s">
        <v>9267</v>
      </c>
      <c r="D2664" s="0" t="s">
        <v>1116</v>
      </c>
      <c r="E2664" s="0" t="s">
        <v>1117</v>
      </c>
      <c r="F2664" s="0" t="s">
        <v>1118</v>
      </c>
      <c r="G2664" s="0" t="n">
        <v>0</v>
      </c>
      <c r="H2664" s="0" t="s">
        <v>9268</v>
      </c>
      <c r="J2664" s="0" t="s">
        <v>9269</v>
      </c>
      <c r="K2664" s="0" t="str">
        <f aca="false">"9.79 %"</f>
        <v>9.79 %</v>
      </c>
      <c r="L2664" s="0" t="str">
        <f aca="false">"0.98 V"</f>
        <v>0.98 V</v>
      </c>
      <c r="M2664" s="0" t="str">
        <f aca="false">"13.93 mA cm^{-2}"</f>
        <v>13.93 mA cm^{-2}</v>
      </c>
      <c r="N2664" s="0" t="str">
        <f aca="false">"68.67 %"</f>
        <v>68.67 %</v>
      </c>
      <c r="O2664" s="0" t="s">
        <v>9270</v>
      </c>
    </row>
    <row r="2665" customFormat="false" ht="13.8" hidden="false" customHeight="false" outlineLevel="0" collapsed="false">
      <c r="A2665" s="0" t="s">
        <v>9267</v>
      </c>
      <c r="D2665" s="0" t="s">
        <v>1116</v>
      </c>
      <c r="E2665" s="0" t="s">
        <v>1117</v>
      </c>
      <c r="F2665" s="0" t="s">
        <v>1118</v>
      </c>
      <c r="G2665" s="0" t="n">
        <v>0</v>
      </c>
      <c r="H2665" s="0" t="s">
        <v>9271</v>
      </c>
      <c r="J2665" s="0" t="s">
        <v>9272</v>
      </c>
      <c r="L2665" s="0" t="str">
        <f aca="false">"0.82 V"</f>
        <v>0.82 V</v>
      </c>
      <c r="M2665" s="0" t="str">
        <f aca="false">"17.40 mA cm^{-2}"</f>
        <v>17.40 mA cm^{-2}</v>
      </c>
      <c r="O2665" s="0" t="s">
        <v>9273</v>
      </c>
    </row>
    <row r="2666" customFormat="false" ht="13.8" hidden="false" customHeight="false" outlineLevel="0" collapsed="false">
      <c r="A2666" s="0" t="s">
        <v>9274</v>
      </c>
      <c r="D2666" s="0" t="s">
        <v>9275</v>
      </c>
      <c r="F2666" s="0" t="s">
        <v>9276</v>
      </c>
      <c r="G2666" s="0" t="n">
        <v>0</v>
      </c>
      <c r="H2666" s="0" t="s">
        <v>163</v>
      </c>
      <c r="I2666" s="0" t="s">
        <v>164</v>
      </c>
      <c r="J2666" s="0" t="s">
        <v>165</v>
      </c>
      <c r="K2666" s="0" t="str">
        <f aca="false">"6.73 %"</f>
        <v>6.73 %</v>
      </c>
      <c r="L2666" s="0" t="str">
        <f aca="false">"0.84 V"</f>
        <v>0.84 V</v>
      </c>
      <c r="M2666" s="0" t="str">
        <f aca="false">"15.60 mA cm^{-2}"</f>
        <v>15.60 mA cm^{-2}</v>
      </c>
      <c r="N2666" s="0" t="str">
        <f aca="false">"51.19 %"</f>
        <v>51.19 %</v>
      </c>
      <c r="O2666" s="0" t="s">
        <v>9277</v>
      </c>
    </row>
    <row r="2667" customFormat="false" ht="13.8" hidden="false" customHeight="false" outlineLevel="0" collapsed="false">
      <c r="A2667" s="0" t="s">
        <v>9278</v>
      </c>
      <c r="D2667" s="0" t="s">
        <v>599</v>
      </c>
      <c r="E2667" s="0" t="s">
        <v>600</v>
      </c>
      <c r="F2667" s="0" t="s">
        <v>601</v>
      </c>
      <c r="G2667" s="0" t="n">
        <v>0</v>
      </c>
      <c r="H2667" s="0" t="s">
        <v>9279</v>
      </c>
      <c r="J2667" s="0" t="s">
        <v>40</v>
      </c>
      <c r="K2667" s="0" t="str">
        <f aca="false">"4.61 %"</f>
        <v>4.61 %</v>
      </c>
      <c r="O2667" s="0" t="s">
        <v>9280</v>
      </c>
    </row>
    <row r="2668" customFormat="false" ht="13.8" hidden="false" customHeight="false" outlineLevel="0" collapsed="false">
      <c r="A2668" s="0" t="s">
        <v>9281</v>
      </c>
      <c r="D2668" s="0" t="s">
        <v>9147</v>
      </c>
      <c r="E2668" s="0" t="s">
        <v>9148</v>
      </c>
      <c r="F2668" s="0" t="s">
        <v>9282</v>
      </c>
      <c r="G2668" s="0" t="n">
        <v>0</v>
      </c>
      <c r="H2668" s="0" t="s">
        <v>9283</v>
      </c>
      <c r="J2668" s="0" t="s">
        <v>9284</v>
      </c>
      <c r="K2668" s="0" t="str">
        <f aca="false">"12.3 %"</f>
        <v>12.3 %</v>
      </c>
      <c r="O2668" s="0" t="s">
        <v>9285</v>
      </c>
    </row>
    <row r="2669" customFormat="false" ht="13.8" hidden="false" customHeight="false" outlineLevel="0" collapsed="false">
      <c r="A2669" s="0" t="s">
        <v>9286</v>
      </c>
      <c r="D2669" s="0" t="s">
        <v>1116</v>
      </c>
      <c r="E2669" s="0" t="s">
        <v>1117</v>
      </c>
      <c r="F2669" s="0" t="s">
        <v>1118</v>
      </c>
      <c r="G2669" s="0" t="n">
        <v>1</v>
      </c>
      <c r="H2669" s="0" t="s">
        <v>27</v>
      </c>
      <c r="J2669" s="0" t="s">
        <v>28</v>
      </c>
      <c r="K2669" s="0" t="str">
        <f aca="false">"16.65 %"</f>
        <v>16.65 %</v>
      </c>
      <c r="O2669" s="0" t="s">
        <v>9287</v>
      </c>
    </row>
    <row r="2670" customFormat="false" ht="13.8" hidden="false" customHeight="false" outlineLevel="0" collapsed="false">
      <c r="A2670" s="0" t="s">
        <v>9288</v>
      </c>
      <c r="D2670" s="0" t="s">
        <v>9289</v>
      </c>
      <c r="F2670" s="0" t="s">
        <v>9290</v>
      </c>
      <c r="G2670" s="0" t="n">
        <v>0</v>
      </c>
      <c r="H2670" s="0" t="s">
        <v>9291</v>
      </c>
      <c r="J2670" s="0" t="s">
        <v>40</v>
      </c>
      <c r="K2670" s="0" t="str">
        <f aca="false">"12.4 %"</f>
        <v>12.4 %</v>
      </c>
      <c r="N2670" s="0" t="str">
        <f aca="false">"0.8949"</f>
        <v>0.8949</v>
      </c>
      <c r="O2670" s="0" t="s">
        <v>9292</v>
      </c>
    </row>
    <row r="2671" customFormat="false" ht="13.8" hidden="false" customHeight="false" outlineLevel="0" collapsed="false">
      <c r="A2671" s="0" t="s">
        <v>9293</v>
      </c>
      <c r="D2671" s="0" t="s">
        <v>9294</v>
      </c>
      <c r="F2671" s="0" t="s">
        <v>9295</v>
      </c>
      <c r="G2671" s="0" t="n">
        <v>1</v>
      </c>
      <c r="H2671" s="0" t="s">
        <v>27</v>
      </c>
      <c r="J2671" s="0" t="s">
        <v>40</v>
      </c>
      <c r="K2671" s="0" t="str">
        <f aca="false">"9.5 %"</f>
        <v>9.5 %</v>
      </c>
      <c r="O2671" s="0" t="s">
        <v>9296</v>
      </c>
    </row>
    <row r="2672" customFormat="false" ht="13.8" hidden="false" customHeight="false" outlineLevel="0" collapsed="false">
      <c r="A2672" s="0" t="s">
        <v>9297</v>
      </c>
      <c r="D2672" s="0" t="s">
        <v>9298</v>
      </c>
      <c r="F2672" s="0" t="s">
        <v>9299</v>
      </c>
      <c r="G2672" s="0" t="n">
        <v>1</v>
      </c>
      <c r="H2672" s="0" t="s">
        <v>27</v>
      </c>
      <c r="J2672" s="0" t="s">
        <v>28</v>
      </c>
      <c r="K2672" s="0" t="str">
        <f aca="false">"4.53 %"</f>
        <v>4.53 %</v>
      </c>
      <c r="L2672" s="0" t="str">
        <f aca="false">"0.86 V"</f>
        <v>0.86 V</v>
      </c>
      <c r="O2672" s="0" t="s">
        <v>9300</v>
      </c>
    </row>
    <row r="2673" customFormat="false" ht="13.8" hidden="false" customHeight="false" outlineLevel="0" collapsed="false">
      <c r="A2673" s="0" t="s">
        <v>9301</v>
      </c>
      <c r="D2673" s="0" t="s">
        <v>678</v>
      </c>
      <c r="E2673" s="0" t="s">
        <v>679</v>
      </c>
      <c r="F2673" s="0" t="s">
        <v>680</v>
      </c>
      <c r="G2673" s="0" t="n">
        <v>0</v>
      </c>
      <c r="H2673" s="0" t="s">
        <v>9302</v>
      </c>
      <c r="I2673" s="0" t="s">
        <v>9303</v>
      </c>
      <c r="J2673" s="0" t="s">
        <v>9304</v>
      </c>
      <c r="K2673" s="0" t="str">
        <f aca="false">"17.40 %"</f>
        <v>17.40 %</v>
      </c>
      <c r="L2673" s="0" t="str">
        <f aca="false">"0.84 V"</f>
        <v>0.84 V</v>
      </c>
      <c r="M2673" s="0" t="str">
        <f aca="false">"27.37 mA/cm^{2}"</f>
        <v>27.37 mA/cm^{2}</v>
      </c>
      <c r="N2673" s="0" t="str">
        <f aca="false">"70.38 %"</f>
        <v>70.38 %</v>
      </c>
      <c r="O2673" s="0" t="s">
        <v>9305</v>
      </c>
    </row>
    <row r="2674" customFormat="false" ht="13.8" hidden="false" customHeight="false" outlineLevel="0" collapsed="false">
      <c r="A2674" s="0" t="s">
        <v>9306</v>
      </c>
      <c r="D2674" s="0" t="s">
        <v>1116</v>
      </c>
      <c r="E2674" s="0" t="s">
        <v>1117</v>
      </c>
      <c r="F2674" s="0" t="s">
        <v>1118</v>
      </c>
      <c r="G2674" s="0" t="n">
        <v>0</v>
      </c>
      <c r="H2674" s="0" t="s">
        <v>5040</v>
      </c>
      <c r="I2674" s="0" t="s">
        <v>5041</v>
      </c>
      <c r="J2674" s="0" t="s">
        <v>5042</v>
      </c>
      <c r="K2674" s="0" t="str">
        <f aca="false">"14.35 %"</f>
        <v>14.35 %</v>
      </c>
      <c r="O2674" s="0" t="s">
        <v>9307</v>
      </c>
    </row>
    <row r="2675" customFormat="false" ht="13.8" hidden="false" customHeight="false" outlineLevel="0" collapsed="false">
      <c r="A2675" s="0" t="s">
        <v>9308</v>
      </c>
      <c r="D2675" s="0" t="s">
        <v>9309</v>
      </c>
      <c r="F2675" s="0" t="s">
        <v>9310</v>
      </c>
      <c r="G2675" s="0" t="n">
        <v>1</v>
      </c>
      <c r="H2675" s="0" t="s">
        <v>27</v>
      </c>
      <c r="J2675" s="0" t="s">
        <v>28</v>
      </c>
      <c r="K2675" s="0" t="str">
        <f aca="false">"4.96 %"</f>
        <v>4.96 %</v>
      </c>
      <c r="L2675" s="0" t="str">
        <f aca="false">"0.84 V"</f>
        <v>0.84 V</v>
      </c>
      <c r="O2675" s="0" t="s">
        <v>9311</v>
      </c>
    </row>
    <row r="2676" customFormat="false" ht="13.8" hidden="false" customHeight="false" outlineLevel="0" collapsed="false">
      <c r="A2676" s="0" t="s">
        <v>9308</v>
      </c>
      <c r="D2676" s="0" t="s">
        <v>9312</v>
      </c>
      <c r="F2676" s="0" t="s">
        <v>9313</v>
      </c>
      <c r="G2676" s="0" t="n">
        <v>1</v>
      </c>
      <c r="H2676" s="0" t="s">
        <v>27</v>
      </c>
      <c r="J2676" s="0" t="s">
        <v>28</v>
      </c>
      <c r="M2676" s="0" t="str">
        <f aca="false">"13.26 mA cm^{-2}"</f>
        <v>13.26 mA cm^{-2}</v>
      </c>
      <c r="N2676" s="0" t="str">
        <f aca="false">"66.00 %"</f>
        <v>66.00 %</v>
      </c>
      <c r="O2676" s="0" t="s">
        <v>9314</v>
      </c>
    </row>
    <row r="2677" customFormat="false" ht="13.8" hidden="false" customHeight="false" outlineLevel="0" collapsed="false">
      <c r="A2677" s="0" t="s">
        <v>9315</v>
      </c>
      <c r="D2677" s="0" t="s">
        <v>9316</v>
      </c>
      <c r="F2677" s="0" t="s">
        <v>9317</v>
      </c>
      <c r="G2677" s="0" t="n">
        <v>0</v>
      </c>
      <c r="H2677" s="0" t="s">
        <v>6214</v>
      </c>
      <c r="J2677" s="0" t="s">
        <v>9318</v>
      </c>
      <c r="K2677" s="0" t="str">
        <f aca="false">"8.65 %"</f>
        <v>8.65 %</v>
      </c>
      <c r="O2677" s="0" t="s">
        <v>9319</v>
      </c>
    </row>
    <row r="2678" customFormat="false" ht="13.8" hidden="false" customHeight="false" outlineLevel="0" collapsed="false">
      <c r="A2678" s="0" t="s">
        <v>9320</v>
      </c>
      <c r="D2678" s="0" t="s">
        <v>599</v>
      </c>
      <c r="E2678" s="0" t="s">
        <v>600</v>
      </c>
      <c r="F2678" s="0" t="s">
        <v>601</v>
      </c>
      <c r="G2678" s="0" t="n">
        <v>0</v>
      </c>
      <c r="H2678" s="0" t="s">
        <v>9321</v>
      </c>
      <c r="J2678" s="0" t="s">
        <v>9322</v>
      </c>
      <c r="K2678" s="0" t="str">
        <f aca="false">"8.18 %"</f>
        <v>8.18 %</v>
      </c>
      <c r="M2678" s="0" t="str">
        <f aca="false">"22.22 mA cm^{-2}"</f>
        <v>22.22 mA cm^{-2}</v>
      </c>
      <c r="O2678" s="0" t="s">
        <v>9323</v>
      </c>
    </row>
    <row r="2679" customFormat="false" ht="13.8" hidden="false" customHeight="false" outlineLevel="0" collapsed="false">
      <c r="A2679" s="0" t="s">
        <v>9320</v>
      </c>
      <c r="D2679" s="0" t="s">
        <v>599</v>
      </c>
      <c r="E2679" s="0" t="s">
        <v>600</v>
      </c>
      <c r="F2679" s="0" t="s">
        <v>601</v>
      </c>
      <c r="G2679" s="0" t="n">
        <v>0</v>
      </c>
      <c r="H2679" s="0" t="s">
        <v>9324</v>
      </c>
      <c r="J2679" s="0" t="s">
        <v>9322</v>
      </c>
      <c r="M2679" s="0" t="str">
        <f aca="false">"13.23 mA cm^{-2}"</f>
        <v>13.23 mA cm^{-2}</v>
      </c>
      <c r="O2679" s="0" t="s">
        <v>9325</v>
      </c>
    </row>
    <row r="2680" customFormat="false" ht="13.8" hidden="false" customHeight="false" outlineLevel="0" collapsed="false">
      <c r="A2680" s="0" t="s">
        <v>9326</v>
      </c>
      <c r="D2680" s="0" t="s">
        <v>2493</v>
      </c>
      <c r="E2680" s="0" t="s">
        <v>2494</v>
      </c>
      <c r="F2680" s="0" t="s">
        <v>2780</v>
      </c>
      <c r="G2680" s="0" t="n">
        <v>0</v>
      </c>
      <c r="H2680" s="0" t="s">
        <v>9327</v>
      </c>
      <c r="J2680" s="0" t="s">
        <v>9328</v>
      </c>
      <c r="K2680" s="0" t="str">
        <f aca="false">"8.47 %"</f>
        <v>8.47 %</v>
      </c>
      <c r="L2680" s="0" t="str">
        <f aca="false">"0.83 V"</f>
        <v>0.83 V</v>
      </c>
      <c r="M2680" s="0" t="str">
        <f aca="false">"15.48 mA cm^{-2}"</f>
        <v>15.48 mA cm^{-2}</v>
      </c>
      <c r="N2680" s="0" t="str">
        <f aca="false">"66.16 %"</f>
        <v>66.16 %</v>
      </c>
      <c r="O2680" s="0" t="s">
        <v>9329</v>
      </c>
    </row>
    <row r="2681" customFormat="false" ht="13.8" hidden="false" customHeight="false" outlineLevel="0" collapsed="false">
      <c r="A2681" s="0" t="s">
        <v>9330</v>
      </c>
      <c r="D2681" s="0" t="s">
        <v>1116</v>
      </c>
      <c r="E2681" s="0" t="s">
        <v>1117</v>
      </c>
      <c r="F2681" s="0" t="s">
        <v>1118</v>
      </c>
      <c r="G2681" s="0" t="n">
        <v>0</v>
      </c>
      <c r="H2681" s="0" t="s">
        <v>9331</v>
      </c>
      <c r="J2681" s="0" t="s">
        <v>9332</v>
      </c>
      <c r="K2681" s="0" t="str">
        <f aca="false">"9.42 %"</f>
        <v>9.42 %</v>
      </c>
      <c r="O2681" s="0" t="s">
        <v>9333</v>
      </c>
    </row>
    <row r="2682" customFormat="false" ht="13.8" hidden="false" customHeight="false" outlineLevel="0" collapsed="false">
      <c r="A2682" s="0" t="s">
        <v>9330</v>
      </c>
      <c r="D2682" s="0" t="s">
        <v>1116</v>
      </c>
      <c r="E2682" s="0" t="s">
        <v>1117</v>
      </c>
      <c r="F2682" s="0" t="s">
        <v>1118</v>
      </c>
      <c r="G2682" s="0" t="n">
        <v>0</v>
      </c>
      <c r="H2682" s="0" t="s">
        <v>9334</v>
      </c>
      <c r="J2682" s="0" t="s">
        <v>9335</v>
      </c>
      <c r="K2682" s="0" t="str">
        <f aca="false">"9.09 %"</f>
        <v>9.09 %</v>
      </c>
      <c r="O2682" s="0" t="s">
        <v>9336</v>
      </c>
    </row>
    <row r="2683" customFormat="false" ht="13.8" hidden="false" customHeight="false" outlineLevel="0" collapsed="false">
      <c r="A2683" s="0" t="s">
        <v>9330</v>
      </c>
      <c r="D2683" s="0" t="s">
        <v>1116</v>
      </c>
      <c r="E2683" s="0" t="s">
        <v>1117</v>
      </c>
      <c r="F2683" s="0" t="s">
        <v>1118</v>
      </c>
      <c r="G2683" s="0" t="n">
        <v>0</v>
      </c>
      <c r="H2683" s="0" t="s">
        <v>9337</v>
      </c>
      <c r="J2683" s="0" t="s">
        <v>9338</v>
      </c>
      <c r="K2683" s="0" t="str">
        <f aca="false">"5.89 %"</f>
        <v>5.89 %</v>
      </c>
      <c r="O2683" s="0" t="s">
        <v>9339</v>
      </c>
    </row>
    <row r="2684" customFormat="false" ht="13.8" hidden="false" customHeight="false" outlineLevel="0" collapsed="false">
      <c r="A2684" s="0" t="s">
        <v>9340</v>
      </c>
      <c r="D2684" s="0" t="s">
        <v>599</v>
      </c>
      <c r="E2684" s="0" t="s">
        <v>600</v>
      </c>
      <c r="F2684" s="0" t="s">
        <v>601</v>
      </c>
      <c r="G2684" s="0" t="n">
        <v>0</v>
      </c>
      <c r="H2684" s="0" t="s">
        <v>9341</v>
      </c>
      <c r="J2684" s="0" t="s">
        <v>9342</v>
      </c>
      <c r="K2684" s="0" t="str">
        <f aca="false">"16.16 %"</f>
        <v>16.16 %</v>
      </c>
      <c r="O2684" s="0" t="s">
        <v>9343</v>
      </c>
    </row>
    <row r="2685" customFormat="false" ht="13.8" hidden="false" customHeight="false" outlineLevel="0" collapsed="false">
      <c r="A2685" s="0" t="s">
        <v>9344</v>
      </c>
      <c r="D2685" s="0" t="s">
        <v>1116</v>
      </c>
      <c r="E2685" s="0" t="s">
        <v>1117</v>
      </c>
      <c r="F2685" s="0" t="s">
        <v>1118</v>
      </c>
      <c r="G2685" s="0" t="n">
        <v>0</v>
      </c>
      <c r="H2685" s="0" t="s">
        <v>9345</v>
      </c>
      <c r="J2685" s="0" t="s">
        <v>9346</v>
      </c>
      <c r="K2685" s="0" t="str">
        <f aca="false">"74 %"</f>
        <v>74 %</v>
      </c>
      <c r="O2685" s="0" t="s">
        <v>9347</v>
      </c>
    </row>
    <row r="2686" customFormat="false" ht="13.8" hidden="false" customHeight="false" outlineLevel="0" collapsed="false">
      <c r="A2686" s="0" t="s">
        <v>9348</v>
      </c>
      <c r="D2686" s="0" t="s">
        <v>9349</v>
      </c>
      <c r="F2686" s="0" t="s">
        <v>9350</v>
      </c>
      <c r="G2686" s="0" t="n">
        <v>1</v>
      </c>
      <c r="H2686" s="0" t="s">
        <v>758</v>
      </c>
      <c r="J2686" s="0" t="s">
        <v>759</v>
      </c>
      <c r="K2686" s="0" t="str">
        <f aca="false">"6.73 %"</f>
        <v>6.73 %</v>
      </c>
      <c r="O2686" s="0" t="s">
        <v>9351</v>
      </c>
    </row>
    <row r="2687" customFormat="false" ht="13.8" hidden="false" customHeight="false" outlineLevel="0" collapsed="false">
      <c r="A2687" s="0" t="s">
        <v>9352</v>
      </c>
      <c r="D2687" s="0" t="s">
        <v>16</v>
      </c>
      <c r="E2687" s="0" t="s">
        <v>17</v>
      </c>
      <c r="F2687" s="0" t="s">
        <v>116</v>
      </c>
      <c r="G2687" s="0" t="n">
        <v>1</v>
      </c>
      <c r="H2687" s="0" t="s">
        <v>117</v>
      </c>
      <c r="J2687" s="0" t="s">
        <v>118</v>
      </c>
      <c r="K2687" s="0" t="str">
        <f aca="false">"6.19 %"</f>
        <v>6.19 %</v>
      </c>
      <c r="O2687" s="0" t="s">
        <v>9353</v>
      </c>
    </row>
    <row r="2688" customFormat="false" ht="13.8" hidden="false" customHeight="false" outlineLevel="0" collapsed="false">
      <c r="A2688" s="0" t="s">
        <v>9354</v>
      </c>
      <c r="D2688" s="0" t="s">
        <v>1116</v>
      </c>
      <c r="E2688" s="0" t="s">
        <v>1117</v>
      </c>
      <c r="F2688" s="0" t="s">
        <v>1118</v>
      </c>
      <c r="G2688" s="0" t="n">
        <v>0</v>
      </c>
      <c r="H2688" s="0" t="s">
        <v>5040</v>
      </c>
      <c r="I2688" s="0" t="s">
        <v>5041</v>
      </c>
      <c r="J2688" s="0" t="s">
        <v>5042</v>
      </c>
      <c r="K2688" s="0" t="str">
        <f aca="false">"14.55 %"</f>
        <v>14.55 %</v>
      </c>
      <c r="O2688" s="0" t="s">
        <v>9355</v>
      </c>
    </row>
    <row r="2689" customFormat="false" ht="13.8" hidden="false" customHeight="false" outlineLevel="0" collapsed="false">
      <c r="A2689" s="0" t="s">
        <v>9356</v>
      </c>
      <c r="D2689" s="0" t="s">
        <v>9357</v>
      </c>
      <c r="F2689" s="0" t="s">
        <v>9358</v>
      </c>
      <c r="G2689" s="0" t="n">
        <v>0</v>
      </c>
      <c r="H2689" s="0" t="s">
        <v>7937</v>
      </c>
      <c r="J2689" s="0" t="s">
        <v>7938</v>
      </c>
      <c r="K2689" s="0" t="str">
        <f aca="false">"6.4 %"</f>
        <v>6.4 %</v>
      </c>
      <c r="L2689" s="0" t="str">
        <f aca="false">"&gt; 1.1 V"</f>
        <v>&gt; 1.1 V</v>
      </c>
      <c r="O2689" s="0" t="s">
        <v>9359</v>
      </c>
    </row>
    <row r="2690" customFormat="false" ht="13.8" hidden="false" customHeight="false" outlineLevel="0" collapsed="false">
      <c r="A2690" s="0" t="s">
        <v>9360</v>
      </c>
      <c r="D2690" s="0" t="s">
        <v>201</v>
      </c>
      <c r="E2690" s="0" t="s">
        <v>202</v>
      </c>
      <c r="F2690" s="0" t="s">
        <v>422</v>
      </c>
      <c r="G2690" s="0" t="n">
        <v>0</v>
      </c>
      <c r="H2690" s="0" t="s">
        <v>9361</v>
      </c>
      <c r="J2690" s="0" t="s">
        <v>9362</v>
      </c>
      <c r="K2690" s="0" t="str">
        <f aca="false">"52 %"</f>
        <v>52 %</v>
      </c>
      <c r="O2690" s="0" t="s">
        <v>9363</v>
      </c>
    </row>
    <row r="2691" customFormat="false" ht="13.8" hidden="false" customHeight="false" outlineLevel="0" collapsed="false">
      <c r="A2691" s="0" t="s">
        <v>9364</v>
      </c>
      <c r="D2691" s="0" t="s">
        <v>5344</v>
      </c>
      <c r="E2691" s="0" t="s">
        <v>5345</v>
      </c>
      <c r="F2691" s="0" t="s">
        <v>5346</v>
      </c>
      <c r="G2691" s="0" t="n">
        <v>0</v>
      </c>
      <c r="H2691" s="0" t="s">
        <v>9365</v>
      </c>
      <c r="I2691" s="0" t="s">
        <v>9162</v>
      </c>
      <c r="J2691" s="0" t="s">
        <v>9366</v>
      </c>
      <c r="K2691" s="0" t="str">
        <f aca="false">"18.2 %"</f>
        <v>18.2 %</v>
      </c>
      <c r="L2691" s="0" t="str">
        <f aca="false">"0.957 V"</f>
        <v>0.957 V</v>
      </c>
      <c r="O2691" s="0" t="s">
        <v>9367</v>
      </c>
    </row>
    <row r="2692" customFormat="false" ht="13.8" hidden="false" customHeight="false" outlineLevel="0" collapsed="false">
      <c r="A2692" s="0" t="s">
        <v>9368</v>
      </c>
      <c r="D2692" s="0" t="s">
        <v>1116</v>
      </c>
      <c r="E2692" s="0" t="s">
        <v>1117</v>
      </c>
      <c r="F2692" s="0" t="s">
        <v>1118</v>
      </c>
      <c r="G2692" s="0" t="n">
        <v>0</v>
      </c>
      <c r="H2692" s="0" t="s">
        <v>9369</v>
      </c>
      <c r="J2692" s="0" t="s">
        <v>9370</v>
      </c>
      <c r="K2692" s="0" t="str">
        <f aca="false">"17.10 %"</f>
        <v>17.10 %</v>
      </c>
      <c r="O2692" s="0" t="s">
        <v>9371</v>
      </c>
    </row>
    <row r="2693" customFormat="false" ht="13.8" hidden="false" customHeight="false" outlineLevel="0" collapsed="false">
      <c r="A2693" s="0" t="s">
        <v>9368</v>
      </c>
      <c r="D2693" s="0" t="s">
        <v>1116</v>
      </c>
      <c r="E2693" s="0" t="s">
        <v>1117</v>
      </c>
      <c r="F2693" s="0" t="s">
        <v>1118</v>
      </c>
      <c r="G2693" s="0" t="n">
        <v>0</v>
      </c>
      <c r="H2693" s="0" t="s">
        <v>5040</v>
      </c>
      <c r="I2693" s="0" t="s">
        <v>5041</v>
      </c>
      <c r="J2693" s="0" t="s">
        <v>5042</v>
      </c>
      <c r="K2693" s="0" t="str">
        <f aca="false">"14.17 %"</f>
        <v>14.17 %</v>
      </c>
      <c r="O2693" s="0" t="s">
        <v>9372</v>
      </c>
    </row>
    <row r="2694" customFormat="false" ht="13.8" hidden="false" customHeight="false" outlineLevel="0" collapsed="false">
      <c r="A2694" s="0" t="s">
        <v>9368</v>
      </c>
      <c r="D2694" s="0" t="s">
        <v>1116</v>
      </c>
      <c r="E2694" s="0" t="s">
        <v>1117</v>
      </c>
      <c r="F2694" s="0" t="s">
        <v>1118</v>
      </c>
      <c r="G2694" s="0" t="n">
        <v>0</v>
      </c>
      <c r="H2694" s="0" t="s">
        <v>9373</v>
      </c>
      <c r="J2694" s="0" t="s">
        <v>9374</v>
      </c>
      <c r="K2694" s="0" t="str">
        <f aca="false">"9.55 %"</f>
        <v>9.55 %</v>
      </c>
      <c r="O2694" s="0" t="s">
        <v>9375</v>
      </c>
    </row>
    <row r="2695" customFormat="false" ht="13.8" hidden="false" customHeight="false" outlineLevel="0" collapsed="false">
      <c r="A2695" s="0" t="s">
        <v>9376</v>
      </c>
      <c r="D2695" s="0" t="s">
        <v>599</v>
      </c>
      <c r="E2695" s="0" t="s">
        <v>600</v>
      </c>
      <c r="F2695" s="0" t="s">
        <v>601</v>
      </c>
      <c r="G2695" s="0" t="n">
        <v>0</v>
      </c>
      <c r="H2695" s="0" t="s">
        <v>9377</v>
      </c>
      <c r="J2695" s="0" t="s">
        <v>9378</v>
      </c>
      <c r="K2695" s="0" t="str">
        <f aca="false">"11.61 %"</f>
        <v>11.61 %</v>
      </c>
      <c r="L2695" s="0" t="str">
        <f aca="false">"0.97 V"</f>
        <v>0.97 V</v>
      </c>
      <c r="O2695" s="0" t="s">
        <v>9379</v>
      </c>
    </row>
    <row r="2696" customFormat="false" ht="13.8" hidden="false" customHeight="false" outlineLevel="0" collapsed="false">
      <c r="A2696" s="0" t="s">
        <v>9380</v>
      </c>
      <c r="C2696" s="0" t="n">
        <v>1</v>
      </c>
      <c r="D2696" s="0" t="s">
        <v>1116</v>
      </c>
      <c r="E2696" s="0" t="s">
        <v>1117</v>
      </c>
      <c r="F2696" s="0" t="s">
        <v>1118</v>
      </c>
      <c r="G2696" s="0" t="n">
        <v>0</v>
      </c>
      <c r="H2696" s="0" t="s">
        <v>9381</v>
      </c>
      <c r="J2696" s="0" t="s">
        <v>9382</v>
      </c>
      <c r="K2696" s="0" t="str">
        <f aca="false">"16.63 %"</f>
        <v>16.63 %</v>
      </c>
      <c r="O2696" s="0" t="s">
        <v>9383</v>
      </c>
    </row>
    <row r="2697" customFormat="false" ht="13.8" hidden="false" customHeight="false" outlineLevel="0" collapsed="false">
      <c r="A2697" s="0" t="s">
        <v>9384</v>
      </c>
      <c r="D2697" s="0" t="s">
        <v>8905</v>
      </c>
      <c r="F2697" s="0" t="s">
        <v>9385</v>
      </c>
      <c r="G2697" s="0" t="n">
        <v>0</v>
      </c>
      <c r="H2697" s="0" t="s">
        <v>9386</v>
      </c>
      <c r="J2697" s="0" t="s">
        <v>9387</v>
      </c>
      <c r="K2697" s="0" t="str">
        <f aca="false">"11.2 %"</f>
        <v>11.2 %</v>
      </c>
      <c r="O2697" s="0" t="s">
        <v>9388</v>
      </c>
    </row>
    <row r="2698" customFormat="false" ht="13.8" hidden="false" customHeight="false" outlineLevel="0" collapsed="false">
      <c r="A2698" s="0" t="s">
        <v>9384</v>
      </c>
      <c r="D2698" s="0" t="s">
        <v>8905</v>
      </c>
      <c r="F2698" s="0" t="s">
        <v>9385</v>
      </c>
      <c r="G2698" s="0" t="n">
        <v>0</v>
      </c>
      <c r="H2698" s="0" t="s">
        <v>9389</v>
      </c>
      <c r="J2698" s="0" t="s">
        <v>9387</v>
      </c>
      <c r="K2698" s="0" t="str">
        <f aca="false">"2.1 %"</f>
        <v>2.1 %</v>
      </c>
      <c r="O2698" s="0" t="s">
        <v>9390</v>
      </c>
    </row>
    <row r="2699" customFormat="false" ht="13.8" hidden="false" customHeight="false" outlineLevel="0" collapsed="false">
      <c r="A2699" s="0" t="s">
        <v>9384</v>
      </c>
      <c r="D2699" s="0" t="s">
        <v>9391</v>
      </c>
      <c r="F2699" s="0" t="s">
        <v>9392</v>
      </c>
      <c r="G2699" s="0" t="n">
        <v>0</v>
      </c>
      <c r="H2699" s="0" t="s">
        <v>9389</v>
      </c>
      <c r="J2699" s="0" t="s">
        <v>9387</v>
      </c>
      <c r="K2699" s="0" t="str">
        <f aca="false">"10.1 %"</f>
        <v>10.1 %</v>
      </c>
      <c r="O2699" s="0" t="s">
        <v>9393</v>
      </c>
    </row>
    <row r="2700" customFormat="false" ht="13.8" hidden="false" customHeight="false" outlineLevel="0" collapsed="false">
      <c r="A2700" s="0" t="s">
        <v>9394</v>
      </c>
      <c r="D2700" s="0" t="s">
        <v>1116</v>
      </c>
      <c r="E2700" s="0" t="s">
        <v>1117</v>
      </c>
      <c r="F2700" s="0" t="s">
        <v>9395</v>
      </c>
      <c r="G2700" s="0" t="n">
        <v>0</v>
      </c>
      <c r="H2700" s="0" t="s">
        <v>9396</v>
      </c>
      <c r="J2700" s="0" t="s">
        <v>9397</v>
      </c>
      <c r="K2700" s="0" t="str">
        <f aca="false">"17 %"</f>
        <v>17 %</v>
      </c>
      <c r="O2700" s="0" t="s">
        <v>9398</v>
      </c>
    </row>
    <row r="2701" customFormat="false" ht="13.8" hidden="false" customHeight="false" outlineLevel="0" collapsed="false">
      <c r="A2701" s="0" t="s">
        <v>9399</v>
      </c>
      <c r="D2701" s="0" t="s">
        <v>201</v>
      </c>
      <c r="E2701" s="0" t="s">
        <v>202</v>
      </c>
      <c r="F2701" s="0" t="s">
        <v>422</v>
      </c>
      <c r="G2701" s="0" t="n">
        <v>1</v>
      </c>
      <c r="H2701" s="0" t="s">
        <v>27</v>
      </c>
      <c r="J2701" s="0" t="s">
        <v>28</v>
      </c>
      <c r="K2701" s="0" t="str">
        <f aca="false">"9.2 %"</f>
        <v>9.2 %</v>
      </c>
      <c r="O2701" s="0" t="s">
        <v>9400</v>
      </c>
    </row>
    <row r="2702" customFormat="false" ht="13.8" hidden="false" customHeight="false" outlineLevel="0" collapsed="false">
      <c r="A2702" s="0" t="s">
        <v>9401</v>
      </c>
      <c r="D2702" s="0" t="s">
        <v>1116</v>
      </c>
      <c r="E2702" s="0" t="s">
        <v>1117</v>
      </c>
      <c r="F2702" s="0" t="s">
        <v>1118</v>
      </c>
      <c r="G2702" s="0" t="n">
        <v>1</v>
      </c>
      <c r="H2702" s="0" t="s">
        <v>27</v>
      </c>
      <c r="J2702" s="0" t="s">
        <v>28</v>
      </c>
      <c r="K2702" s="0" t="str">
        <f aca="false">"15.60 %"</f>
        <v>15.60 %</v>
      </c>
      <c r="O2702" s="0" t="s">
        <v>9402</v>
      </c>
    </row>
    <row r="2703" customFormat="false" ht="13.8" hidden="false" customHeight="false" outlineLevel="0" collapsed="false">
      <c r="A2703" s="0" t="s">
        <v>9401</v>
      </c>
      <c r="D2703" s="0" t="s">
        <v>1386</v>
      </c>
      <c r="E2703" s="0" t="s">
        <v>1387</v>
      </c>
      <c r="F2703" s="0" t="s">
        <v>1388</v>
      </c>
      <c r="G2703" s="0" t="n">
        <v>1</v>
      </c>
      <c r="H2703" s="0" t="s">
        <v>27</v>
      </c>
      <c r="J2703" s="0" t="s">
        <v>28</v>
      </c>
      <c r="K2703" s="0" t="str">
        <f aca="false">"17.51 %"</f>
        <v>17.51 %</v>
      </c>
      <c r="O2703" s="0" t="s">
        <v>9403</v>
      </c>
    </row>
    <row r="2704" customFormat="false" ht="13.8" hidden="false" customHeight="false" outlineLevel="0" collapsed="false">
      <c r="A2704" s="0" t="s">
        <v>9404</v>
      </c>
      <c r="D2704" s="0" t="s">
        <v>4350</v>
      </c>
      <c r="E2704" s="0" t="s">
        <v>6757</v>
      </c>
      <c r="F2704" s="0" t="s">
        <v>9405</v>
      </c>
      <c r="G2704" s="0" t="n">
        <v>0</v>
      </c>
      <c r="H2704" s="0" t="s">
        <v>9406</v>
      </c>
      <c r="J2704" s="0" t="s">
        <v>40</v>
      </c>
      <c r="K2704" s="0" t="str">
        <f aca="false">"11.14 %"</f>
        <v>11.14 %</v>
      </c>
      <c r="M2704" s="0" t="str">
        <f aca="false">"23.00 mA cm^{-2}"</f>
        <v>23.00 mA cm^{-2}</v>
      </c>
      <c r="N2704" s="0" t="str">
        <f aca="false">"0.67"</f>
        <v>0.67</v>
      </c>
      <c r="O2704" s="0" t="s">
        <v>9407</v>
      </c>
    </row>
    <row r="2705" customFormat="false" ht="13.8" hidden="false" customHeight="false" outlineLevel="0" collapsed="false">
      <c r="A2705" s="0" t="s">
        <v>9408</v>
      </c>
      <c r="D2705" s="0" t="s">
        <v>599</v>
      </c>
      <c r="E2705" s="0" t="s">
        <v>600</v>
      </c>
      <c r="F2705" s="0" t="s">
        <v>601</v>
      </c>
      <c r="G2705" s="0" t="n">
        <v>0</v>
      </c>
      <c r="H2705" s="0" t="s">
        <v>9409</v>
      </c>
      <c r="J2705" s="0" t="s">
        <v>40</v>
      </c>
      <c r="K2705" s="0" t="str">
        <f aca="false">"5.67 %"</f>
        <v>5.67 %</v>
      </c>
      <c r="O2705" s="0" t="s">
        <v>9410</v>
      </c>
    </row>
    <row r="2706" customFormat="false" ht="13.8" hidden="false" customHeight="false" outlineLevel="0" collapsed="false">
      <c r="A2706" s="0" t="s">
        <v>9411</v>
      </c>
      <c r="D2706" s="0" t="s">
        <v>9412</v>
      </c>
      <c r="F2706" s="0" t="s">
        <v>9413</v>
      </c>
      <c r="G2706" s="0" t="n">
        <v>0</v>
      </c>
      <c r="H2706" s="0" t="s">
        <v>5040</v>
      </c>
      <c r="I2706" s="0" t="s">
        <v>5041</v>
      </c>
      <c r="J2706" s="0" t="s">
        <v>5352</v>
      </c>
      <c r="K2706" s="0" t="str">
        <f aca="false">"17.62 %"</f>
        <v>17.62 %</v>
      </c>
      <c r="O2706" s="0" t="s">
        <v>9414</v>
      </c>
    </row>
    <row r="2707" customFormat="false" ht="13.8" hidden="false" customHeight="false" outlineLevel="0" collapsed="false">
      <c r="A2707" s="0" t="s">
        <v>9411</v>
      </c>
      <c r="D2707" s="0" t="s">
        <v>9415</v>
      </c>
      <c r="F2707" s="0" t="s">
        <v>9416</v>
      </c>
      <c r="G2707" s="0" t="n">
        <v>0</v>
      </c>
      <c r="H2707" s="0" t="s">
        <v>5040</v>
      </c>
      <c r="I2707" s="0" t="s">
        <v>5041</v>
      </c>
      <c r="J2707" s="0" t="s">
        <v>5352</v>
      </c>
      <c r="K2707" s="0" t="str">
        <f aca="false">"15.55 %"</f>
        <v>15.55 %</v>
      </c>
      <c r="N2707" s="0" t="str">
        <f aca="false">"77.91 %"</f>
        <v>77.91 %</v>
      </c>
      <c r="O2707" s="0" t="s">
        <v>9417</v>
      </c>
    </row>
    <row r="2708" customFormat="false" ht="13.8" hidden="false" customHeight="false" outlineLevel="0" collapsed="false">
      <c r="A2708" s="0" t="s">
        <v>9418</v>
      </c>
      <c r="D2708" s="0" t="s">
        <v>8683</v>
      </c>
      <c r="E2708" s="0" t="s">
        <v>8684</v>
      </c>
      <c r="F2708" s="0" t="s">
        <v>8685</v>
      </c>
      <c r="G2708" s="0" t="n">
        <v>0</v>
      </c>
      <c r="H2708" s="0" t="s">
        <v>1712</v>
      </c>
      <c r="I2708" s="0" t="s">
        <v>1713</v>
      </c>
      <c r="J2708" s="0" t="s">
        <v>1714</v>
      </c>
      <c r="K2708" s="0" t="str">
        <f aca="false">"12.14 %"</f>
        <v>12.14 %</v>
      </c>
      <c r="O2708" s="0" t="s">
        <v>9419</v>
      </c>
    </row>
    <row r="2709" customFormat="false" ht="13.8" hidden="false" customHeight="false" outlineLevel="0" collapsed="false">
      <c r="A2709" s="0" t="s">
        <v>9420</v>
      </c>
      <c r="D2709" s="0" t="s">
        <v>8683</v>
      </c>
      <c r="E2709" s="0" t="s">
        <v>8684</v>
      </c>
      <c r="F2709" s="0" t="s">
        <v>8685</v>
      </c>
      <c r="G2709" s="0" t="n">
        <v>0</v>
      </c>
      <c r="H2709" s="0" t="s">
        <v>1472</v>
      </c>
      <c r="I2709" s="0" t="s">
        <v>6174</v>
      </c>
      <c r="J2709" s="0" t="s">
        <v>5341</v>
      </c>
      <c r="K2709" s="0" t="str">
        <f aca="false">"11 %"</f>
        <v>11 %</v>
      </c>
      <c r="O2709" s="0" t="s">
        <v>9421</v>
      </c>
    </row>
    <row r="2710" customFormat="false" ht="13.8" hidden="false" customHeight="false" outlineLevel="0" collapsed="false">
      <c r="A2710" s="0" t="s">
        <v>9422</v>
      </c>
      <c r="D2710" s="0" t="s">
        <v>9423</v>
      </c>
      <c r="E2710" s="0" t="s">
        <v>9424</v>
      </c>
      <c r="F2710" s="0" t="s">
        <v>9425</v>
      </c>
      <c r="G2710" s="0" t="n">
        <v>0</v>
      </c>
      <c r="H2710" s="0" t="s">
        <v>9426</v>
      </c>
      <c r="J2710" s="0" t="s">
        <v>9427</v>
      </c>
      <c r="K2710" s="0" t="str">
        <f aca="false">"16.1 %"</f>
        <v>16.1 %</v>
      </c>
      <c r="O2710" s="0" t="s">
        <v>9428</v>
      </c>
    </row>
    <row r="2711" customFormat="false" ht="13.8" hidden="false" customHeight="false" outlineLevel="0" collapsed="false">
      <c r="A2711" s="0" t="s">
        <v>9429</v>
      </c>
      <c r="D2711" s="0" t="s">
        <v>642</v>
      </c>
      <c r="E2711" s="0" t="s">
        <v>643</v>
      </c>
      <c r="F2711" s="0" t="s">
        <v>644</v>
      </c>
      <c r="G2711" s="0" t="n">
        <v>0</v>
      </c>
      <c r="H2711" s="0" t="s">
        <v>1712</v>
      </c>
      <c r="I2711" s="0" t="s">
        <v>1713</v>
      </c>
      <c r="J2711" s="0" t="s">
        <v>1714</v>
      </c>
      <c r="K2711" s="0" t="str">
        <f aca="false">"10.5 %"</f>
        <v>10.5 %</v>
      </c>
      <c r="L2711" s="0" t="str">
        <f aca="false">"0.92 V"</f>
        <v>0.92 V</v>
      </c>
      <c r="M2711" s="0" t="str">
        <f aca="false">"16.4 mA cm^{-2}"</f>
        <v>16.4 mA cm^{-2}</v>
      </c>
      <c r="N2711" s="0" t="str">
        <f aca="false">"76.2 %"</f>
        <v>76.2 %</v>
      </c>
      <c r="O2711" s="0" t="s">
        <v>9430</v>
      </c>
    </row>
    <row r="2712" customFormat="false" ht="13.8" hidden="false" customHeight="false" outlineLevel="0" collapsed="false">
      <c r="A2712" s="0" t="s">
        <v>9431</v>
      </c>
      <c r="D2712" s="0" t="s">
        <v>1116</v>
      </c>
      <c r="E2712" s="0" t="s">
        <v>1117</v>
      </c>
      <c r="F2712" s="0" t="s">
        <v>1118</v>
      </c>
      <c r="G2712" s="0" t="n">
        <v>0</v>
      </c>
      <c r="H2712" s="0" t="s">
        <v>9432</v>
      </c>
      <c r="J2712" s="0" t="s">
        <v>9433</v>
      </c>
      <c r="K2712" s="0" t="str">
        <f aca="false">"16.2 %"</f>
        <v>16.2 %</v>
      </c>
      <c r="O2712" s="0" t="s">
        <v>9434</v>
      </c>
    </row>
    <row r="2713" customFormat="false" ht="13.8" hidden="false" customHeight="false" outlineLevel="0" collapsed="false">
      <c r="A2713" s="0" t="s">
        <v>9435</v>
      </c>
      <c r="D2713" s="0" t="s">
        <v>1116</v>
      </c>
      <c r="E2713" s="0" t="s">
        <v>1117</v>
      </c>
      <c r="F2713" s="0" t="s">
        <v>1118</v>
      </c>
      <c r="G2713" s="0" t="n">
        <v>0</v>
      </c>
      <c r="H2713" s="0" t="s">
        <v>8829</v>
      </c>
      <c r="I2713" s="0" t="s">
        <v>5041</v>
      </c>
      <c r="J2713" s="0" t="s">
        <v>8830</v>
      </c>
      <c r="K2713" s="0" t="str">
        <f aca="false">"18 %"</f>
        <v>18 %</v>
      </c>
      <c r="O2713" s="0" t="s">
        <v>9436</v>
      </c>
    </row>
    <row r="2714" customFormat="false" ht="13.8" hidden="false" customHeight="false" outlineLevel="0" collapsed="false">
      <c r="A2714" s="0" t="s">
        <v>9437</v>
      </c>
      <c r="D2714" s="0" t="s">
        <v>4924</v>
      </c>
      <c r="E2714" s="0" t="s">
        <v>4925</v>
      </c>
      <c r="F2714" s="0" t="s">
        <v>4926</v>
      </c>
      <c r="G2714" s="0" t="n">
        <v>0</v>
      </c>
      <c r="H2714" s="0" t="s">
        <v>9438</v>
      </c>
      <c r="I2714" s="0" t="s">
        <v>9439</v>
      </c>
      <c r="J2714" s="0" t="s">
        <v>9440</v>
      </c>
      <c r="K2714" s="0" t="str">
        <f aca="false">"13.65 %"</f>
        <v>13.65 %</v>
      </c>
      <c r="O2714" s="0" t="s">
        <v>9441</v>
      </c>
    </row>
    <row r="2715" customFormat="false" ht="13.8" hidden="false" customHeight="false" outlineLevel="0" collapsed="false">
      <c r="A2715" s="0" t="s">
        <v>9442</v>
      </c>
      <c r="D2715" s="0" t="s">
        <v>9443</v>
      </c>
      <c r="F2715" s="0" t="s">
        <v>9444</v>
      </c>
      <c r="G2715" s="0" t="n">
        <v>1</v>
      </c>
      <c r="H2715" s="0" t="s">
        <v>27</v>
      </c>
      <c r="J2715" s="0" t="s">
        <v>28</v>
      </c>
      <c r="K2715" s="0" t="str">
        <f aca="false">"8.07 %"</f>
        <v>8.07 %</v>
      </c>
      <c r="O2715" s="0" t="s">
        <v>9445</v>
      </c>
    </row>
    <row r="2716" customFormat="false" ht="13.8" hidden="false" customHeight="false" outlineLevel="0" collapsed="false">
      <c r="A2716" s="0" t="s">
        <v>9446</v>
      </c>
      <c r="D2716" s="0" t="s">
        <v>8683</v>
      </c>
      <c r="E2716" s="0" t="s">
        <v>8684</v>
      </c>
      <c r="F2716" s="0" t="s">
        <v>8685</v>
      </c>
      <c r="G2716" s="0" t="n">
        <v>1</v>
      </c>
      <c r="H2716" s="0" t="s">
        <v>27</v>
      </c>
      <c r="J2716" s="0" t="s">
        <v>28</v>
      </c>
      <c r="K2716" s="0" t="str">
        <f aca="false">"5.22 %"</f>
        <v>5.22 %</v>
      </c>
      <c r="O2716" s="0" t="s">
        <v>9447</v>
      </c>
    </row>
    <row r="2717" customFormat="false" ht="13.8" hidden="false" customHeight="false" outlineLevel="0" collapsed="false">
      <c r="A2717" s="0" t="s">
        <v>9448</v>
      </c>
      <c r="D2717" s="0" t="s">
        <v>599</v>
      </c>
      <c r="E2717" s="0" t="s">
        <v>600</v>
      </c>
      <c r="F2717" s="0" t="s">
        <v>601</v>
      </c>
      <c r="G2717" s="0" t="n">
        <v>0</v>
      </c>
      <c r="H2717" s="0" t="s">
        <v>9449</v>
      </c>
      <c r="J2717" s="0" t="s">
        <v>9450</v>
      </c>
      <c r="K2717" s="0" t="str">
        <f aca="false">"11.75 %"</f>
        <v>11.75 %</v>
      </c>
      <c r="O2717" s="0" t="s">
        <v>9451</v>
      </c>
    </row>
    <row r="2718" customFormat="false" ht="13.8" hidden="false" customHeight="false" outlineLevel="0" collapsed="false">
      <c r="A2718" s="0" t="s">
        <v>9448</v>
      </c>
      <c r="D2718" s="0" t="s">
        <v>599</v>
      </c>
      <c r="E2718" s="0" t="s">
        <v>600</v>
      </c>
      <c r="F2718" s="0" t="s">
        <v>601</v>
      </c>
      <c r="G2718" s="0" t="n">
        <v>0</v>
      </c>
      <c r="H2718" s="0" t="s">
        <v>9452</v>
      </c>
      <c r="J2718" s="0" t="s">
        <v>9453</v>
      </c>
      <c r="K2718" s="0" t="str">
        <f aca="false">"12.77 %"</f>
        <v>12.77 %</v>
      </c>
      <c r="O2718" s="0" t="s">
        <v>9454</v>
      </c>
    </row>
    <row r="2719" customFormat="false" ht="13.8" hidden="false" customHeight="false" outlineLevel="0" collapsed="false">
      <c r="A2719" s="0" t="s">
        <v>9455</v>
      </c>
      <c r="D2719" s="0" t="s">
        <v>9456</v>
      </c>
      <c r="F2719" s="0" t="s">
        <v>9457</v>
      </c>
      <c r="G2719" s="0" t="n">
        <v>0</v>
      </c>
      <c r="H2719" s="0" t="s">
        <v>9458</v>
      </c>
      <c r="J2719" s="0" t="s">
        <v>40</v>
      </c>
      <c r="K2719" s="0" t="str">
        <f aca="false">"10.55 %"</f>
        <v>10.55 %</v>
      </c>
      <c r="O2719" s="0" t="s">
        <v>9459</v>
      </c>
    </row>
    <row r="2720" customFormat="false" ht="13.8" hidden="false" customHeight="false" outlineLevel="0" collapsed="false">
      <c r="A2720" s="0" t="s">
        <v>9460</v>
      </c>
      <c r="D2720" s="0" t="s">
        <v>9461</v>
      </c>
      <c r="F2720" s="0" t="s">
        <v>9462</v>
      </c>
      <c r="G2720" s="0" t="n">
        <v>0</v>
      </c>
      <c r="H2720" s="0" t="s">
        <v>5040</v>
      </c>
      <c r="I2720" s="0" t="s">
        <v>5041</v>
      </c>
      <c r="J2720" s="0" t="s">
        <v>5352</v>
      </c>
      <c r="K2720" s="0" t="str">
        <f aca="false">"14.50 %"</f>
        <v>14.50 %</v>
      </c>
      <c r="L2720" s="0" t="str">
        <f aca="false">"0.89 V"</f>
        <v>0.89 V</v>
      </c>
      <c r="O2720" s="0" t="s">
        <v>9463</v>
      </c>
    </row>
    <row r="2721" customFormat="false" ht="13.8" hidden="false" customHeight="false" outlineLevel="0" collapsed="false">
      <c r="A2721" s="0" t="s">
        <v>9464</v>
      </c>
      <c r="D2721" s="0" t="s">
        <v>9465</v>
      </c>
      <c r="F2721" s="0" t="s">
        <v>9466</v>
      </c>
      <c r="G2721" s="0" t="n">
        <v>0</v>
      </c>
      <c r="H2721" s="0" t="s">
        <v>9467</v>
      </c>
      <c r="J2721" s="0" t="s">
        <v>9468</v>
      </c>
      <c r="K2721" s="0" t="str">
        <f aca="false">"3.68-5.21 %"</f>
        <v>3.68-5.21 %</v>
      </c>
      <c r="O2721" s="0" t="s">
        <v>9469</v>
      </c>
    </row>
    <row r="2722" customFormat="false" ht="13.8" hidden="false" customHeight="false" outlineLevel="0" collapsed="false">
      <c r="A2722" s="0" t="s">
        <v>9464</v>
      </c>
      <c r="F2722" s="0" t="s">
        <v>40</v>
      </c>
      <c r="G2722" s="0" t="n">
        <v>0</v>
      </c>
      <c r="H2722" s="0" t="s">
        <v>9467</v>
      </c>
      <c r="J2722" s="0" t="s">
        <v>9468</v>
      </c>
      <c r="K2722" s="0" t="str">
        <f aca="false">"5.21 %"</f>
        <v>5.21 %</v>
      </c>
      <c r="O2722" s="0" t="s">
        <v>9470</v>
      </c>
    </row>
    <row r="2723" customFormat="false" ht="13.8" hidden="false" customHeight="false" outlineLevel="0" collapsed="false">
      <c r="A2723" s="0" t="s">
        <v>9471</v>
      </c>
      <c r="D2723" s="0" t="s">
        <v>16</v>
      </c>
      <c r="E2723" s="0" t="s">
        <v>17</v>
      </c>
      <c r="F2723" s="0" t="s">
        <v>18</v>
      </c>
      <c r="G2723" s="0" t="n">
        <v>0</v>
      </c>
      <c r="H2723" s="0" t="s">
        <v>9472</v>
      </c>
      <c r="J2723" s="0" t="s">
        <v>9473</v>
      </c>
      <c r="K2723" s="0" t="str">
        <f aca="false">"10 %"</f>
        <v>10 %</v>
      </c>
      <c r="O2723" s="0" t="s">
        <v>9474</v>
      </c>
    </row>
    <row r="2724" customFormat="false" ht="13.8" hidden="false" customHeight="false" outlineLevel="0" collapsed="false">
      <c r="A2724" s="0" t="s">
        <v>9475</v>
      </c>
      <c r="D2724" s="0" t="s">
        <v>8297</v>
      </c>
      <c r="F2724" s="0" t="s">
        <v>8298</v>
      </c>
      <c r="G2724" s="0" t="n">
        <v>0</v>
      </c>
      <c r="H2724" s="0" t="s">
        <v>7569</v>
      </c>
      <c r="J2724" s="0" t="s">
        <v>7570</v>
      </c>
      <c r="K2724" s="0" t="str">
        <f aca="false">"11.2 %"</f>
        <v>11.2 %</v>
      </c>
      <c r="O2724" s="0" t="s">
        <v>9476</v>
      </c>
    </row>
    <row r="2725" customFormat="false" ht="13.8" hidden="false" customHeight="false" outlineLevel="0" collapsed="false">
      <c r="A2725" s="0" t="s">
        <v>9477</v>
      </c>
      <c r="D2725" s="0" t="s">
        <v>1116</v>
      </c>
      <c r="E2725" s="0" t="s">
        <v>1117</v>
      </c>
      <c r="F2725" s="0" t="s">
        <v>9478</v>
      </c>
      <c r="G2725" s="0" t="n">
        <v>0</v>
      </c>
      <c r="H2725" s="0" t="s">
        <v>5040</v>
      </c>
      <c r="I2725" s="0" t="s">
        <v>5041</v>
      </c>
      <c r="J2725" s="0" t="s">
        <v>5042</v>
      </c>
      <c r="K2725" s="0" t="str">
        <f aca="false">"14.94 %"</f>
        <v>14.94 %</v>
      </c>
      <c r="O2725" s="0" t="s">
        <v>9479</v>
      </c>
    </row>
    <row r="2726" customFormat="false" ht="13.8" hidden="false" customHeight="false" outlineLevel="0" collapsed="false">
      <c r="A2726" s="0" t="s">
        <v>9477</v>
      </c>
      <c r="D2726" s="0" t="s">
        <v>1116</v>
      </c>
      <c r="E2726" s="0" t="s">
        <v>1117</v>
      </c>
      <c r="F2726" s="0" t="s">
        <v>9478</v>
      </c>
      <c r="G2726" s="0" t="n">
        <v>0</v>
      </c>
      <c r="H2726" s="0" t="s">
        <v>9480</v>
      </c>
      <c r="I2726" s="0" t="s">
        <v>1117</v>
      </c>
      <c r="J2726" s="0" t="s">
        <v>9478</v>
      </c>
      <c r="K2726" s="0" t="str">
        <f aca="false">"16.73 %"</f>
        <v>16.73 %</v>
      </c>
      <c r="O2726" s="0" t="s">
        <v>9481</v>
      </c>
    </row>
    <row r="2727" customFormat="false" ht="13.8" hidden="false" customHeight="false" outlineLevel="0" collapsed="false">
      <c r="A2727" s="0" t="s">
        <v>9482</v>
      </c>
      <c r="D2727" s="0" t="s">
        <v>1116</v>
      </c>
      <c r="E2727" s="0" t="s">
        <v>1117</v>
      </c>
      <c r="F2727" s="0" t="s">
        <v>1118</v>
      </c>
      <c r="G2727" s="0" t="n">
        <v>0</v>
      </c>
      <c r="H2727" s="0" t="s">
        <v>9483</v>
      </c>
      <c r="J2727" s="0" t="s">
        <v>9484</v>
      </c>
      <c r="K2727" s="0" t="str">
        <f aca="false">"16.5 %"</f>
        <v>16.5 %</v>
      </c>
      <c r="O2727" s="0" t="s">
        <v>9485</v>
      </c>
    </row>
    <row r="2728" customFormat="false" ht="13.8" hidden="false" customHeight="false" outlineLevel="0" collapsed="false">
      <c r="A2728" s="0" t="s">
        <v>9482</v>
      </c>
      <c r="D2728" s="0" t="s">
        <v>9483</v>
      </c>
      <c r="F2728" s="0" t="s">
        <v>9484</v>
      </c>
      <c r="G2728" s="0" t="n">
        <v>0</v>
      </c>
      <c r="H2728" s="0" t="s">
        <v>9486</v>
      </c>
      <c r="J2728" s="0" t="s">
        <v>9487</v>
      </c>
      <c r="K2728" s="0" t="str">
        <f aca="false">"17.3 %"</f>
        <v>17.3 %</v>
      </c>
      <c r="O2728" s="0" t="s">
        <v>9488</v>
      </c>
    </row>
    <row r="2729" customFormat="false" ht="13.8" hidden="false" customHeight="false" outlineLevel="0" collapsed="false">
      <c r="A2729" s="0" t="s">
        <v>9489</v>
      </c>
      <c r="D2729" s="0" t="s">
        <v>9490</v>
      </c>
      <c r="F2729" s="0" t="s">
        <v>9491</v>
      </c>
      <c r="G2729" s="0" t="n">
        <v>0</v>
      </c>
      <c r="H2729" s="0" t="s">
        <v>9492</v>
      </c>
      <c r="J2729" s="0" t="s">
        <v>40</v>
      </c>
      <c r="K2729" s="0" t="str">
        <f aca="false">"9.22 %"</f>
        <v>9.22 %</v>
      </c>
      <c r="L2729" s="0" t="str">
        <f aca="false">"0.739 V"</f>
        <v>0.739 V</v>
      </c>
      <c r="O2729" s="0" t="s">
        <v>9493</v>
      </c>
    </row>
    <row r="2730" customFormat="false" ht="13.8" hidden="false" customHeight="false" outlineLevel="0" collapsed="false">
      <c r="A2730" s="0" t="s">
        <v>9494</v>
      </c>
      <c r="D2730" s="0" t="s">
        <v>9495</v>
      </c>
      <c r="E2730" s="0" t="s">
        <v>1117</v>
      </c>
      <c r="F2730" s="0" t="s">
        <v>9496</v>
      </c>
      <c r="G2730" s="0" t="n">
        <v>0</v>
      </c>
      <c r="H2730" s="0" t="s">
        <v>5040</v>
      </c>
      <c r="I2730" s="0" t="s">
        <v>5041</v>
      </c>
      <c r="J2730" s="0" t="s">
        <v>5042</v>
      </c>
      <c r="K2730" s="0" t="str">
        <f aca="false">"16.71 %"</f>
        <v>16.71 %</v>
      </c>
      <c r="O2730" s="0" t="s">
        <v>9497</v>
      </c>
    </row>
    <row r="2731" customFormat="false" ht="13.8" hidden="false" customHeight="false" outlineLevel="0" collapsed="false">
      <c r="A2731" s="0" t="s">
        <v>9494</v>
      </c>
      <c r="D2731" s="0" t="s">
        <v>9498</v>
      </c>
      <c r="E2731" s="0" t="s">
        <v>1117</v>
      </c>
      <c r="F2731" s="0" t="s">
        <v>9496</v>
      </c>
      <c r="G2731" s="0" t="n">
        <v>0</v>
      </c>
      <c r="H2731" s="0" t="s">
        <v>5040</v>
      </c>
      <c r="I2731" s="0" t="s">
        <v>5041</v>
      </c>
      <c r="J2731" s="0" t="s">
        <v>5042</v>
      </c>
      <c r="K2731" s="0" t="str">
        <f aca="false">"15.65 %"</f>
        <v>15.65 %</v>
      </c>
      <c r="L2731" s="0" t="str">
        <f aca="false">"0.848 V"</f>
        <v>0.848 V</v>
      </c>
      <c r="M2731" s="0" t="str">
        <f aca="false">"26.16 mA cm^{-2}"</f>
        <v>26.16 mA cm^{-2}</v>
      </c>
      <c r="N2731" s="0" t="str">
        <f aca="false">"75.33 %"</f>
        <v>75.33 %</v>
      </c>
      <c r="O2731" s="0" t="s">
        <v>9499</v>
      </c>
    </row>
    <row r="2732" customFormat="false" ht="13.8" hidden="false" customHeight="false" outlineLevel="0" collapsed="false">
      <c r="A2732" s="0" t="s">
        <v>9500</v>
      </c>
      <c r="D2732" s="0" t="s">
        <v>2132</v>
      </c>
      <c r="F2732" s="0" t="s">
        <v>9501</v>
      </c>
      <c r="G2732" s="0" t="n">
        <v>0</v>
      </c>
      <c r="H2732" s="0" t="s">
        <v>5040</v>
      </c>
      <c r="I2732" s="0" t="s">
        <v>5041</v>
      </c>
      <c r="J2732" s="0" t="s">
        <v>5352</v>
      </c>
      <c r="K2732" s="0" t="str">
        <f aca="false">"17.3 %"</f>
        <v>17.3 %</v>
      </c>
      <c r="O2732" s="0" t="s">
        <v>9502</v>
      </c>
    </row>
    <row r="2733" customFormat="false" ht="13.8" hidden="false" customHeight="false" outlineLevel="0" collapsed="false">
      <c r="A2733" s="0" t="s">
        <v>9500</v>
      </c>
      <c r="D2733" s="0" t="s">
        <v>1116</v>
      </c>
      <c r="E2733" s="0" t="s">
        <v>1117</v>
      </c>
      <c r="F2733" s="0" t="s">
        <v>1118</v>
      </c>
      <c r="G2733" s="0" t="n">
        <v>0</v>
      </c>
      <c r="H2733" s="0" t="s">
        <v>5040</v>
      </c>
      <c r="I2733" s="0" t="s">
        <v>5041</v>
      </c>
      <c r="J2733" s="0" t="s">
        <v>5352</v>
      </c>
      <c r="K2733" s="0" t="str">
        <f aca="false">"16.2 %"</f>
        <v>16.2 %</v>
      </c>
      <c r="O2733" s="0" t="s">
        <v>9503</v>
      </c>
    </row>
    <row r="2734" customFormat="false" ht="13.8" hidden="false" customHeight="false" outlineLevel="0" collapsed="false">
      <c r="A2734" s="0" t="s">
        <v>9504</v>
      </c>
      <c r="D2734" s="0" t="s">
        <v>1386</v>
      </c>
      <c r="E2734" s="0" t="s">
        <v>1387</v>
      </c>
      <c r="F2734" s="0" t="s">
        <v>1388</v>
      </c>
      <c r="G2734" s="0" t="n">
        <v>0</v>
      </c>
      <c r="H2734" s="0" t="s">
        <v>9505</v>
      </c>
      <c r="J2734" s="0" t="s">
        <v>9506</v>
      </c>
      <c r="K2734" s="0" t="str">
        <f aca="false">"16.04 %"</f>
        <v>16.04 %</v>
      </c>
      <c r="O2734" s="0" t="s">
        <v>9507</v>
      </c>
    </row>
    <row r="2735" customFormat="false" ht="13.8" hidden="false" customHeight="false" outlineLevel="0" collapsed="false">
      <c r="A2735" s="0" t="s">
        <v>9508</v>
      </c>
      <c r="B2735" s="0" t="n">
        <v>1</v>
      </c>
      <c r="D2735" s="0" t="s">
        <v>7617</v>
      </c>
      <c r="E2735" s="0" t="s">
        <v>7618</v>
      </c>
      <c r="F2735" s="0" t="s">
        <v>7619</v>
      </c>
      <c r="G2735" s="0" t="n">
        <v>0</v>
      </c>
      <c r="H2735" s="0" t="s">
        <v>9365</v>
      </c>
      <c r="I2735" s="0" t="s">
        <v>9162</v>
      </c>
      <c r="J2735" s="0" t="s">
        <v>9366</v>
      </c>
      <c r="K2735" s="0" t="str">
        <f aca="false">"16.4 %"</f>
        <v>16.4 %</v>
      </c>
      <c r="L2735" s="0" t="str">
        <f aca="false">"0.86 V"</f>
        <v>0.86 V</v>
      </c>
      <c r="O2735" s="0" t="s">
        <v>9509</v>
      </c>
    </row>
    <row r="2736" customFormat="false" ht="13.8" hidden="false" customHeight="false" outlineLevel="0" collapsed="false">
      <c r="A2736" s="0" t="s">
        <v>9510</v>
      </c>
      <c r="D2736" s="0" t="s">
        <v>9511</v>
      </c>
      <c r="F2736" s="0" t="s">
        <v>9512</v>
      </c>
      <c r="G2736" s="0" t="n">
        <v>0</v>
      </c>
      <c r="H2736" s="0" t="s">
        <v>9365</v>
      </c>
      <c r="I2736" s="0" t="s">
        <v>9162</v>
      </c>
      <c r="J2736" s="0" t="s">
        <v>9366</v>
      </c>
      <c r="K2736" s="0" t="str">
        <f aca="false">"16.1 %"</f>
        <v>16.1 %</v>
      </c>
      <c r="O2736" s="0" t="s">
        <v>9513</v>
      </c>
    </row>
    <row r="2737" customFormat="false" ht="13.8" hidden="false" customHeight="false" outlineLevel="0" collapsed="false">
      <c r="A2737" s="0" t="s">
        <v>9514</v>
      </c>
      <c r="D2737" s="0" t="s">
        <v>9515</v>
      </c>
      <c r="F2737" s="0" t="s">
        <v>9516</v>
      </c>
      <c r="G2737" s="0" t="n">
        <v>0</v>
      </c>
      <c r="H2737" s="0" t="s">
        <v>9517</v>
      </c>
      <c r="J2737" s="0" t="s">
        <v>9518</v>
      </c>
      <c r="K2737" s="0" t="str">
        <f aca="false">"9.84 %"</f>
        <v>9.84 %</v>
      </c>
      <c r="O2737" s="0" t="s">
        <v>9519</v>
      </c>
    </row>
    <row r="2738" customFormat="false" ht="13.8" hidden="false" customHeight="false" outlineLevel="0" collapsed="false">
      <c r="A2738" s="0" t="s">
        <v>9514</v>
      </c>
      <c r="D2738" s="0" t="s">
        <v>9520</v>
      </c>
      <c r="F2738" s="0" t="s">
        <v>9521</v>
      </c>
      <c r="G2738" s="0" t="n">
        <v>0</v>
      </c>
      <c r="H2738" s="0" t="s">
        <v>9517</v>
      </c>
      <c r="J2738" s="0" t="s">
        <v>9518</v>
      </c>
      <c r="K2738" s="0" t="str">
        <f aca="false">"6.66 %"</f>
        <v>6.66 %</v>
      </c>
      <c r="O2738" s="0" t="s">
        <v>9522</v>
      </c>
    </row>
    <row r="2739" customFormat="false" ht="13.8" hidden="false" customHeight="false" outlineLevel="0" collapsed="false">
      <c r="A2739" s="0" t="s">
        <v>9523</v>
      </c>
      <c r="D2739" s="0" t="s">
        <v>3505</v>
      </c>
      <c r="F2739" s="0" t="s">
        <v>9524</v>
      </c>
      <c r="G2739" s="0" t="n">
        <v>0</v>
      </c>
      <c r="H2739" s="0" t="s">
        <v>16</v>
      </c>
      <c r="I2739" s="0" t="s">
        <v>17</v>
      </c>
      <c r="J2739" s="0" t="s">
        <v>18</v>
      </c>
      <c r="K2739" s="0" t="str">
        <f aca="false">"6.15 %"</f>
        <v>6.15 %</v>
      </c>
      <c r="O2739" s="0" t="s">
        <v>9525</v>
      </c>
    </row>
    <row r="2740" customFormat="false" ht="13.8" hidden="false" customHeight="false" outlineLevel="0" collapsed="false">
      <c r="A2740" s="0" t="s">
        <v>9526</v>
      </c>
      <c r="D2740" s="0" t="s">
        <v>599</v>
      </c>
      <c r="E2740" s="0" t="s">
        <v>600</v>
      </c>
      <c r="F2740" s="0" t="s">
        <v>601</v>
      </c>
      <c r="G2740" s="0" t="n">
        <v>0</v>
      </c>
      <c r="H2740" s="0" t="s">
        <v>9527</v>
      </c>
      <c r="J2740" s="0" t="s">
        <v>9528</v>
      </c>
      <c r="K2740" s="0" t="str">
        <f aca="false">"3.02 %"</f>
        <v>3.02 %</v>
      </c>
      <c r="O2740" s="0" t="s">
        <v>9529</v>
      </c>
    </row>
    <row r="2741" customFormat="false" ht="13.8" hidden="false" customHeight="false" outlineLevel="0" collapsed="false">
      <c r="A2741" s="0" t="s">
        <v>9530</v>
      </c>
      <c r="D2741" s="0" t="s">
        <v>9531</v>
      </c>
      <c r="F2741" s="0" t="s">
        <v>9532</v>
      </c>
      <c r="G2741" s="0" t="n">
        <v>0</v>
      </c>
      <c r="H2741" s="0" t="s">
        <v>9533</v>
      </c>
      <c r="J2741" s="0" t="s">
        <v>9534</v>
      </c>
      <c r="K2741" s="0" t="str">
        <f aca="false">"6.42 %"</f>
        <v>6.42 %</v>
      </c>
      <c r="L2741" s="0" t="str">
        <f aca="false">"0.91 V"</f>
        <v>0.91 V</v>
      </c>
      <c r="O2741" s="0" t="s">
        <v>9535</v>
      </c>
    </row>
    <row r="2742" customFormat="false" ht="13.8" hidden="false" customHeight="false" outlineLevel="0" collapsed="false">
      <c r="A2742" s="0" t="s">
        <v>9536</v>
      </c>
      <c r="D2742" s="0" t="s">
        <v>1116</v>
      </c>
      <c r="E2742" s="0" t="s">
        <v>1117</v>
      </c>
      <c r="F2742" s="0" t="s">
        <v>1118</v>
      </c>
      <c r="G2742" s="0" t="n">
        <v>0</v>
      </c>
      <c r="H2742" s="0" t="s">
        <v>9537</v>
      </c>
      <c r="J2742" s="0" t="s">
        <v>9538</v>
      </c>
      <c r="K2742" s="0" t="str">
        <f aca="false">"4.2 %"</f>
        <v>4.2 %</v>
      </c>
      <c r="O2742" s="0" t="s">
        <v>9539</v>
      </c>
    </row>
    <row r="2743" customFormat="false" ht="13.8" hidden="false" customHeight="false" outlineLevel="0" collapsed="false">
      <c r="A2743" s="0" t="s">
        <v>9540</v>
      </c>
      <c r="D2743" s="0" t="s">
        <v>9541</v>
      </c>
      <c r="F2743" s="0" t="s">
        <v>9542</v>
      </c>
      <c r="G2743" s="0" t="n">
        <v>1</v>
      </c>
      <c r="H2743" s="0" t="s">
        <v>27</v>
      </c>
      <c r="J2743" s="0" t="s">
        <v>28</v>
      </c>
      <c r="M2743" s="0" t="str">
        <f aca="false">"7.24 mA cm^{-2}"</f>
        <v>7.24 mA cm^{-2}</v>
      </c>
      <c r="N2743" s="0" t="str">
        <f aca="false">"50.6 %"</f>
        <v>50.6 %</v>
      </c>
      <c r="O2743" s="0" t="s">
        <v>9543</v>
      </c>
    </row>
    <row r="2744" customFormat="false" ht="13.8" hidden="false" customHeight="false" outlineLevel="0" collapsed="false">
      <c r="A2744" s="0" t="s">
        <v>9540</v>
      </c>
      <c r="D2744" s="0" t="s">
        <v>9544</v>
      </c>
      <c r="F2744" s="0" t="s">
        <v>9545</v>
      </c>
      <c r="G2744" s="0" t="n">
        <v>1</v>
      </c>
      <c r="H2744" s="0" t="s">
        <v>27</v>
      </c>
      <c r="J2744" s="0" t="s">
        <v>28</v>
      </c>
      <c r="K2744" s="0" t="str">
        <f aca="false">"2.39 %"</f>
        <v>2.39 %</v>
      </c>
      <c r="L2744" s="0" t="str">
        <f aca="false">"0.72 V"</f>
        <v>0.72 V</v>
      </c>
      <c r="O2744" s="0" t="s">
        <v>9546</v>
      </c>
    </row>
    <row r="2745" customFormat="false" ht="13.8" hidden="false" customHeight="false" outlineLevel="0" collapsed="false">
      <c r="A2745" s="0" t="s">
        <v>9547</v>
      </c>
      <c r="D2745" s="0" t="s">
        <v>5289</v>
      </c>
      <c r="E2745" s="0" t="s">
        <v>1169</v>
      </c>
      <c r="F2745" s="0" t="s">
        <v>5290</v>
      </c>
      <c r="G2745" s="0" t="n">
        <v>0</v>
      </c>
      <c r="H2745" s="0" t="s">
        <v>9548</v>
      </c>
      <c r="J2745" s="0" t="s">
        <v>9549</v>
      </c>
      <c r="K2745" s="0" t="str">
        <f aca="false">"13.44 %"</f>
        <v>13.44 %</v>
      </c>
      <c r="L2745" s="0" t="str">
        <f aca="false">"645 mV"</f>
        <v>645 mV</v>
      </c>
      <c r="O2745" s="0" t="s">
        <v>9550</v>
      </c>
    </row>
    <row r="2746" customFormat="false" ht="13.8" hidden="false" customHeight="false" outlineLevel="0" collapsed="false">
      <c r="A2746" s="0" t="s">
        <v>9551</v>
      </c>
      <c r="D2746" s="0" t="s">
        <v>1116</v>
      </c>
      <c r="E2746" s="0" t="s">
        <v>1117</v>
      </c>
      <c r="F2746" s="0" t="s">
        <v>1118</v>
      </c>
      <c r="G2746" s="0" t="n">
        <v>0</v>
      </c>
      <c r="H2746" s="0" t="s">
        <v>9552</v>
      </c>
      <c r="J2746" s="0" t="s">
        <v>9553</v>
      </c>
      <c r="K2746" s="0" t="str">
        <f aca="false">"16.1 %"</f>
        <v>16.1 %</v>
      </c>
      <c r="M2746" s="0" t="str">
        <f aca="false">"24.5 mA cm^{-2}"</f>
        <v>24.5 mA cm^{-2}</v>
      </c>
      <c r="N2746" s="0" t="str">
        <f aca="false">"0.743"</f>
        <v>0.743</v>
      </c>
      <c r="O2746" s="0" t="s">
        <v>9554</v>
      </c>
    </row>
    <row r="2747" customFormat="false" ht="13.8" hidden="false" customHeight="false" outlineLevel="0" collapsed="false">
      <c r="A2747" s="0" t="s">
        <v>9555</v>
      </c>
      <c r="D2747" s="0" t="s">
        <v>599</v>
      </c>
      <c r="E2747" s="0" t="s">
        <v>600</v>
      </c>
      <c r="F2747" s="0" t="s">
        <v>601</v>
      </c>
      <c r="G2747" s="0" t="n">
        <v>0</v>
      </c>
      <c r="H2747" s="0" t="s">
        <v>9556</v>
      </c>
      <c r="J2747" s="0" t="s">
        <v>40</v>
      </c>
      <c r="K2747" s="0" t="str">
        <f aca="false">"16.05 %"</f>
        <v>16.05 %</v>
      </c>
      <c r="N2747" s="0" t="str">
        <f aca="false">"0.77"</f>
        <v>0.77</v>
      </c>
      <c r="O2747" s="0" t="s">
        <v>9557</v>
      </c>
    </row>
    <row r="2748" customFormat="false" ht="13.8" hidden="false" customHeight="false" outlineLevel="0" collapsed="false">
      <c r="A2748" s="0" t="s">
        <v>9558</v>
      </c>
      <c r="D2748" s="0" t="s">
        <v>7710</v>
      </c>
      <c r="F2748" s="0" t="s">
        <v>40</v>
      </c>
      <c r="G2748" s="0" t="n">
        <v>0</v>
      </c>
      <c r="H2748" s="0" t="s">
        <v>9559</v>
      </c>
      <c r="J2748" s="0" t="s">
        <v>40</v>
      </c>
      <c r="K2748" s="0" t="str">
        <f aca="false">"7.83 %"</f>
        <v>7.83 %</v>
      </c>
      <c r="O2748" s="0" t="s">
        <v>9560</v>
      </c>
    </row>
    <row r="2749" customFormat="false" ht="13.8" hidden="false" customHeight="false" outlineLevel="0" collapsed="false">
      <c r="A2749" s="0" t="s">
        <v>9561</v>
      </c>
      <c r="D2749" s="0" t="s">
        <v>9562</v>
      </c>
      <c r="F2749" s="0" t="s">
        <v>9563</v>
      </c>
      <c r="G2749" s="0" t="n">
        <v>0</v>
      </c>
      <c r="H2749" s="0" t="s">
        <v>9564</v>
      </c>
      <c r="J2749" s="0" t="s">
        <v>9565</v>
      </c>
      <c r="K2749" s="0" t="str">
        <f aca="false">"3.52 %"</f>
        <v>3.52 %</v>
      </c>
      <c r="O2749" s="0" t="s">
        <v>9566</v>
      </c>
    </row>
    <row r="2750" customFormat="false" ht="13.8" hidden="false" customHeight="false" outlineLevel="0" collapsed="false">
      <c r="A2750" s="0" t="s">
        <v>9567</v>
      </c>
      <c r="D2750" s="0" t="s">
        <v>16</v>
      </c>
      <c r="E2750" s="0" t="s">
        <v>17</v>
      </c>
      <c r="F2750" s="0" t="s">
        <v>116</v>
      </c>
      <c r="G2750" s="0" t="n">
        <v>1</v>
      </c>
      <c r="H2750" s="0" t="s">
        <v>33</v>
      </c>
      <c r="J2750" s="0" t="s">
        <v>34</v>
      </c>
      <c r="K2750" s="0" t="str">
        <f aca="false">"7.35 %"</f>
        <v>7.35 %</v>
      </c>
      <c r="O2750" s="0" t="s">
        <v>9568</v>
      </c>
    </row>
    <row r="2751" customFormat="false" ht="13.8" hidden="false" customHeight="false" outlineLevel="0" collapsed="false">
      <c r="A2751" s="0" t="s">
        <v>9569</v>
      </c>
      <c r="D2751" s="0" t="s">
        <v>9570</v>
      </c>
      <c r="F2751" s="0" t="s">
        <v>9571</v>
      </c>
      <c r="G2751" s="0" t="n">
        <v>1</v>
      </c>
      <c r="H2751" s="0" t="s">
        <v>758</v>
      </c>
      <c r="J2751" s="0" t="s">
        <v>759</v>
      </c>
      <c r="K2751" s="0" t="str">
        <f aca="false">"15.27 %"</f>
        <v>15.27 %</v>
      </c>
      <c r="O2751" s="0" t="s">
        <v>9572</v>
      </c>
    </row>
    <row r="2752" customFormat="false" ht="13.8" hidden="false" customHeight="false" outlineLevel="0" collapsed="false">
      <c r="A2752" s="0" t="s">
        <v>9573</v>
      </c>
      <c r="D2752" s="0" t="s">
        <v>1116</v>
      </c>
      <c r="E2752" s="0" t="s">
        <v>1117</v>
      </c>
      <c r="F2752" s="0" t="s">
        <v>1118</v>
      </c>
      <c r="G2752" s="0" t="n">
        <v>0</v>
      </c>
      <c r="H2752" s="0" t="s">
        <v>681</v>
      </c>
      <c r="I2752" s="0" t="s">
        <v>682</v>
      </c>
      <c r="J2752" s="0" t="s">
        <v>5044</v>
      </c>
      <c r="K2752" s="0" t="str">
        <f aca="false">"12.85 %"</f>
        <v>12.85 %</v>
      </c>
      <c r="O2752" s="0" t="s">
        <v>9574</v>
      </c>
    </row>
    <row r="2753" customFormat="false" ht="13.8" hidden="false" customHeight="false" outlineLevel="0" collapsed="false">
      <c r="A2753" s="0" t="s">
        <v>9575</v>
      </c>
      <c r="B2753" s="0" t="n">
        <v>1</v>
      </c>
      <c r="D2753" s="0" t="s">
        <v>16</v>
      </c>
      <c r="E2753" s="0" t="s">
        <v>17</v>
      </c>
      <c r="F2753" s="0" t="s">
        <v>9576</v>
      </c>
      <c r="G2753" s="0" t="n">
        <v>1</v>
      </c>
      <c r="H2753" s="0" t="s">
        <v>4225</v>
      </c>
      <c r="J2753" s="0" t="s">
        <v>4226</v>
      </c>
      <c r="K2753" s="0" t="str">
        <f aca="false">"4.37 %"</f>
        <v>4.37 %</v>
      </c>
      <c r="O2753" s="0" t="s">
        <v>9577</v>
      </c>
    </row>
    <row r="2754" customFormat="false" ht="13.8" hidden="false" customHeight="false" outlineLevel="0" collapsed="false">
      <c r="A2754" s="0" t="s">
        <v>9578</v>
      </c>
      <c r="D2754" s="0" t="s">
        <v>9579</v>
      </c>
      <c r="F2754" s="0" t="s">
        <v>9580</v>
      </c>
      <c r="G2754" s="0" t="n">
        <v>1</v>
      </c>
      <c r="H2754" s="0" t="s">
        <v>27</v>
      </c>
      <c r="J2754" s="0" t="s">
        <v>28</v>
      </c>
      <c r="K2754" s="0" t="str">
        <f aca="false">"14.6 %"</f>
        <v>14.6 %</v>
      </c>
      <c r="O2754" s="0" t="s">
        <v>9581</v>
      </c>
    </row>
    <row r="2755" customFormat="false" ht="13.8" hidden="false" customHeight="false" outlineLevel="0" collapsed="false">
      <c r="A2755" s="0" t="s">
        <v>9582</v>
      </c>
      <c r="D2755" s="0" t="s">
        <v>9583</v>
      </c>
      <c r="E2755" s="0" t="s">
        <v>9584</v>
      </c>
      <c r="F2755" s="0" t="s">
        <v>9585</v>
      </c>
      <c r="G2755" s="0" t="n">
        <v>0</v>
      </c>
      <c r="J2755" s="0" t="s">
        <v>40</v>
      </c>
      <c r="K2755" s="0" t="str">
        <f aca="false">"2.88 %"</f>
        <v>2.88 %</v>
      </c>
      <c r="O2755" s="0" t="s">
        <v>9586</v>
      </c>
    </row>
    <row r="2756" customFormat="false" ht="13.8" hidden="false" customHeight="false" outlineLevel="0" collapsed="false">
      <c r="A2756" s="0" t="s">
        <v>9587</v>
      </c>
      <c r="D2756" s="0" t="s">
        <v>208</v>
      </c>
      <c r="E2756" s="0" t="s">
        <v>17</v>
      </c>
      <c r="F2756" s="0" t="s">
        <v>18</v>
      </c>
      <c r="G2756" s="0" t="n">
        <v>0</v>
      </c>
      <c r="J2756" s="0" t="s">
        <v>40</v>
      </c>
      <c r="K2756" s="0" t="str">
        <f aca="false">"4.50 %"</f>
        <v>4.50 %</v>
      </c>
      <c r="O2756" s="0" t="s">
        <v>9588</v>
      </c>
    </row>
    <row r="2757" customFormat="false" ht="13.8" hidden="false" customHeight="false" outlineLevel="0" collapsed="false">
      <c r="A2757" s="0" t="s">
        <v>9589</v>
      </c>
      <c r="D2757" s="0" t="s">
        <v>9590</v>
      </c>
      <c r="F2757" s="0" t="s">
        <v>9591</v>
      </c>
      <c r="G2757" s="0" t="n">
        <v>0</v>
      </c>
      <c r="J2757" s="0" t="s">
        <v>40</v>
      </c>
      <c r="K2757" s="0" t="str">
        <f aca="false">"8.0 %"</f>
        <v>8.0 %</v>
      </c>
      <c r="O2757" s="0" t="s">
        <v>9592</v>
      </c>
    </row>
    <row r="2758" customFormat="false" ht="13.8" hidden="false" customHeight="false" outlineLevel="0" collapsed="false">
      <c r="A2758" s="0" t="s">
        <v>9593</v>
      </c>
      <c r="D2758" s="0" t="s">
        <v>9594</v>
      </c>
      <c r="E2758" s="0" t="s">
        <v>9424</v>
      </c>
      <c r="F2758" s="0" t="s">
        <v>9595</v>
      </c>
      <c r="G2758" s="0" t="n">
        <v>0</v>
      </c>
      <c r="J2758" s="0" t="s">
        <v>40</v>
      </c>
      <c r="K2758" s="0" t="str">
        <f aca="false">"3 %"</f>
        <v>3 %</v>
      </c>
      <c r="O2758" s="0" t="s">
        <v>9596</v>
      </c>
    </row>
    <row r="2759" customFormat="false" ht="13.8" hidden="false" customHeight="false" outlineLevel="0" collapsed="false">
      <c r="A2759" s="0" t="s">
        <v>9597</v>
      </c>
      <c r="D2759" s="0" t="s">
        <v>9598</v>
      </c>
      <c r="E2759" s="0" t="s">
        <v>9599</v>
      </c>
      <c r="F2759" s="0" t="s">
        <v>9600</v>
      </c>
      <c r="G2759" s="0" t="n">
        <v>0</v>
      </c>
      <c r="J2759" s="0" t="s">
        <v>40</v>
      </c>
      <c r="K2759" s="0" t="str">
        <f aca="false">"7.81 %"</f>
        <v>7.81 %</v>
      </c>
      <c r="O2759" s="0" t="s">
        <v>9601</v>
      </c>
    </row>
    <row r="2760" customFormat="false" ht="13.8" hidden="false" customHeight="false" outlineLevel="0" collapsed="false">
      <c r="A2760" s="0" t="s">
        <v>9602</v>
      </c>
      <c r="D2760" s="0" t="s">
        <v>208</v>
      </c>
      <c r="E2760" s="0" t="s">
        <v>17</v>
      </c>
      <c r="F2760" s="0" t="s">
        <v>209</v>
      </c>
      <c r="G2760" s="0" t="n">
        <v>0</v>
      </c>
      <c r="J2760" s="0" t="s">
        <v>40</v>
      </c>
      <c r="K2760" s="0" t="str">
        <f aca="false">"0.37 %"</f>
        <v>0.37 %</v>
      </c>
      <c r="O2760" s="0" t="s">
        <v>9603</v>
      </c>
    </row>
    <row r="2761" customFormat="false" ht="13.8" hidden="false" customHeight="false" outlineLevel="0" collapsed="false">
      <c r="A2761" s="0" t="s">
        <v>9604</v>
      </c>
      <c r="F2761" s="0" t="s">
        <v>40</v>
      </c>
      <c r="G2761" s="0" t="n">
        <v>1</v>
      </c>
      <c r="H2761" s="0" t="s">
        <v>27</v>
      </c>
      <c r="J2761" s="0" t="s">
        <v>28</v>
      </c>
      <c r="K2761" s="0" t="str">
        <f aca="false">"6.42 %"</f>
        <v>6.42 %</v>
      </c>
      <c r="O2761" s="0" t="s">
        <v>9605</v>
      </c>
    </row>
    <row r="2762" customFormat="false" ht="13.8" hidden="false" customHeight="false" outlineLevel="0" collapsed="false">
      <c r="A2762" s="0" t="s">
        <v>9606</v>
      </c>
      <c r="D2762" s="0" t="s">
        <v>599</v>
      </c>
      <c r="E2762" s="0" t="s">
        <v>600</v>
      </c>
      <c r="F2762" s="0" t="s">
        <v>601</v>
      </c>
      <c r="G2762" s="0" t="n">
        <v>0</v>
      </c>
      <c r="J2762" s="0" t="s">
        <v>40</v>
      </c>
      <c r="K2762" s="0" t="str">
        <f aca="false">"8.61 %"</f>
        <v>8.61 %</v>
      </c>
      <c r="N2762" s="0" t="str">
        <f aca="false">"75.4 %"</f>
        <v>75.4 %</v>
      </c>
      <c r="O2762" s="0" t="s">
        <v>9607</v>
      </c>
    </row>
    <row r="2763" customFormat="false" ht="13.8" hidden="false" customHeight="false" outlineLevel="0" collapsed="false">
      <c r="A2763" s="0" t="s">
        <v>9608</v>
      </c>
      <c r="F2763" s="0" t="s">
        <v>40</v>
      </c>
      <c r="G2763" s="0" t="n">
        <v>0</v>
      </c>
      <c r="H2763" s="0" t="s">
        <v>9609</v>
      </c>
      <c r="I2763" s="0" t="s">
        <v>9610</v>
      </c>
      <c r="J2763" s="0" t="s">
        <v>9611</v>
      </c>
      <c r="K2763" s="0" t="str">
        <f aca="false">"2.5 %"</f>
        <v>2.5 %</v>
      </c>
      <c r="O2763" s="0" t="s">
        <v>9612</v>
      </c>
    </row>
    <row r="2764" customFormat="false" ht="13.8" hidden="false" customHeight="false" outlineLevel="0" collapsed="false">
      <c r="A2764" s="0" t="s">
        <v>9613</v>
      </c>
      <c r="D2764" s="0" t="s">
        <v>7182</v>
      </c>
      <c r="F2764" s="0" t="s">
        <v>7183</v>
      </c>
      <c r="G2764" s="0" t="n">
        <v>0</v>
      </c>
      <c r="J2764" s="0" t="s">
        <v>40</v>
      </c>
      <c r="K2764" s="0" t="str">
        <f aca="false">"5.31 %"</f>
        <v>5.31 %</v>
      </c>
      <c r="O2764" s="0" t="s">
        <v>9614</v>
      </c>
    </row>
    <row r="2765" customFormat="false" ht="13.8" hidden="false" customHeight="false" outlineLevel="0" collapsed="false">
      <c r="A2765" s="0" t="s">
        <v>9615</v>
      </c>
      <c r="D2765" s="0" t="s">
        <v>9616</v>
      </c>
      <c r="F2765" s="0" t="s">
        <v>40</v>
      </c>
      <c r="G2765" s="0" t="n">
        <v>0</v>
      </c>
      <c r="J2765" s="0" t="s">
        <v>40</v>
      </c>
      <c r="K2765" s="0" t="str">
        <f aca="false">"2.75 %"</f>
        <v>2.75 %</v>
      </c>
      <c r="O2765" s="0" t="s">
        <v>9617</v>
      </c>
    </row>
    <row r="2766" customFormat="false" ht="13.8" hidden="false" customHeight="false" outlineLevel="0" collapsed="false">
      <c r="A2766" s="0" t="s">
        <v>9618</v>
      </c>
      <c r="D2766" s="0" t="s">
        <v>201</v>
      </c>
      <c r="E2766" s="0" t="s">
        <v>202</v>
      </c>
      <c r="F2766" s="0" t="s">
        <v>422</v>
      </c>
      <c r="G2766" s="0" t="n">
        <v>0</v>
      </c>
      <c r="J2766" s="0" t="s">
        <v>40</v>
      </c>
      <c r="K2766" s="0" t="str">
        <f aca="false">"8 %"</f>
        <v>8 %</v>
      </c>
      <c r="L2766" s="0" t="str">
        <f aca="false">"1.08 V"</f>
        <v>1.08 V</v>
      </c>
      <c r="O2766" s="0" t="s">
        <v>9619</v>
      </c>
    </row>
    <row r="2767" customFormat="false" ht="13.8" hidden="false" customHeight="false" outlineLevel="0" collapsed="false">
      <c r="A2767" s="0" t="s">
        <v>9620</v>
      </c>
      <c r="D2767" s="0" t="s">
        <v>208</v>
      </c>
      <c r="E2767" s="0" t="s">
        <v>17</v>
      </c>
      <c r="F2767" s="0" t="s">
        <v>18</v>
      </c>
      <c r="G2767" s="0" t="n">
        <v>0</v>
      </c>
      <c r="J2767" s="0" t="s">
        <v>40</v>
      </c>
      <c r="K2767" s="0" t="str">
        <f aca="false">"1.020 %"</f>
        <v>1.020 %</v>
      </c>
      <c r="O2767" s="0" t="s">
        <v>9621</v>
      </c>
    </row>
    <row r="2768" customFormat="false" ht="13.8" hidden="false" customHeight="false" outlineLevel="0" collapsed="false">
      <c r="A2768" s="0" t="s">
        <v>9622</v>
      </c>
      <c r="D2768" s="0" t="s">
        <v>9623</v>
      </c>
      <c r="E2768" s="0" t="s">
        <v>925</v>
      </c>
      <c r="F2768" s="0" t="s">
        <v>9624</v>
      </c>
      <c r="G2768" s="0" t="n">
        <v>0</v>
      </c>
      <c r="J2768" s="0" t="s">
        <v>40</v>
      </c>
      <c r="K2768" s="0" t="str">
        <f aca="false">"9 %"</f>
        <v>9 %</v>
      </c>
      <c r="O2768" s="0" t="s">
        <v>9625</v>
      </c>
    </row>
    <row r="2769" customFormat="false" ht="13.8" hidden="false" customHeight="false" outlineLevel="0" collapsed="false">
      <c r="A2769" s="0" t="s">
        <v>9626</v>
      </c>
      <c r="F2769" s="0" t="s">
        <v>40</v>
      </c>
      <c r="G2769" s="0" t="n">
        <v>1</v>
      </c>
      <c r="H2769" s="0" t="s">
        <v>33</v>
      </c>
      <c r="J2769" s="0" t="s">
        <v>34</v>
      </c>
      <c r="K2769" s="0" t="str">
        <f aca="false">"2.2 %"</f>
        <v>2.2 %</v>
      </c>
      <c r="O2769" s="0" t="s">
        <v>9627</v>
      </c>
    </row>
    <row r="2770" customFormat="false" ht="13.8" hidden="false" customHeight="false" outlineLevel="0" collapsed="false">
      <c r="A2770" s="0" t="s">
        <v>9628</v>
      </c>
      <c r="D2770" s="0" t="s">
        <v>1168</v>
      </c>
      <c r="E2770" s="0" t="s">
        <v>1169</v>
      </c>
      <c r="F2770" s="0" t="s">
        <v>1170</v>
      </c>
      <c r="G2770" s="0" t="n">
        <v>0</v>
      </c>
      <c r="J2770" s="0" t="s">
        <v>40</v>
      </c>
      <c r="K2770" s="0" t="str">
        <f aca="false">"6.18 %"</f>
        <v>6.18 %</v>
      </c>
      <c r="M2770" s="0" t="str">
        <f aca="false">"15.65 mA/cm^{2}"</f>
        <v>15.65 mA/cm^{2}</v>
      </c>
      <c r="O2770" s="0" t="s">
        <v>9629</v>
      </c>
    </row>
    <row r="2771" customFormat="false" ht="13.8" hidden="false" customHeight="false" outlineLevel="0" collapsed="false">
      <c r="A2771" s="0" t="s">
        <v>9630</v>
      </c>
      <c r="F2771" s="0" t="s">
        <v>40</v>
      </c>
      <c r="G2771" s="0" t="n">
        <v>1</v>
      </c>
      <c r="H2771" s="0" t="s">
        <v>76</v>
      </c>
      <c r="J2771" s="0" t="s">
        <v>7701</v>
      </c>
      <c r="K2771" s="0" t="str">
        <f aca="false">"0.47 %"</f>
        <v>0.47 %</v>
      </c>
      <c r="O2771" s="0" t="s">
        <v>9631</v>
      </c>
    </row>
    <row r="2772" customFormat="false" ht="13.8" hidden="false" customHeight="false" outlineLevel="0" collapsed="false">
      <c r="A2772" s="0" t="s">
        <v>9632</v>
      </c>
      <c r="F2772" s="0" t="s">
        <v>40</v>
      </c>
      <c r="G2772" s="0" t="n">
        <v>1</v>
      </c>
      <c r="H2772" s="0" t="s">
        <v>76</v>
      </c>
      <c r="J2772" s="0" t="s">
        <v>77</v>
      </c>
      <c r="K2772" s="0" t="str">
        <f aca="false">"0.36 %"</f>
        <v>0.36 %</v>
      </c>
      <c r="L2772" s="0" t="str">
        <f aca="false">"0.85 V"</f>
        <v>0.85 V</v>
      </c>
      <c r="M2772" s="0" t="str">
        <f aca="false">"1.57 mA/cm^{2}"</f>
        <v>1.57 mA/cm^{2}</v>
      </c>
      <c r="N2772" s="0" t="str">
        <f aca="false">"0.27"</f>
        <v>0.27</v>
      </c>
      <c r="O2772" s="0" t="s">
        <v>9633</v>
      </c>
    </row>
    <row r="2773" customFormat="false" ht="13.8" hidden="false" customHeight="false" outlineLevel="0" collapsed="false">
      <c r="A2773" s="0" t="s">
        <v>9634</v>
      </c>
      <c r="D2773" s="0" t="s">
        <v>9635</v>
      </c>
      <c r="F2773" s="0" t="s">
        <v>9636</v>
      </c>
      <c r="G2773" s="0" t="n">
        <v>0</v>
      </c>
      <c r="J2773" s="0" t="s">
        <v>40</v>
      </c>
      <c r="K2773" s="0" t="str">
        <f aca="false">"9 %"</f>
        <v>9 %</v>
      </c>
      <c r="O2773" s="0" t="s">
        <v>9637</v>
      </c>
    </row>
    <row r="2774" customFormat="false" ht="13.8" hidden="false" customHeight="false" outlineLevel="0" collapsed="false">
      <c r="A2774" s="0" t="s">
        <v>9638</v>
      </c>
      <c r="F2774" s="0" t="s">
        <v>40</v>
      </c>
      <c r="G2774" s="0" t="n">
        <v>1</v>
      </c>
      <c r="H2774" s="0" t="s">
        <v>27</v>
      </c>
      <c r="J2774" s="0" t="s">
        <v>4127</v>
      </c>
      <c r="K2774" s="0" t="str">
        <f aca="false">"0.86 %"</f>
        <v>0.86 %</v>
      </c>
      <c r="L2774" s="0" t="str">
        <f aca="false">"0.55 V"</f>
        <v>0.55 V</v>
      </c>
      <c r="M2774" s="0" t="str">
        <f aca="false">"4.97 mA/cm^{2}"</f>
        <v>4.97 mA/cm^{2}</v>
      </c>
      <c r="N2774" s="0" t="str">
        <f aca="false">"31.5 %"</f>
        <v>31.5 %</v>
      </c>
      <c r="O2774" s="0" t="s">
        <v>9639</v>
      </c>
    </row>
    <row r="2775" customFormat="false" ht="13.8" hidden="false" customHeight="false" outlineLevel="0" collapsed="false">
      <c r="A2775" s="0" t="s">
        <v>9640</v>
      </c>
      <c r="D2775" s="0" t="s">
        <v>9641</v>
      </c>
      <c r="E2775" s="0" t="s">
        <v>6621</v>
      </c>
      <c r="F2775" s="0" t="s">
        <v>9642</v>
      </c>
      <c r="G2775" s="0" t="n">
        <v>0</v>
      </c>
      <c r="J2775" s="0" t="s">
        <v>40</v>
      </c>
      <c r="K2775" s="0" t="str">
        <f aca="false">"7.28 %"</f>
        <v>7.28 %</v>
      </c>
      <c r="O2775" s="0" t="s">
        <v>9643</v>
      </c>
    </row>
    <row r="2776" customFormat="false" ht="13.8" hidden="false" customHeight="false" outlineLevel="0" collapsed="false">
      <c r="A2776" s="0" t="s">
        <v>9644</v>
      </c>
      <c r="D2776" s="0" t="s">
        <v>7455</v>
      </c>
      <c r="E2776" s="0" t="s">
        <v>7456</v>
      </c>
      <c r="F2776" s="0" t="s">
        <v>7457</v>
      </c>
      <c r="G2776" s="0" t="n">
        <v>0</v>
      </c>
      <c r="J2776" s="0" t="s">
        <v>40</v>
      </c>
      <c r="K2776" s="0" t="str">
        <f aca="false">"8.18 %"</f>
        <v>8.18 %</v>
      </c>
      <c r="O2776" s="0" t="s">
        <v>9645</v>
      </c>
    </row>
    <row r="2777" customFormat="false" ht="13.8" hidden="false" customHeight="false" outlineLevel="0" collapsed="false">
      <c r="A2777" s="0" t="s">
        <v>9646</v>
      </c>
      <c r="D2777" s="0" t="s">
        <v>1168</v>
      </c>
      <c r="E2777" s="0" t="s">
        <v>1169</v>
      </c>
      <c r="F2777" s="0" t="s">
        <v>1170</v>
      </c>
      <c r="G2777" s="0" t="n">
        <v>0</v>
      </c>
      <c r="J2777" s="0" t="s">
        <v>40</v>
      </c>
      <c r="K2777" s="0" t="str">
        <f aca="false">"2.3 %"</f>
        <v>2.3 %</v>
      </c>
      <c r="O2777" s="0" t="s">
        <v>9647</v>
      </c>
    </row>
    <row r="2778" customFormat="false" ht="13.8" hidden="false" customHeight="false" outlineLevel="0" collapsed="false">
      <c r="A2778" s="0" t="s">
        <v>9648</v>
      </c>
      <c r="F2778" s="0" t="s">
        <v>40</v>
      </c>
      <c r="G2778" s="0" t="n">
        <v>1</v>
      </c>
      <c r="H2778" s="0" t="s">
        <v>33</v>
      </c>
      <c r="J2778" s="0" t="s">
        <v>60</v>
      </c>
      <c r="K2778" s="0" t="str">
        <f aca="false">"2.27 %"</f>
        <v>2.27 %</v>
      </c>
      <c r="O2778" s="0" t="s">
        <v>9649</v>
      </c>
    </row>
    <row r="2779" customFormat="false" ht="13.8" hidden="false" customHeight="false" outlineLevel="0" collapsed="false">
      <c r="A2779" s="0" t="s">
        <v>9650</v>
      </c>
      <c r="D2779" s="0" t="s">
        <v>624</v>
      </c>
      <c r="E2779" s="0" t="s">
        <v>600</v>
      </c>
      <c r="F2779" s="0" t="s">
        <v>625</v>
      </c>
      <c r="G2779" s="0" t="n">
        <v>0</v>
      </c>
      <c r="J2779" s="0" t="s">
        <v>40</v>
      </c>
      <c r="K2779" s="0" t="str">
        <f aca="false">"13.67 %"</f>
        <v>13.67 %</v>
      </c>
      <c r="O2779" s="0" t="s">
        <v>9651</v>
      </c>
    </row>
    <row r="2780" customFormat="false" ht="13.8" hidden="false" customHeight="false" outlineLevel="0" collapsed="false">
      <c r="A2780" s="0" t="s">
        <v>9650</v>
      </c>
      <c r="D2780" s="0" t="s">
        <v>5344</v>
      </c>
      <c r="E2780" s="0" t="s">
        <v>5345</v>
      </c>
      <c r="F2780" s="0" t="s">
        <v>5346</v>
      </c>
      <c r="G2780" s="0" t="n">
        <v>0</v>
      </c>
      <c r="J2780" s="0" t="s">
        <v>40</v>
      </c>
      <c r="K2780" s="0" t="str">
        <f aca="false">"11.86 %"</f>
        <v>11.86 %</v>
      </c>
      <c r="O2780" s="0" t="s">
        <v>9652</v>
      </c>
    </row>
    <row r="2781" customFormat="false" ht="13.8" hidden="false" customHeight="false" outlineLevel="0" collapsed="false">
      <c r="A2781" s="0" t="s">
        <v>9653</v>
      </c>
      <c r="F2781" s="0" t="s">
        <v>40</v>
      </c>
      <c r="G2781" s="0" t="n">
        <v>1</v>
      </c>
      <c r="H2781" s="0" t="s">
        <v>27</v>
      </c>
      <c r="J2781" s="0" t="s">
        <v>28</v>
      </c>
      <c r="K2781" s="0" t="str">
        <f aca="false">"2.7 %"</f>
        <v>2.7 %</v>
      </c>
      <c r="L2781" s="0" t="str">
        <f aca="false">"0.83 V"</f>
        <v>0.83 V</v>
      </c>
      <c r="M2781" s="0" t="str">
        <f aca="false">"7.4 mA/cm^{2}"</f>
        <v>7.4 mA/cm^{2}</v>
      </c>
      <c r="N2781" s="0" t="str">
        <f aca="false">"43.1 %"</f>
        <v>43.1 %</v>
      </c>
      <c r="O2781" s="0" t="s">
        <v>9654</v>
      </c>
    </row>
    <row r="2782" customFormat="false" ht="13.8" hidden="false" customHeight="false" outlineLevel="0" collapsed="false">
      <c r="A2782" s="0" t="s">
        <v>9655</v>
      </c>
      <c r="D2782" s="0" t="s">
        <v>9656</v>
      </c>
      <c r="F2782" s="0" t="s">
        <v>9657</v>
      </c>
      <c r="G2782" s="0" t="n">
        <v>0</v>
      </c>
      <c r="J2782" s="0" t="s">
        <v>40</v>
      </c>
      <c r="K2782" s="0" t="str">
        <f aca="false">"10 %"</f>
        <v>10 %</v>
      </c>
      <c r="O2782" s="0" t="s">
        <v>9658</v>
      </c>
    </row>
    <row r="2783" customFormat="false" ht="13.8" hidden="false" customHeight="false" outlineLevel="0" collapsed="false">
      <c r="A2783" s="0" t="s">
        <v>9659</v>
      </c>
      <c r="D2783" s="0" t="s">
        <v>128</v>
      </c>
      <c r="F2783" s="0" t="s">
        <v>5586</v>
      </c>
      <c r="G2783" s="0" t="n">
        <v>0</v>
      </c>
      <c r="J2783" s="0" t="s">
        <v>40</v>
      </c>
      <c r="K2783" s="0" t="str">
        <f aca="false">"8.67 %"</f>
        <v>8.67 %</v>
      </c>
      <c r="L2783" s="0" t="str">
        <f aca="false">"0.85 V"</f>
        <v>0.85 V</v>
      </c>
      <c r="O2783" s="0" t="s">
        <v>9660</v>
      </c>
    </row>
    <row r="2784" customFormat="false" ht="13.8" hidden="false" customHeight="false" outlineLevel="0" collapsed="false">
      <c r="A2784" s="0" t="s">
        <v>9661</v>
      </c>
      <c r="F2784" s="0" t="s">
        <v>40</v>
      </c>
      <c r="G2784" s="0" t="n">
        <v>1</v>
      </c>
      <c r="H2784" s="0" t="s">
        <v>33</v>
      </c>
      <c r="J2784" s="0" t="s">
        <v>40</v>
      </c>
      <c r="K2784" s="0" t="str">
        <f aca="false">"2.43 %"</f>
        <v>2.43 %</v>
      </c>
      <c r="O2784" s="0" t="s">
        <v>9662</v>
      </c>
    </row>
    <row r="2785" customFormat="false" ht="13.8" hidden="false" customHeight="false" outlineLevel="0" collapsed="false">
      <c r="A2785" s="0" t="s">
        <v>9661</v>
      </c>
      <c r="D2785" s="0" t="s">
        <v>9663</v>
      </c>
      <c r="E2785" s="0" t="s">
        <v>9424</v>
      </c>
      <c r="F2785" s="0" t="s">
        <v>9664</v>
      </c>
      <c r="G2785" s="0" t="n">
        <v>1</v>
      </c>
      <c r="H2785" s="0" t="s">
        <v>33</v>
      </c>
      <c r="J2785" s="0" t="s">
        <v>40</v>
      </c>
      <c r="K2785" s="0" t="str">
        <f aca="false">"2.76 %"</f>
        <v>2.76 %</v>
      </c>
      <c r="O2785" s="0" t="s">
        <v>9665</v>
      </c>
    </row>
    <row r="2786" customFormat="false" ht="13.8" hidden="false" customHeight="false" outlineLevel="0" collapsed="false">
      <c r="A2786" s="0" t="s">
        <v>9666</v>
      </c>
      <c r="F2786" s="0" t="s">
        <v>40</v>
      </c>
      <c r="G2786" s="0" t="n">
        <v>1</v>
      </c>
      <c r="H2786" s="0" t="s">
        <v>76</v>
      </c>
      <c r="J2786" s="0" t="s">
        <v>364</v>
      </c>
      <c r="K2786" s="0" t="str">
        <f aca="false">"0.93 %"</f>
        <v>0.93 %</v>
      </c>
      <c r="L2786" s="0" t="str">
        <f aca="false">"0.85 V"</f>
        <v>0.85 V</v>
      </c>
      <c r="M2786" s="0" t="str">
        <f aca="false">"4.88 mA/cm^{2}"</f>
        <v>4.88 mA/cm^{2}</v>
      </c>
      <c r="O2786" s="0" t="s">
        <v>9667</v>
      </c>
    </row>
    <row r="2787" customFormat="false" ht="13.8" hidden="false" customHeight="false" outlineLevel="0" collapsed="false">
      <c r="A2787" s="0" t="s">
        <v>9668</v>
      </c>
      <c r="D2787" s="0" t="s">
        <v>9669</v>
      </c>
      <c r="F2787" s="0" t="s">
        <v>9670</v>
      </c>
      <c r="G2787" s="0" t="n">
        <v>0</v>
      </c>
      <c r="J2787" s="0" t="s">
        <v>40</v>
      </c>
      <c r="K2787" s="0" t="str">
        <f aca="false">"3.30 %"</f>
        <v>3.30 %</v>
      </c>
      <c r="O2787" s="0" t="s">
        <v>9671</v>
      </c>
    </row>
    <row r="2788" customFormat="false" ht="13.8" hidden="false" customHeight="false" outlineLevel="0" collapsed="false">
      <c r="A2788" s="0" t="s">
        <v>9672</v>
      </c>
      <c r="F2788" s="0" t="s">
        <v>40</v>
      </c>
      <c r="G2788" s="0" t="n">
        <v>1</v>
      </c>
      <c r="H2788" s="0" t="s">
        <v>66</v>
      </c>
      <c r="J2788" s="0" t="s">
        <v>67</v>
      </c>
      <c r="K2788" s="0" t="str">
        <f aca="false">"3.46 %"</f>
        <v>3.46 %</v>
      </c>
      <c r="O2788" s="0" t="s">
        <v>9673</v>
      </c>
    </row>
    <row r="2789" customFormat="false" ht="13.8" hidden="false" customHeight="false" outlineLevel="0" collapsed="false">
      <c r="A2789" s="0" t="s">
        <v>9674</v>
      </c>
      <c r="F2789" s="0" t="s">
        <v>40</v>
      </c>
      <c r="G2789" s="0" t="n">
        <v>1</v>
      </c>
      <c r="H2789" s="0" t="s">
        <v>27</v>
      </c>
      <c r="J2789" s="0" t="s">
        <v>1274</v>
      </c>
      <c r="O2789" s="0" t="s">
        <v>9675</v>
      </c>
    </row>
    <row r="2790" customFormat="false" ht="13.8" hidden="false" customHeight="false" outlineLevel="0" collapsed="false">
      <c r="A2790" s="0" t="s">
        <v>9674</v>
      </c>
      <c r="D2790" s="0" t="s">
        <v>9676</v>
      </c>
      <c r="E2790" s="0" t="s">
        <v>9677</v>
      </c>
      <c r="F2790" s="0" t="s">
        <v>9678</v>
      </c>
      <c r="G2790" s="0" t="n">
        <v>1</v>
      </c>
      <c r="H2790" s="0" t="s">
        <v>27</v>
      </c>
      <c r="J2790" s="0" t="s">
        <v>1274</v>
      </c>
      <c r="K2790" s="0" t="str">
        <f aca="false">"2.47 %"</f>
        <v>2.47 %</v>
      </c>
      <c r="O2790" s="0" t="s">
        <v>9679</v>
      </c>
    </row>
    <row r="2791" customFormat="false" ht="13.8" hidden="false" customHeight="false" outlineLevel="0" collapsed="false">
      <c r="A2791" s="0" t="s">
        <v>9680</v>
      </c>
      <c r="D2791" s="0" t="s">
        <v>9681</v>
      </c>
      <c r="F2791" s="0" t="s">
        <v>9682</v>
      </c>
      <c r="G2791" s="0" t="n">
        <v>0</v>
      </c>
      <c r="J2791" s="0" t="s">
        <v>40</v>
      </c>
      <c r="K2791" s="0" t="str">
        <f aca="false">"0.055 %"</f>
        <v>0.055 %</v>
      </c>
      <c r="O2791" s="0" t="s">
        <v>9683</v>
      </c>
    </row>
    <row r="2792" customFormat="false" ht="13.8" hidden="false" customHeight="false" outlineLevel="0" collapsed="false">
      <c r="A2792" s="0" t="s">
        <v>9684</v>
      </c>
      <c r="F2792" s="0" t="s">
        <v>40</v>
      </c>
      <c r="G2792" s="0" t="n">
        <v>1</v>
      </c>
      <c r="H2792" s="0" t="s">
        <v>33</v>
      </c>
      <c r="J2792" s="0" t="s">
        <v>34</v>
      </c>
      <c r="K2792" s="0" t="str">
        <f aca="false">"2.2 %"</f>
        <v>2.2 %</v>
      </c>
      <c r="O2792" s="0" t="s">
        <v>9685</v>
      </c>
    </row>
    <row r="2793" customFormat="false" ht="13.8" hidden="false" customHeight="false" outlineLevel="0" collapsed="false">
      <c r="A2793" s="0" t="s">
        <v>9686</v>
      </c>
      <c r="D2793" s="0" t="s">
        <v>9687</v>
      </c>
      <c r="E2793" s="0" t="s">
        <v>9688</v>
      </c>
      <c r="F2793" s="0" t="s">
        <v>9689</v>
      </c>
      <c r="G2793" s="0" t="n">
        <v>0</v>
      </c>
      <c r="J2793" s="0" t="s">
        <v>40</v>
      </c>
      <c r="K2793" s="0" t="str">
        <f aca="false">"5.26 %"</f>
        <v>5.26 %</v>
      </c>
      <c r="L2793" s="0" t="str">
        <f aca="false">"0.99 V"</f>
        <v>0.99 V</v>
      </c>
      <c r="O2793" s="0" t="s">
        <v>9690</v>
      </c>
    </row>
    <row r="2794" customFormat="false" ht="13.8" hidden="false" customHeight="false" outlineLevel="0" collapsed="false">
      <c r="A2794" s="0" t="s">
        <v>9691</v>
      </c>
      <c r="F2794" s="0" t="s">
        <v>40</v>
      </c>
      <c r="G2794" s="0" t="n">
        <v>0</v>
      </c>
      <c r="H2794" s="0" t="s">
        <v>201</v>
      </c>
      <c r="I2794" s="0" t="s">
        <v>202</v>
      </c>
      <c r="J2794" s="0" t="s">
        <v>422</v>
      </c>
      <c r="K2794" s="0" t="str">
        <f aca="false">"6.5 %"</f>
        <v>6.5 %</v>
      </c>
      <c r="L2794" s="0" t="str">
        <f aca="false">"0.94 V"</f>
        <v>0.94 V</v>
      </c>
      <c r="O2794" s="0" t="s">
        <v>9692</v>
      </c>
    </row>
    <row r="2795" customFormat="false" ht="13.8" hidden="false" customHeight="false" outlineLevel="0" collapsed="false">
      <c r="A2795" s="0" t="s">
        <v>9693</v>
      </c>
      <c r="D2795" s="0" t="s">
        <v>85</v>
      </c>
      <c r="E2795" s="0" t="s">
        <v>86</v>
      </c>
      <c r="F2795" s="0" t="s">
        <v>87</v>
      </c>
      <c r="G2795" s="0" t="n">
        <v>0</v>
      </c>
      <c r="J2795" s="0" t="s">
        <v>40</v>
      </c>
      <c r="K2795" s="0" t="str">
        <f aca="false">"2.59 %"</f>
        <v>2.59 %</v>
      </c>
      <c r="O2795" s="0" t="s">
        <v>9694</v>
      </c>
    </row>
    <row r="2796" customFormat="false" ht="13.8" hidden="false" customHeight="false" outlineLevel="0" collapsed="false">
      <c r="A2796" s="0" t="s">
        <v>9695</v>
      </c>
      <c r="D2796" s="0" t="s">
        <v>85</v>
      </c>
      <c r="E2796" s="0" t="s">
        <v>86</v>
      </c>
      <c r="F2796" s="0" t="s">
        <v>87</v>
      </c>
      <c r="G2796" s="0" t="n">
        <v>0</v>
      </c>
      <c r="J2796" s="0" t="s">
        <v>40</v>
      </c>
      <c r="K2796" s="0" t="str">
        <f aca="false">"7.03 %"</f>
        <v>7.03 %</v>
      </c>
      <c r="O2796" s="0" t="s">
        <v>9696</v>
      </c>
    </row>
    <row r="2797" customFormat="false" ht="13.8" hidden="false" customHeight="false" outlineLevel="0" collapsed="false">
      <c r="A2797" s="0" t="s">
        <v>9695</v>
      </c>
      <c r="D2797" s="0" t="s">
        <v>9697</v>
      </c>
      <c r="E2797" s="0" t="s">
        <v>1169</v>
      </c>
      <c r="F2797" s="0" t="s">
        <v>9698</v>
      </c>
      <c r="G2797" s="0" t="n">
        <v>0</v>
      </c>
      <c r="J2797" s="0" t="s">
        <v>40</v>
      </c>
      <c r="K2797" s="0" t="str">
        <f aca="false">"4.14 %"</f>
        <v>4.14 %</v>
      </c>
      <c r="O2797" s="0" t="s">
        <v>9699</v>
      </c>
    </row>
    <row r="2798" customFormat="false" ht="13.8" hidden="false" customHeight="false" outlineLevel="0" collapsed="false">
      <c r="A2798" s="0" t="s">
        <v>9700</v>
      </c>
      <c r="F2798" s="0" t="s">
        <v>40</v>
      </c>
      <c r="G2798" s="0" t="n">
        <v>1</v>
      </c>
      <c r="H2798" s="0" t="s">
        <v>33</v>
      </c>
      <c r="J2798" s="0" t="s">
        <v>40</v>
      </c>
      <c r="K2798" s="0" t="str">
        <f aca="false">"2.77 %"</f>
        <v>2.77 %</v>
      </c>
      <c r="O2798" s="0" t="s">
        <v>9701</v>
      </c>
    </row>
    <row r="2799" customFormat="false" ht="13.8" hidden="false" customHeight="false" outlineLevel="0" collapsed="false">
      <c r="A2799" s="0" t="s">
        <v>9702</v>
      </c>
      <c r="D2799" s="0" t="s">
        <v>201</v>
      </c>
      <c r="E2799" s="0" t="s">
        <v>202</v>
      </c>
      <c r="F2799" s="0" t="s">
        <v>9703</v>
      </c>
      <c r="G2799" s="0" t="n">
        <v>0</v>
      </c>
      <c r="J2799" s="0" t="s">
        <v>40</v>
      </c>
      <c r="K2799" s="0" t="str">
        <f aca="false">"6.41 %"</f>
        <v>6.41 %</v>
      </c>
      <c r="O2799" s="0" t="s">
        <v>9704</v>
      </c>
    </row>
    <row r="2800" customFormat="false" ht="13.8" hidden="false" customHeight="false" outlineLevel="0" collapsed="false">
      <c r="A2800" s="0" t="s">
        <v>9705</v>
      </c>
      <c r="D2800" s="0" t="s">
        <v>9706</v>
      </c>
      <c r="F2800" s="0" t="s">
        <v>9707</v>
      </c>
      <c r="G2800" s="0" t="n">
        <v>0</v>
      </c>
      <c r="J2800" s="0" t="s">
        <v>40</v>
      </c>
      <c r="K2800" s="0" t="str">
        <f aca="false">"9 %"</f>
        <v>9 %</v>
      </c>
      <c r="O2800" s="0" t="s">
        <v>9708</v>
      </c>
    </row>
    <row r="2801" customFormat="false" ht="13.8" hidden="false" customHeight="false" outlineLevel="0" collapsed="false">
      <c r="A2801" s="0" t="s">
        <v>9709</v>
      </c>
      <c r="D2801" s="0" t="s">
        <v>9710</v>
      </c>
      <c r="F2801" s="0" t="s">
        <v>9711</v>
      </c>
      <c r="G2801" s="0" t="n">
        <v>0</v>
      </c>
      <c r="J2801" s="0" t="s">
        <v>40</v>
      </c>
      <c r="K2801" s="0" t="str">
        <f aca="false">"8.75 %"</f>
        <v>8.75 %</v>
      </c>
      <c r="O2801" s="0" t="s">
        <v>9712</v>
      </c>
    </row>
    <row r="2802" customFormat="false" ht="13.8" hidden="false" customHeight="false" outlineLevel="0" collapsed="false">
      <c r="A2802" s="0" t="s">
        <v>9713</v>
      </c>
      <c r="D2802" s="0" t="s">
        <v>607</v>
      </c>
      <c r="E2802" s="0" t="s">
        <v>608</v>
      </c>
      <c r="F2802" s="0" t="s">
        <v>9714</v>
      </c>
      <c r="G2802" s="0" t="n">
        <v>0</v>
      </c>
      <c r="J2802" s="0" t="s">
        <v>40</v>
      </c>
      <c r="K2802" s="0" t="str">
        <f aca="false">"~7.1 %"</f>
        <v>~7.1 %</v>
      </c>
      <c r="O2802" s="0" t="s">
        <v>9715</v>
      </c>
    </row>
    <row r="2803" customFormat="false" ht="13.8" hidden="false" customHeight="false" outlineLevel="0" collapsed="false">
      <c r="A2803" s="0" t="s">
        <v>9716</v>
      </c>
      <c r="F2803" s="0" t="s">
        <v>40</v>
      </c>
      <c r="G2803" s="0" t="n">
        <v>0</v>
      </c>
      <c r="H2803" s="0" t="s">
        <v>9717</v>
      </c>
      <c r="J2803" s="0" t="s">
        <v>9718</v>
      </c>
      <c r="K2803" s="0" t="str">
        <f aca="false">"10.5 %"</f>
        <v>10.5 %</v>
      </c>
      <c r="L2803" s="0" t="str">
        <f aca="false">"1.0 V"</f>
        <v>1.0 V</v>
      </c>
      <c r="M2803" s="0" t="str">
        <f aca="false">"15.2 mA cm^{-2}"</f>
        <v>15.2 mA cm^{-2}</v>
      </c>
      <c r="N2803" s="0" t="str">
        <f aca="false">"0.69"</f>
        <v>0.69</v>
      </c>
      <c r="O2803" s="0" t="s">
        <v>9719</v>
      </c>
    </row>
    <row r="2804" customFormat="false" ht="13.8" hidden="false" customHeight="false" outlineLevel="0" collapsed="false">
      <c r="A2804" s="0" t="s">
        <v>9720</v>
      </c>
      <c r="D2804" s="0" t="s">
        <v>9721</v>
      </c>
      <c r="F2804" s="0" t="s">
        <v>9722</v>
      </c>
      <c r="G2804" s="0" t="n">
        <v>0</v>
      </c>
      <c r="J2804" s="0" t="s">
        <v>40</v>
      </c>
      <c r="K2804" s="0" t="str">
        <f aca="false">"5.32 %"</f>
        <v>5.32 %</v>
      </c>
      <c r="O2804" s="0" t="s">
        <v>9723</v>
      </c>
    </row>
    <row r="2805" customFormat="false" ht="13.8" hidden="false" customHeight="false" outlineLevel="0" collapsed="false">
      <c r="A2805" s="0" t="s">
        <v>9720</v>
      </c>
      <c r="D2805" s="0" t="s">
        <v>1437</v>
      </c>
      <c r="E2805" s="0" t="s">
        <v>1438</v>
      </c>
      <c r="F2805" s="0" t="s">
        <v>9724</v>
      </c>
      <c r="G2805" s="0" t="n">
        <v>0</v>
      </c>
      <c r="H2805" s="0" t="s">
        <v>9721</v>
      </c>
      <c r="J2805" s="0" t="s">
        <v>9722</v>
      </c>
      <c r="K2805" s="0" t="str">
        <f aca="false">"6.60 %"</f>
        <v>6.60 %</v>
      </c>
      <c r="O2805" s="0" t="s">
        <v>9725</v>
      </c>
    </row>
    <row r="2806" customFormat="false" ht="13.8" hidden="false" customHeight="false" outlineLevel="0" collapsed="false">
      <c r="A2806" s="0" t="s">
        <v>9726</v>
      </c>
      <c r="D2806" s="0" t="s">
        <v>9727</v>
      </c>
      <c r="E2806" s="0" t="s">
        <v>9728</v>
      </c>
      <c r="F2806" s="0" t="s">
        <v>9729</v>
      </c>
      <c r="G2806" s="0" t="n">
        <v>0</v>
      </c>
      <c r="J2806" s="0" t="s">
        <v>40</v>
      </c>
      <c r="K2806" s="0" t="str">
        <f aca="false">"7.56 %"</f>
        <v>7.56 %</v>
      </c>
      <c r="O2806" s="0" t="s">
        <v>9730</v>
      </c>
    </row>
    <row r="2807" customFormat="false" ht="13.8" hidden="false" customHeight="false" outlineLevel="0" collapsed="false">
      <c r="A2807" s="0" t="s">
        <v>9731</v>
      </c>
      <c r="D2807" s="0" t="s">
        <v>9732</v>
      </c>
      <c r="F2807" s="0" t="s">
        <v>9733</v>
      </c>
      <c r="G2807" s="0" t="n">
        <v>0</v>
      </c>
      <c r="J2807" s="0" t="s">
        <v>40</v>
      </c>
      <c r="K2807" s="0" t="str">
        <f aca="false">"11.23 %"</f>
        <v>11.23 %</v>
      </c>
      <c r="O2807" s="0" t="s">
        <v>9734</v>
      </c>
    </row>
    <row r="2808" customFormat="false" ht="13.8" hidden="false" customHeight="false" outlineLevel="0" collapsed="false">
      <c r="A2808" s="0" t="s">
        <v>9731</v>
      </c>
      <c r="D2808" s="0" t="s">
        <v>9735</v>
      </c>
      <c r="F2808" s="0" t="s">
        <v>9736</v>
      </c>
      <c r="G2808" s="0" t="n">
        <v>0</v>
      </c>
      <c r="J2808" s="0" t="s">
        <v>40</v>
      </c>
      <c r="K2808" s="0" t="str">
        <f aca="false">"9.38 %"</f>
        <v>9.38 %</v>
      </c>
      <c r="O2808" s="0" t="s">
        <v>9737</v>
      </c>
    </row>
    <row r="2809" customFormat="false" ht="13.8" hidden="false" customHeight="false" outlineLevel="0" collapsed="false">
      <c r="A2809" s="0" t="s">
        <v>9738</v>
      </c>
      <c r="D2809" s="0" t="s">
        <v>9739</v>
      </c>
      <c r="F2809" s="0" t="s">
        <v>9740</v>
      </c>
      <c r="G2809" s="0" t="n">
        <v>0</v>
      </c>
      <c r="J2809" s="0" t="s">
        <v>40</v>
      </c>
      <c r="K2809" s="0" t="str">
        <f aca="false">"5.35 %"</f>
        <v>5.35 %</v>
      </c>
      <c r="O2809" s="0" t="s">
        <v>9741</v>
      </c>
    </row>
    <row r="2810" customFormat="false" ht="13.8" hidden="false" customHeight="false" outlineLevel="0" collapsed="false">
      <c r="A2810" s="0" t="s">
        <v>9742</v>
      </c>
      <c r="D2810" s="0" t="s">
        <v>9743</v>
      </c>
      <c r="F2810" s="0" t="s">
        <v>9744</v>
      </c>
      <c r="G2810" s="0" t="n">
        <v>0</v>
      </c>
      <c r="J2810" s="0" t="s">
        <v>40</v>
      </c>
      <c r="K2810" s="0" t="str">
        <f aca="false">"6.5 %"</f>
        <v>6.5 %</v>
      </c>
      <c r="O2810" s="0" t="s">
        <v>9745</v>
      </c>
    </row>
    <row r="2811" customFormat="false" ht="13.8" hidden="false" customHeight="false" outlineLevel="0" collapsed="false">
      <c r="A2811" s="0" t="s">
        <v>9746</v>
      </c>
      <c r="D2811" s="0" t="s">
        <v>208</v>
      </c>
      <c r="E2811" s="0" t="s">
        <v>17</v>
      </c>
      <c r="F2811" s="0" t="s">
        <v>18</v>
      </c>
      <c r="G2811" s="0" t="n">
        <v>0</v>
      </c>
      <c r="J2811" s="0" t="s">
        <v>40</v>
      </c>
      <c r="K2811" s="0" t="str">
        <f aca="false">"3.8 %"</f>
        <v>3.8 %</v>
      </c>
      <c r="M2811" s="0" t="str">
        <f aca="false">"-9.90 mA/cm^{2}"</f>
        <v>-9.90 mA/cm^{2}</v>
      </c>
      <c r="O2811" s="0" t="s">
        <v>9747</v>
      </c>
    </row>
    <row r="2812" customFormat="false" ht="13.8" hidden="false" customHeight="false" outlineLevel="0" collapsed="false">
      <c r="A2812" s="0" t="s">
        <v>9748</v>
      </c>
      <c r="F2812" s="0" t="s">
        <v>40</v>
      </c>
      <c r="G2812" s="0" t="n">
        <v>1</v>
      </c>
      <c r="H2812" s="0" t="s">
        <v>76</v>
      </c>
      <c r="J2812" s="0" t="s">
        <v>7701</v>
      </c>
      <c r="K2812" s="0" t="str">
        <f aca="false">"0.56 %"</f>
        <v>0.56 %</v>
      </c>
      <c r="O2812" s="0" t="s">
        <v>9749</v>
      </c>
    </row>
    <row r="2813" customFormat="false" ht="13.8" hidden="false" customHeight="false" outlineLevel="0" collapsed="false">
      <c r="A2813" s="0" t="s">
        <v>9750</v>
      </c>
      <c r="F2813" s="0" t="s">
        <v>40</v>
      </c>
      <c r="G2813" s="0" t="n">
        <v>1</v>
      </c>
      <c r="H2813" s="0" t="s">
        <v>3749</v>
      </c>
      <c r="J2813" s="0" t="s">
        <v>40</v>
      </c>
      <c r="K2813" s="0" t="str">
        <f aca="false">"9.1 %"</f>
        <v>9.1 %</v>
      </c>
      <c r="O2813" s="0" t="s">
        <v>9751</v>
      </c>
    </row>
    <row r="2814" customFormat="false" ht="13.8" hidden="false" customHeight="false" outlineLevel="0" collapsed="false">
      <c r="A2814" s="0" t="s">
        <v>9752</v>
      </c>
      <c r="D2814" s="0" t="s">
        <v>9753</v>
      </c>
      <c r="E2814" s="0" t="s">
        <v>9754</v>
      </c>
      <c r="F2814" s="0" t="s">
        <v>9755</v>
      </c>
      <c r="G2814" s="0" t="n">
        <v>0</v>
      </c>
      <c r="J2814" s="0" t="s">
        <v>40</v>
      </c>
      <c r="K2814" s="0" t="str">
        <f aca="false">"2.9 %"</f>
        <v>2.9 %</v>
      </c>
      <c r="O2814" s="0" t="s">
        <v>9756</v>
      </c>
    </row>
    <row r="2815" customFormat="false" ht="13.8" hidden="false" customHeight="false" outlineLevel="0" collapsed="false">
      <c r="A2815" s="0" t="s">
        <v>9757</v>
      </c>
      <c r="D2815" s="0" t="s">
        <v>16</v>
      </c>
      <c r="E2815" s="0" t="s">
        <v>17</v>
      </c>
      <c r="F2815" s="0" t="s">
        <v>116</v>
      </c>
      <c r="G2815" s="0" t="n">
        <v>0</v>
      </c>
      <c r="J2815" s="0" t="s">
        <v>40</v>
      </c>
      <c r="K2815" s="0" t="str">
        <f aca="false">"0.27 %"</f>
        <v>0.27 %</v>
      </c>
      <c r="O2815" s="0" t="s">
        <v>9758</v>
      </c>
    </row>
    <row r="2816" customFormat="false" ht="13.8" hidden="false" customHeight="false" outlineLevel="0" collapsed="false">
      <c r="A2816" s="0" t="s">
        <v>9759</v>
      </c>
      <c r="D2816" s="0" t="s">
        <v>9760</v>
      </c>
      <c r="E2816" s="0" t="s">
        <v>9761</v>
      </c>
      <c r="F2816" s="0" t="s">
        <v>9762</v>
      </c>
      <c r="G2816" s="0" t="n">
        <v>0</v>
      </c>
      <c r="J2816" s="0" t="s">
        <v>40</v>
      </c>
      <c r="K2816" s="0" t="str">
        <f aca="false">"7.97 %"</f>
        <v>7.97 %</v>
      </c>
      <c r="O2816" s="0" t="s">
        <v>9763</v>
      </c>
    </row>
    <row r="2817" customFormat="false" ht="13.8" hidden="false" customHeight="false" outlineLevel="0" collapsed="false">
      <c r="A2817" s="0" t="s">
        <v>9764</v>
      </c>
      <c r="F2817" s="0" t="s">
        <v>40</v>
      </c>
      <c r="G2817" s="0" t="n">
        <v>1</v>
      </c>
      <c r="H2817" s="0" t="s">
        <v>27</v>
      </c>
      <c r="J2817" s="0" t="s">
        <v>28</v>
      </c>
      <c r="K2817" s="0" t="str">
        <f aca="false">"6.90 %"</f>
        <v>6.90 %</v>
      </c>
      <c r="N2817" s="0" t="str">
        <f aca="false">"56 %"</f>
        <v>56 %</v>
      </c>
      <c r="O2817" s="0" t="s">
        <v>9765</v>
      </c>
    </row>
    <row r="2818" customFormat="false" ht="13.8" hidden="false" customHeight="false" outlineLevel="0" collapsed="false">
      <c r="A2818" s="0" t="s">
        <v>9766</v>
      </c>
      <c r="D2818" s="0" t="s">
        <v>16</v>
      </c>
      <c r="E2818" s="0" t="s">
        <v>17</v>
      </c>
      <c r="F2818" s="0" t="s">
        <v>116</v>
      </c>
      <c r="G2818" s="0" t="n">
        <v>0</v>
      </c>
      <c r="J2818" s="0" t="s">
        <v>40</v>
      </c>
      <c r="O2818" s="0" t="s">
        <v>9767</v>
      </c>
    </row>
    <row r="2819" customFormat="false" ht="13.8" hidden="false" customHeight="false" outlineLevel="0" collapsed="false">
      <c r="A2819" s="0" t="s">
        <v>9766</v>
      </c>
      <c r="F2819" s="0" t="s">
        <v>40</v>
      </c>
      <c r="G2819" s="0" t="n">
        <v>0</v>
      </c>
      <c r="J2819" s="0" t="s">
        <v>40</v>
      </c>
      <c r="K2819" s="0" t="str">
        <f aca="false">"0.46 %"</f>
        <v>0.46 %</v>
      </c>
      <c r="O2819" s="0" t="s">
        <v>9768</v>
      </c>
    </row>
    <row r="2820" customFormat="false" ht="13.8" hidden="false" customHeight="false" outlineLevel="0" collapsed="false">
      <c r="A2820" s="0" t="s">
        <v>9769</v>
      </c>
      <c r="D2820" s="0" t="s">
        <v>9770</v>
      </c>
      <c r="F2820" s="0" t="s">
        <v>9771</v>
      </c>
      <c r="G2820" s="0" t="n">
        <v>0</v>
      </c>
      <c r="J2820" s="0" t="s">
        <v>40</v>
      </c>
      <c r="K2820" s="0" t="str">
        <f aca="false">"4.88 %"</f>
        <v>4.88 %</v>
      </c>
      <c r="O2820" s="0" t="s">
        <v>9772</v>
      </c>
    </row>
    <row r="2821" customFormat="false" ht="13.8" hidden="false" customHeight="false" outlineLevel="0" collapsed="false">
      <c r="A2821" s="0" t="s">
        <v>9773</v>
      </c>
      <c r="F2821" s="0" t="s">
        <v>40</v>
      </c>
      <c r="G2821" s="0" t="n">
        <v>1</v>
      </c>
      <c r="H2821" s="0" t="s">
        <v>27</v>
      </c>
      <c r="J2821" s="0" t="s">
        <v>28</v>
      </c>
      <c r="K2821" s="0" t="str">
        <f aca="false">"7.87 %"</f>
        <v>7.87 %</v>
      </c>
      <c r="O2821" s="0" t="s">
        <v>9774</v>
      </c>
    </row>
    <row r="2822" customFormat="false" ht="13.8" hidden="false" customHeight="false" outlineLevel="0" collapsed="false">
      <c r="A2822" s="0" t="s">
        <v>9775</v>
      </c>
      <c r="D2822" s="0" t="s">
        <v>16</v>
      </c>
      <c r="E2822" s="0" t="s">
        <v>17</v>
      </c>
      <c r="F2822" s="0" t="s">
        <v>116</v>
      </c>
      <c r="G2822" s="0" t="n">
        <v>0</v>
      </c>
      <c r="J2822" s="0" t="s">
        <v>40</v>
      </c>
      <c r="K2822" s="0" t="str">
        <f aca="false">"0.20 %"</f>
        <v>0.20 %</v>
      </c>
      <c r="O2822" s="0" t="s">
        <v>9776</v>
      </c>
    </row>
    <row r="2823" customFormat="false" ht="13.8" hidden="false" customHeight="false" outlineLevel="0" collapsed="false">
      <c r="A2823" s="0" t="s">
        <v>9777</v>
      </c>
      <c r="D2823" s="0" t="s">
        <v>9778</v>
      </c>
      <c r="F2823" s="0" t="s">
        <v>9779</v>
      </c>
      <c r="G2823" s="0" t="n">
        <v>0</v>
      </c>
      <c r="J2823" s="0" t="s">
        <v>40</v>
      </c>
      <c r="K2823" s="0" t="str">
        <f aca="false">"7.03 %"</f>
        <v>7.03 %</v>
      </c>
      <c r="L2823" s="0" t="str">
        <f aca="false">"0.95 V"</f>
        <v>0.95 V</v>
      </c>
      <c r="O2823" s="0" t="s">
        <v>9780</v>
      </c>
    </row>
    <row r="2824" customFormat="false" ht="13.8" hidden="false" customHeight="false" outlineLevel="0" collapsed="false">
      <c r="A2824" s="0" t="s">
        <v>9781</v>
      </c>
      <c r="D2824" s="0" t="s">
        <v>16</v>
      </c>
      <c r="E2824" s="0" t="s">
        <v>17</v>
      </c>
      <c r="F2824" s="0" t="s">
        <v>116</v>
      </c>
      <c r="G2824" s="0" t="n">
        <v>0</v>
      </c>
      <c r="J2824" s="0" t="s">
        <v>40</v>
      </c>
      <c r="K2824" s="0" t="str">
        <f aca="false">"4.1 %"</f>
        <v>4.1 %</v>
      </c>
      <c r="O2824" s="0" t="s">
        <v>9782</v>
      </c>
    </row>
    <row r="2825" customFormat="false" ht="13.8" hidden="false" customHeight="false" outlineLevel="0" collapsed="false">
      <c r="A2825" s="0" t="s">
        <v>9783</v>
      </c>
      <c r="D2825" s="0" t="s">
        <v>9784</v>
      </c>
      <c r="F2825" s="0" t="s">
        <v>9785</v>
      </c>
      <c r="G2825" s="0" t="n">
        <v>0</v>
      </c>
      <c r="J2825" s="0" t="s">
        <v>40</v>
      </c>
      <c r="K2825" s="0" t="str">
        <f aca="false">"0.26 %"</f>
        <v>0.26 %</v>
      </c>
      <c r="L2825" s="0" t="str">
        <f aca="false">"0.75 V"</f>
        <v>0.75 V</v>
      </c>
      <c r="M2825" s="0" t="str">
        <f aca="false">"10.97 mA/cm^{2}"</f>
        <v>10.97 mA/cm^{2}</v>
      </c>
      <c r="O2825" s="0" t="s">
        <v>9786</v>
      </c>
    </row>
    <row r="2826" customFormat="false" ht="13.8" hidden="false" customHeight="false" outlineLevel="0" collapsed="false">
      <c r="A2826" s="0" t="s">
        <v>9787</v>
      </c>
      <c r="D2826" s="0" t="s">
        <v>9788</v>
      </c>
      <c r="F2826" s="0" t="s">
        <v>9789</v>
      </c>
      <c r="G2826" s="0" t="n">
        <v>0</v>
      </c>
      <c r="J2826" s="0" t="s">
        <v>40</v>
      </c>
      <c r="K2826" s="0" t="str">
        <f aca="false">"8.82 %"</f>
        <v>8.82 %</v>
      </c>
      <c r="L2826" s="0" t="str">
        <f aca="false">"0.74 V"</f>
        <v>0.74 V</v>
      </c>
      <c r="M2826" s="0" t="str">
        <f aca="false">"16.71 mA cm^{-2}"</f>
        <v>16.71 mA cm^{-2}</v>
      </c>
      <c r="N2826" s="0" t="str">
        <f aca="false">"63.6 %"</f>
        <v>63.6 %</v>
      </c>
      <c r="O2826" s="0" t="s">
        <v>9790</v>
      </c>
    </row>
    <row r="2827" customFormat="false" ht="13.8" hidden="false" customHeight="false" outlineLevel="0" collapsed="false">
      <c r="A2827" s="0" t="s">
        <v>9791</v>
      </c>
      <c r="F2827" s="0" t="s">
        <v>40</v>
      </c>
      <c r="G2827" s="0" t="n">
        <v>1</v>
      </c>
      <c r="H2827" s="0" t="s">
        <v>33</v>
      </c>
      <c r="J2827" s="0" t="s">
        <v>60</v>
      </c>
      <c r="K2827" s="0" t="str">
        <f aca="false">"0.9 %"</f>
        <v>0.9 %</v>
      </c>
      <c r="O2827" s="0" t="s">
        <v>9792</v>
      </c>
    </row>
    <row r="2828" customFormat="false" ht="13.8" hidden="false" customHeight="false" outlineLevel="0" collapsed="false">
      <c r="A2828" s="0" t="s">
        <v>9793</v>
      </c>
      <c r="D2828" s="0" t="s">
        <v>6003</v>
      </c>
      <c r="F2828" s="0" t="s">
        <v>40</v>
      </c>
      <c r="G2828" s="0" t="n">
        <v>0</v>
      </c>
      <c r="J2828" s="0" t="s">
        <v>40</v>
      </c>
      <c r="K2828" s="0" t="str">
        <f aca="false">"4.54 %"</f>
        <v>4.54 %</v>
      </c>
      <c r="L2828" s="0" t="str">
        <f aca="false">"0.92 V"</f>
        <v>0.92 V</v>
      </c>
      <c r="M2828" s="0" t="str">
        <f aca="false">"9.30 mA/cm^{2}"</f>
        <v>9.30 mA/cm^{2}</v>
      </c>
      <c r="N2828" s="0" t="str">
        <f aca="false">"2.83 %"</f>
        <v>2.83 %</v>
      </c>
      <c r="O2828" s="0" t="s">
        <v>9794</v>
      </c>
    </row>
    <row r="2829" customFormat="false" ht="13.8" hidden="false" customHeight="false" outlineLevel="0" collapsed="false">
      <c r="A2829" s="0" t="s">
        <v>9795</v>
      </c>
      <c r="D2829" s="0" t="s">
        <v>9796</v>
      </c>
      <c r="F2829" s="0" t="s">
        <v>9797</v>
      </c>
      <c r="G2829" s="0" t="n">
        <v>0</v>
      </c>
      <c r="J2829" s="0" t="s">
        <v>40</v>
      </c>
      <c r="K2829" s="0" t="str">
        <f aca="false">"4.1 %"</f>
        <v>4.1 %</v>
      </c>
      <c r="O2829" s="0" t="s">
        <v>9798</v>
      </c>
    </row>
    <row r="2830" customFormat="false" ht="13.8" hidden="false" customHeight="false" outlineLevel="0" collapsed="false">
      <c r="A2830" s="0" t="s">
        <v>9799</v>
      </c>
      <c r="D2830" s="0" t="s">
        <v>109</v>
      </c>
      <c r="E2830" s="0" t="s">
        <v>110</v>
      </c>
      <c r="F2830" s="0" t="s">
        <v>9800</v>
      </c>
      <c r="G2830" s="0" t="n">
        <v>0</v>
      </c>
      <c r="J2830" s="0" t="s">
        <v>40</v>
      </c>
      <c r="K2830" s="0" t="str">
        <f aca="false">"2.07 %"</f>
        <v>2.07 %</v>
      </c>
      <c r="L2830" s="0" t="str">
        <f aca="false">"0.88 V"</f>
        <v>0.88 V</v>
      </c>
      <c r="O2830" s="0" t="s">
        <v>9801</v>
      </c>
    </row>
    <row r="2831" customFormat="false" ht="13.8" hidden="false" customHeight="false" outlineLevel="0" collapsed="false">
      <c r="A2831" s="0" t="s">
        <v>9802</v>
      </c>
      <c r="D2831" s="0" t="s">
        <v>201</v>
      </c>
      <c r="E2831" s="0" t="s">
        <v>202</v>
      </c>
      <c r="F2831" s="0" t="s">
        <v>6792</v>
      </c>
      <c r="G2831" s="0" t="n">
        <v>0</v>
      </c>
      <c r="J2831" s="0" t="s">
        <v>40</v>
      </c>
      <c r="K2831" s="0" t="str">
        <f aca="false">"7.55 %"</f>
        <v>7.55 %</v>
      </c>
      <c r="O2831" s="0" t="s">
        <v>9803</v>
      </c>
    </row>
    <row r="2832" customFormat="false" ht="13.8" hidden="false" customHeight="false" outlineLevel="0" collapsed="false">
      <c r="A2832" s="0" t="s">
        <v>9804</v>
      </c>
      <c r="D2832" s="0" t="s">
        <v>201</v>
      </c>
      <c r="E2832" s="0" t="s">
        <v>202</v>
      </c>
      <c r="F2832" s="0" t="s">
        <v>422</v>
      </c>
      <c r="G2832" s="0" t="n">
        <v>0</v>
      </c>
      <c r="J2832" s="0" t="s">
        <v>40</v>
      </c>
      <c r="K2832" s="0" t="str">
        <f aca="false">"5.6 %"</f>
        <v>5.6 %</v>
      </c>
      <c r="O2832" s="0" t="s">
        <v>9805</v>
      </c>
    </row>
    <row r="2833" customFormat="false" ht="13.8" hidden="false" customHeight="false" outlineLevel="0" collapsed="false">
      <c r="A2833" s="0" t="s">
        <v>9806</v>
      </c>
      <c r="D2833" s="0" t="s">
        <v>9807</v>
      </c>
      <c r="F2833" s="0" t="s">
        <v>40</v>
      </c>
      <c r="G2833" s="0" t="n">
        <v>0</v>
      </c>
      <c r="J2833" s="0" t="s">
        <v>40</v>
      </c>
      <c r="K2833" s="0" t="str">
        <f aca="false">"5.06 %"</f>
        <v>5.06 %</v>
      </c>
      <c r="O2833" s="0" t="s">
        <v>9808</v>
      </c>
    </row>
    <row r="2834" customFormat="false" ht="13.8" hidden="false" customHeight="false" outlineLevel="0" collapsed="false">
      <c r="A2834" s="0" t="s">
        <v>9809</v>
      </c>
      <c r="D2834" s="0" t="s">
        <v>5180</v>
      </c>
      <c r="F2834" s="0" t="s">
        <v>9810</v>
      </c>
      <c r="G2834" s="0" t="n">
        <v>0</v>
      </c>
      <c r="J2834" s="0" t="s">
        <v>40</v>
      </c>
      <c r="K2834" s="0" t="str">
        <f aca="false">"~5 %"</f>
        <v>~5 %</v>
      </c>
      <c r="O2834" s="0" t="s">
        <v>9811</v>
      </c>
    </row>
    <row r="2835" customFormat="false" ht="13.8" hidden="false" customHeight="false" outlineLevel="0" collapsed="false">
      <c r="A2835" s="0" t="s">
        <v>9812</v>
      </c>
      <c r="D2835" s="0" t="s">
        <v>1168</v>
      </c>
      <c r="E2835" s="0" t="s">
        <v>1169</v>
      </c>
      <c r="F2835" s="0" t="s">
        <v>1170</v>
      </c>
      <c r="G2835" s="0" t="n">
        <v>0</v>
      </c>
      <c r="J2835" s="0" t="s">
        <v>40</v>
      </c>
      <c r="K2835" s="0" t="str">
        <f aca="false">"10 %"</f>
        <v>10 %</v>
      </c>
      <c r="O2835" s="0" t="s">
        <v>9813</v>
      </c>
    </row>
    <row r="2836" customFormat="false" ht="13.8" hidden="false" customHeight="false" outlineLevel="0" collapsed="false">
      <c r="A2836" s="0" t="s">
        <v>9814</v>
      </c>
      <c r="D2836" s="0" t="s">
        <v>9815</v>
      </c>
      <c r="E2836" s="0" t="s">
        <v>17</v>
      </c>
      <c r="F2836" s="0" t="s">
        <v>3850</v>
      </c>
      <c r="G2836" s="0" t="n">
        <v>0</v>
      </c>
      <c r="J2836" s="0" t="s">
        <v>40</v>
      </c>
      <c r="K2836" s="0" t="str">
        <f aca="false">"4.6 %"</f>
        <v>4.6 %</v>
      </c>
      <c r="O2836" s="0" t="s">
        <v>9816</v>
      </c>
    </row>
    <row r="2837" customFormat="false" ht="13.8" hidden="false" customHeight="false" outlineLevel="0" collapsed="false">
      <c r="A2837" s="0" t="s">
        <v>9817</v>
      </c>
      <c r="D2837" s="0" t="s">
        <v>9818</v>
      </c>
      <c r="F2837" s="0" t="s">
        <v>40</v>
      </c>
      <c r="G2837" s="0" t="n">
        <v>0</v>
      </c>
      <c r="J2837" s="0" t="s">
        <v>40</v>
      </c>
      <c r="O2837" s="0" t="s">
        <v>9819</v>
      </c>
    </row>
    <row r="2838" customFormat="false" ht="13.8" hidden="false" customHeight="false" outlineLevel="0" collapsed="false">
      <c r="A2838" s="0" t="s">
        <v>9820</v>
      </c>
      <c r="D2838" s="0" t="s">
        <v>6362</v>
      </c>
      <c r="F2838" s="0" t="s">
        <v>6776</v>
      </c>
      <c r="G2838" s="0" t="n">
        <v>0</v>
      </c>
      <c r="J2838" s="0" t="s">
        <v>40</v>
      </c>
      <c r="K2838" s="0" t="str">
        <f aca="false">"9.6 %"</f>
        <v>9.6 %</v>
      </c>
      <c r="O2838" s="0" t="s">
        <v>9821</v>
      </c>
    </row>
    <row r="2839" customFormat="false" ht="13.8" hidden="false" customHeight="false" outlineLevel="0" collapsed="false">
      <c r="A2839" s="0" t="s">
        <v>9822</v>
      </c>
      <c r="D2839" s="0" t="s">
        <v>1924</v>
      </c>
      <c r="E2839" s="0" t="s">
        <v>1925</v>
      </c>
      <c r="F2839" s="0" t="s">
        <v>1926</v>
      </c>
      <c r="G2839" s="0" t="n">
        <v>0</v>
      </c>
      <c r="J2839" s="0" t="s">
        <v>40</v>
      </c>
      <c r="K2839" s="0" t="str">
        <f aca="false">"3.50 %"</f>
        <v>3.50 %</v>
      </c>
      <c r="O2839" s="0" t="s">
        <v>9823</v>
      </c>
    </row>
    <row r="2840" customFormat="false" ht="13.8" hidden="false" customHeight="false" outlineLevel="0" collapsed="false">
      <c r="A2840" s="0" t="s">
        <v>9822</v>
      </c>
      <c r="D2840" s="0" t="s">
        <v>1168</v>
      </c>
      <c r="E2840" s="0" t="s">
        <v>1169</v>
      </c>
      <c r="F2840" s="0" t="s">
        <v>1170</v>
      </c>
      <c r="G2840" s="0" t="n">
        <v>0</v>
      </c>
      <c r="J2840" s="0" t="s">
        <v>40</v>
      </c>
      <c r="K2840" s="0" t="str">
        <f aca="false">"3.76 %"</f>
        <v>3.76 %</v>
      </c>
      <c r="O2840" s="0" t="s">
        <v>9824</v>
      </c>
    </row>
    <row r="2841" customFormat="false" ht="13.8" hidden="false" customHeight="false" outlineLevel="0" collapsed="false">
      <c r="A2841" s="0" t="s">
        <v>9825</v>
      </c>
      <c r="D2841" s="0" t="s">
        <v>1168</v>
      </c>
      <c r="E2841" s="0" t="s">
        <v>1169</v>
      </c>
      <c r="F2841" s="0" t="s">
        <v>1170</v>
      </c>
      <c r="G2841" s="0" t="n">
        <v>0</v>
      </c>
      <c r="J2841" s="0" t="s">
        <v>40</v>
      </c>
      <c r="O2841" s="0" t="s">
        <v>9826</v>
      </c>
    </row>
    <row r="2842" customFormat="false" ht="13.8" hidden="false" customHeight="false" outlineLevel="0" collapsed="false">
      <c r="A2842" s="0" t="s">
        <v>9825</v>
      </c>
      <c r="D2842" s="0" t="s">
        <v>1924</v>
      </c>
      <c r="E2842" s="0" t="s">
        <v>1169</v>
      </c>
      <c r="F2842" s="0" t="s">
        <v>9827</v>
      </c>
      <c r="G2842" s="0" t="n">
        <v>0</v>
      </c>
      <c r="J2842" s="0" t="s">
        <v>40</v>
      </c>
      <c r="K2842" s="0" t="str">
        <f aca="false">"9.28 %"</f>
        <v>9.28 %</v>
      </c>
      <c r="M2842" s="0" t="str">
        <f aca="false">"16.48 mA cm^{-2}"</f>
        <v>16.48 mA cm^{-2}</v>
      </c>
      <c r="O2842" s="0" t="s">
        <v>9828</v>
      </c>
    </row>
    <row r="2843" customFormat="false" ht="13.8" hidden="false" customHeight="false" outlineLevel="0" collapsed="false">
      <c r="A2843" s="0" t="s">
        <v>9829</v>
      </c>
      <c r="D2843" s="0" t="s">
        <v>208</v>
      </c>
      <c r="E2843" s="0" t="s">
        <v>17</v>
      </c>
      <c r="F2843" s="0" t="s">
        <v>209</v>
      </c>
      <c r="G2843" s="0" t="n">
        <v>0</v>
      </c>
      <c r="J2843" s="0" t="s">
        <v>40</v>
      </c>
      <c r="K2843" s="0" t="str">
        <f aca="false">"4.4 %"</f>
        <v>4.4 %</v>
      </c>
      <c r="O2843" s="0" t="s">
        <v>9830</v>
      </c>
    </row>
    <row r="2844" customFormat="false" ht="13.8" hidden="false" customHeight="false" outlineLevel="0" collapsed="false">
      <c r="A2844" s="0" t="s">
        <v>9831</v>
      </c>
      <c r="D2844" s="0" t="s">
        <v>9832</v>
      </c>
      <c r="F2844" s="0" t="s">
        <v>9833</v>
      </c>
      <c r="G2844" s="0" t="n">
        <v>0</v>
      </c>
      <c r="J2844" s="0" t="s">
        <v>40</v>
      </c>
      <c r="K2844" s="0" t="str">
        <f aca="false">"0.45 %"</f>
        <v>0.45 %</v>
      </c>
      <c r="O2844" s="0" t="s">
        <v>9834</v>
      </c>
    </row>
    <row r="2845" customFormat="false" ht="13.8" hidden="false" customHeight="false" outlineLevel="0" collapsed="false">
      <c r="A2845" s="0" t="s">
        <v>9835</v>
      </c>
      <c r="F2845" s="0" t="s">
        <v>40</v>
      </c>
      <c r="G2845" s="0" t="n">
        <v>1</v>
      </c>
      <c r="H2845" s="0" t="s">
        <v>66</v>
      </c>
      <c r="J2845" s="0" t="s">
        <v>67</v>
      </c>
      <c r="K2845" s="0" t="str">
        <f aca="false">"1.1 %"</f>
        <v>1.1 %</v>
      </c>
      <c r="O2845" s="0" t="s">
        <v>9836</v>
      </c>
    </row>
    <row r="2846" customFormat="false" ht="13.8" hidden="false" customHeight="false" outlineLevel="0" collapsed="false">
      <c r="A2846" s="0" t="s">
        <v>9837</v>
      </c>
      <c r="F2846" s="0" t="s">
        <v>40</v>
      </c>
      <c r="G2846" s="0" t="n">
        <v>1</v>
      </c>
      <c r="H2846" s="0" t="s">
        <v>33</v>
      </c>
      <c r="J2846" s="0" t="s">
        <v>34</v>
      </c>
      <c r="K2846" s="0" t="str">
        <f aca="false">"4.26 %"</f>
        <v>4.26 %</v>
      </c>
      <c r="L2846" s="0" t="str">
        <f aca="false">"0.63 V"</f>
        <v>0.63 V</v>
      </c>
      <c r="M2846" s="0" t="str">
        <f aca="false">"12.52 mA/cm^{2}"</f>
        <v>12.52 mA/cm^{2}</v>
      </c>
      <c r="N2846" s="0" t="str">
        <f aca="false">"54 %"</f>
        <v>54 %</v>
      </c>
      <c r="O2846" s="0" t="s">
        <v>9838</v>
      </c>
    </row>
    <row r="2847" customFormat="false" ht="13.8" hidden="false" customHeight="false" outlineLevel="0" collapsed="false">
      <c r="A2847" s="0" t="s">
        <v>9839</v>
      </c>
      <c r="D2847" s="0" t="s">
        <v>9840</v>
      </c>
      <c r="F2847" s="0" t="s">
        <v>9841</v>
      </c>
      <c r="G2847" s="0" t="n">
        <v>0</v>
      </c>
      <c r="J2847" s="0" t="s">
        <v>40</v>
      </c>
      <c r="K2847" s="0" t="str">
        <f aca="false">"3.5 %"</f>
        <v>3.5 %</v>
      </c>
      <c r="L2847" s="0" t="str">
        <f aca="false">"0.70 V"</f>
        <v>0.70 V</v>
      </c>
      <c r="M2847" s="0" t="str">
        <f aca="false">"7.2 mA/cm^{2}"</f>
        <v>7.2 mA/cm^{2}</v>
      </c>
      <c r="N2847" s="0" t="str">
        <f aca="false">"66 %"</f>
        <v>66 %</v>
      </c>
      <c r="O2847" s="0" t="s">
        <v>9842</v>
      </c>
    </row>
    <row r="2848" customFormat="false" ht="13.8" hidden="false" customHeight="false" outlineLevel="0" collapsed="false">
      <c r="A2848" s="0" t="s">
        <v>9843</v>
      </c>
      <c r="D2848" s="0" t="s">
        <v>9844</v>
      </c>
      <c r="E2848" s="0" t="s">
        <v>9845</v>
      </c>
      <c r="F2848" s="0" t="s">
        <v>9846</v>
      </c>
      <c r="G2848" s="0" t="n">
        <v>0</v>
      </c>
      <c r="J2848" s="0" t="s">
        <v>40</v>
      </c>
      <c r="K2848" s="0" t="str">
        <f aca="false">"6.41 %"</f>
        <v>6.41 %</v>
      </c>
      <c r="L2848" s="0" t="str">
        <f aca="false">"0.86 V"</f>
        <v>0.86 V</v>
      </c>
      <c r="M2848" s="0" t="str">
        <f aca="false">"11.42 mA/cm^{2}"</f>
        <v>11.42 mA/cm^{2}</v>
      </c>
      <c r="N2848" s="0" t="str">
        <f aca="false">"65.77 %"</f>
        <v>65.77 %</v>
      </c>
      <c r="O2848" s="0" t="s">
        <v>9847</v>
      </c>
    </row>
    <row r="2849" customFormat="false" ht="13.8" hidden="false" customHeight="false" outlineLevel="0" collapsed="false">
      <c r="A2849" s="0" t="s">
        <v>9848</v>
      </c>
      <c r="D2849" s="0" t="s">
        <v>9849</v>
      </c>
      <c r="F2849" s="0" t="s">
        <v>9850</v>
      </c>
      <c r="G2849" s="0" t="n">
        <v>0</v>
      </c>
      <c r="J2849" s="0" t="s">
        <v>40</v>
      </c>
      <c r="K2849" s="0" t="str">
        <f aca="false">"3.77 %"</f>
        <v>3.77 %</v>
      </c>
      <c r="O2849" s="0" t="s">
        <v>9851</v>
      </c>
    </row>
    <row r="2850" customFormat="false" ht="13.8" hidden="false" customHeight="false" outlineLevel="0" collapsed="false">
      <c r="A2850" s="0" t="s">
        <v>9848</v>
      </c>
      <c r="D2850" s="0" t="s">
        <v>9852</v>
      </c>
      <c r="F2850" s="0" t="s">
        <v>9853</v>
      </c>
      <c r="G2850" s="0" t="n">
        <v>0</v>
      </c>
      <c r="J2850" s="0" t="s">
        <v>40</v>
      </c>
      <c r="L2850" s="0" t="str">
        <f aca="false">"0.90 V"</f>
        <v>0.90 V</v>
      </c>
      <c r="O2850" s="0" t="s">
        <v>9854</v>
      </c>
    </row>
    <row r="2851" customFormat="false" ht="13.8" hidden="false" customHeight="false" outlineLevel="0" collapsed="false">
      <c r="A2851" s="0" t="s">
        <v>9855</v>
      </c>
      <c r="D2851" s="0" t="s">
        <v>9856</v>
      </c>
      <c r="F2851" s="0" t="s">
        <v>9857</v>
      </c>
      <c r="G2851" s="0" t="n">
        <v>0</v>
      </c>
      <c r="J2851" s="0" t="s">
        <v>40</v>
      </c>
      <c r="K2851" s="0" t="str">
        <f aca="false">"0.31 %"</f>
        <v>0.31 %</v>
      </c>
      <c r="O2851" s="0" t="s">
        <v>9858</v>
      </c>
    </row>
    <row r="2852" customFormat="false" ht="13.8" hidden="false" customHeight="false" outlineLevel="0" collapsed="false">
      <c r="A2852" s="0" t="s">
        <v>9859</v>
      </c>
      <c r="D2852" s="0" t="s">
        <v>9860</v>
      </c>
      <c r="F2852" s="0" t="s">
        <v>9861</v>
      </c>
      <c r="G2852" s="0" t="n">
        <v>0</v>
      </c>
      <c r="J2852" s="0" t="s">
        <v>40</v>
      </c>
      <c r="O2852" s="0" t="s">
        <v>9862</v>
      </c>
    </row>
    <row r="2853" customFormat="false" ht="13.8" hidden="false" customHeight="false" outlineLevel="0" collapsed="false">
      <c r="A2853" s="0" t="s">
        <v>9859</v>
      </c>
      <c r="D2853" s="0" t="s">
        <v>9863</v>
      </c>
      <c r="F2853" s="0" t="s">
        <v>9864</v>
      </c>
      <c r="G2853" s="0" t="n">
        <v>0</v>
      </c>
      <c r="J2853" s="0" t="s">
        <v>40</v>
      </c>
      <c r="K2853" s="0" t="str">
        <f aca="false">"2.74 %"</f>
        <v>2.74 %</v>
      </c>
      <c r="O2853" s="0" t="s">
        <v>9865</v>
      </c>
    </row>
    <row r="2854" customFormat="false" ht="13.8" hidden="false" customHeight="false" outlineLevel="0" collapsed="false">
      <c r="A2854" s="0" t="s">
        <v>9866</v>
      </c>
      <c r="D2854" s="0" t="s">
        <v>9867</v>
      </c>
      <c r="E2854" s="0" t="s">
        <v>9868</v>
      </c>
      <c r="F2854" s="0" t="s">
        <v>9869</v>
      </c>
      <c r="G2854" s="0" t="n">
        <v>0</v>
      </c>
      <c r="J2854" s="0" t="s">
        <v>40</v>
      </c>
      <c r="K2854" s="0" t="str">
        <f aca="false">"5.73 %"</f>
        <v>5.73 %</v>
      </c>
      <c r="L2854" s="0" t="str">
        <f aca="false">"0.90 V"</f>
        <v>0.90 V</v>
      </c>
      <c r="M2854" s="0" t="str">
        <f aca="false">"9.73 mA/cm^{2}"</f>
        <v>9.73 mA/cm^{2}</v>
      </c>
      <c r="N2854" s="0" t="str">
        <f aca="false">"0.66"</f>
        <v>0.66</v>
      </c>
      <c r="O2854" s="0" t="s">
        <v>9870</v>
      </c>
    </row>
    <row r="2855" customFormat="false" ht="13.8" hidden="false" customHeight="false" outlineLevel="0" collapsed="false">
      <c r="A2855" s="0" t="s">
        <v>9866</v>
      </c>
      <c r="D2855" s="0" t="s">
        <v>9871</v>
      </c>
      <c r="F2855" s="0" t="s">
        <v>9872</v>
      </c>
      <c r="G2855" s="0" t="n">
        <v>0</v>
      </c>
      <c r="J2855" s="0" t="s">
        <v>40</v>
      </c>
      <c r="K2855" s="0" t="str">
        <f aca="false">"4.84 %"</f>
        <v>4.84 %</v>
      </c>
      <c r="L2855" s="0" t="str">
        <f aca="false">"0.92 V"</f>
        <v>0.92 V</v>
      </c>
      <c r="M2855" s="0" t="str">
        <f aca="false">"8.08 mA/cm^{2}"</f>
        <v>8.08 mA/cm^{2}</v>
      </c>
      <c r="N2855" s="0" t="str">
        <f aca="false">"0.65"</f>
        <v>0.65</v>
      </c>
      <c r="O2855" s="0" t="s">
        <v>9873</v>
      </c>
    </row>
    <row r="2856" customFormat="false" ht="13.8" hidden="false" customHeight="false" outlineLevel="0" collapsed="false">
      <c r="A2856" s="0" t="s">
        <v>9874</v>
      </c>
      <c r="F2856" s="0" t="s">
        <v>40</v>
      </c>
      <c r="G2856" s="0" t="n">
        <v>1</v>
      </c>
      <c r="H2856" s="0" t="s">
        <v>33</v>
      </c>
      <c r="J2856" s="0" t="s">
        <v>9875</v>
      </c>
      <c r="K2856" s="0" t="str">
        <f aca="false">"1.84 %"</f>
        <v>1.84 %</v>
      </c>
      <c r="O2856" s="0" t="s">
        <v>9876</v>
      </c>
    </row>
    <row r="2857" customFormat="false" ht="13.8" hidden="false" customHeight="false" outlineLevel="0" collapsed="false">
      <c r="A2857" s="0" t="s">
        <v>9877</v>
      </c>
      <c r="F2857" s="0" t="s">
        <v>40</v>
      </c>
      <c r="G2857" s="0" t="n">
        <v>1</v>
      </c>
      <c r="H2857" s="0" t="s">
        <v>27</v>
      </c>
      <c r="J2857" s="0" t="s">
        <v>40</v>
      </c>
      <c r="K2857" s="0" t="str">
        <f aca="false">"3.16-5.76 %"</f>
        <v>3.16-5.76 %</v>
      </c>
      <c r="O2857" s="0" t="s">
        <v>9878</v>
      </c>
    </row>
    <row r="2858" customFormat="false" ht="13.8" hidden="false" customHeight="false" outlineLevel="0" collapsed="false">
      <c r="A2858" s="0" t="s">
        <v>9877</v>
      </c>
      <c r="D2858" s="0" t="s">
        <v>9879</v>
      </c>
      <c r="F2858" s="0" t="s">
        <v>9880</v>
      </c>
      <c r="G2858" s="0" t="n">
        <v>1</v>
      </c>
      <c r="H2858" s="0" t="s">
        <v>27</v>
      </c>
      <c r="J2858" s="0" t="s">
        <v>40</v>
      </c>
      <c r="L2858" s="0" t="str">
        <f aca="false">"0.82 V"</f>
        <v>0.82 V</v>
      </c>
      <c r="M2858" s="0" t="str">
        <f aca="false">"12.75 mA cm^{-2}"</f>
        <v>12.75 mA cm^{-2}</v>
      </c>
      <c r="O2858" s="0" t="s">
        <v>9881</v>
      </c>
    </row>
    <row r="2859" customFormat="false" ht="13.8" hidden="false" customHeight="false" outlineLevel="0" collapsed="false">
      <c r="A2859" s="0" t="s">
        <v>9882</v>
      </c>
      <c r="D2859" s="0" t="s">
        <v>6038</v>
      </c>
      <c r="F2859" s="0" t="s">
        <v>40</v>
      </c>
      <c r="G2859" s="0" t="n">
        <v>0</v>
      </c>
      <c r="J2859" s="0" t="s">
        <v>40</v>
      </c>
      <c r="K2859" s="0" t="str">
        <f aca="false">"6.80 %"</f>
        <v>6.80 %</v>
      </c>
      <c r="L2859" s="0" t="str">
        <f aca="false">"0.77 V"</f>
        <v>0.77 V</v>
      </c>
      <c r="M2859" s="0" t="str">
        <f aca="false">"13.67 mA cm^{-2}"</f>
        <v>13.67 mA cm^{-2}</v>
      </c>
      <c r="N2859" s="0" t="str">
        <f aca="false">"64.2 %"</f>
        <v>64.2 %</v>
      </c>
      <c r="O2859" s="0" t="s">
        <v>9883</v>
      </c>
    </row>
    <row r="2860" customFormat="false" ht="13.8" hidden="false" customHeight="false" outlineLevel="0" collapsed="false">
      <c r="A2860" s="0" t="s">
        <v>9884</v>
      </c>
      <c r="D2860" s="0" t="s">
        <v>3703</v>
      </c>
      <c r="E2860" s="0" t="s">
        <v>1689</v>
      </c>
      <c r="F2860" s="0" t="s">
        <v>4859</v>
      </c>
      <c r="G2860" s="0" t="n">
        <v>0</v>
      </c>
      <c r="J2860" s="0" t="s">
        <v>40</v>
      </c>
      <c r="K2860" s="0" t="str">
        <f aca="false">"~5 %"</f>
        <v>~5 %</v>
      </c>
      <c r="O2860" s="0" t="s">
        <v>9885</v>
      </c>
    </row>
    <row r="2861" customFormat="false" ht="13.8" hidden="false" customHeight="false" outlineLevel="0" collapsed="false">
      <c r="A2861" s="0" t="s">
        <v>9886</v>
      </c>
      <c r="D2861" s="0" t="s">
        <v>3208</v>
      </c>
      <c r="F2861" s="0" t="s">
        <v>9887</v>
      </c>
      <c r="G2861" s="0" t="n">
        <v>0</v>
      </c>
      <c r="J2861" s="0" t="s">
        <v>40</v>
      </c>
      <c r="K2861" s="0" t="str">
        <f aca="false">"8.19 %"</f>
        <v>8.19 %</v>
      </c>
      <c r="O2861" s="0" t="s">
        <v>9888</v>
      </c>
    </row>
    <row r="2862" customFormat="false" ht="13.8" hidden="false" customHeight="false" outlineLevel="0" collapsed="false">
      <c r="A2862" s="0" t="s">
        <v>9889</v>
      </c>
      <c r="D2862" s="0" t="s">
        <v>9890</v>
      </c>
      <c r="E2862" s="0" t="s">
        <v>9891</v>
      </c>
      <c r="F2862" s="0" t="s">
        <v>9892</v>
      </c>
      <c r="G2862" s="0" t="n">
        <v>0</v>
      </c>
      <c r="J2862" s="0" t="s">
        <v>40</v>
      </c>
      <c r="K2862" s="0" t="str">
        <f aca="false">"5.5 %"</f>
        <v>5.5 %</v>
      </c>
      <c r="L2862" s="0" t="str">
        <f aca="false">"0.73 V"</f>
        <v>0.73 V</v>
      </c>
      <c r="M2862" s="0" t="str">
        <f aca="false">"13.1 mA cm^{-2}"</f>
        <v>13.1 mA cm^{-2}</v>
      </c>
      <c r="N2862" s="0" t="str">
        <f aca="false">"57.8 %"</f>
        <v>57.8 %</v>
      </c>
      <c r="O2862" s="0" t="s">
        <v>9893</v>
      </c>
    </row>
    <row r="2863" customFormat="false" ht="13.8" hidden="false" customHeight="false" outlineLevel="0" collapsed="false">
      <c r="A2863" s="0" t="s">
        <v>9894</v>
      </c>
      <c r="F2863" s="0" t="s">
        <v>40</v>
      </c>
      <c r="G2863" s="0" t="n">
        <v>1</v>
      </c>
      <c r="H2863" s="0" t="s">
        <v>33</v>
      </c>
      <c r="J2863" s="0" t="s">
        <v>34</v>
      </c>
      <c r="K2863" s="0" t="str">
        <f aca="false">"0.64 %"</f>
        <v>0.64 %</v>
      </c>
      <c r="O2863" s="0" t="s">
        <v>9895</v>
      </c>
    </row>
    <row r="2864" customFormat="false" ht="13.8" hidden="false" customHeight="false" outlineLevel="0" collapsed="false">
      <c r="A2864" s="0" t="s">
        <v>9896</v>
      </c>
      <c r="D2864" s="0" t="s">
        <v>9897</v>
      </c>
      <c r="F2864" s="0" t="s">
        <v>9898</v>
      </c>
      <c r="G2864" s="0" t="n">
        <v>0</v>
      </c>
      <c r="J2864" s="0" t="s">
        <v>40</v>
      </c>
      <c r="K2864" s="0" t="str">
        <f aca="false">"9.02 %"</f>
        <v>9.02 %</v>
      </c>
      <c r="L2864" s="0" t="str">
        <f aca="false">"0.7 V"</f>
        <v>0.7 V</v>
      </c>
      <c r="O2864" s="0" t="s">
        <v>9899</v>
      </c>
    </row>
    <row r="2865" customFormat="false" ht="13.8" hidden="false" customHeight="false" outlineLevel="0" collapsed="false">
      <c r="A2865" s="0" t="s">
        <v>9900</v>
      </c>
      <c r="D2865" s="0" t="s">
        <v>4664</v>
      </c>
      <c r="E2865" s="0" t="s">
        <v>9901</v>
      </c>
      <c r="F2865" s="0" t="s">
        <v>4666</v>
      </c>
      <c r="G2865" s="0" t="n">
        <v>0</v>
      </c>
      <c r="J2865" s="0" t="s">
        <v>40</v>
      </c>
      <c r="K2865" s="0" t="str">
        <f aca="false">"4.35 %"</f>
        <v>4.35 %</v>
      </c>
      <c r="L2865" s="0" t="str">
        <f aca="false">"~1.00 V"</f>
        <v>~1.00 V</v>
      </c>
      <c r="O2865" s="0" t="s">
        <v>9902</v>
      </c>
    </row>
    <row r="2866" customFormat="false" ht="13.8" hidden="false" customHeight="false" outlineLevel="0" collapsed="false">
      <c r="A2866" s="0" t="s">
        <v>9903</v>
      </c>
      <c r="D2866" s="0" t="s">
        <v>9904</v>
      </c>
      <c r="E2866" s="0" t="s">
        <v>9905</v>
      </c>
      <c r="F2866" s="0" t="s">
        <v>9906</v>
      </c>
      <c r="G2866" s="0" t="n">
        <v>0</v>
      </c>
      <c r="J2866" s="0" t="s">
        <v>40</v>
      </c>
      <c r="K2866" s="0" t="str">
        <f aca="false">"2.56 %"</f>
        <v>2.56 %</v>
      </c>
      <c r="O2866" s="0" t="s">
        <v>9907</v>
      </c>
    </row>
    <row r="2867" customFormat="false" ht="13.8" hidden="false" customHeight="false" outlineLevel="0" collapsed="false">
      <c r="A2867" s="0" t="s">
        <v>9908</v>
      </c>
      <c r="D2867" s="0" t="s">
        <v>9727</v>
      </c>
      <c r="E2867" s="0" t="s">
        <v>9728</v>
      </c>
      <c r="F2867" s="0" t="s">
        <v>9729</v>
      </c>
      <c r="G2867" s="0" t="n">
        <v>0</v>
      </c>
      <c r="J2867" s="0" t="s">
        <v>40</v>
      </c>
      <c r="K2867" s="0" t="str">
        <f aca="false">"4.0 %"</f>
        <v>4.0 %</v>
      </c>
      <c r="O2867" s="0" t="s">
        <v>9909</v>
      </c>
    </row>
    <row r="2868" customFormat="false" ht="13.8" hidden="false" customHeight="false" outlineLevel="0" collapsed="false">
      <c r="A2868" s="0" t="s">
        <v>9910</v>
      </c>
      <c r="D2868" s="0" t="s">
        <v>9911</v>
      </c>
      <c r="F2868" s="0" t="s">
        <v>9912</v>
      </c>
      <c r="G2868" s="0" t="n">
        <v>0</v>
      </c>
      <c r="J2868" s="0" t="s">
        <v>40</v>
      </c>
      <c r="K2868" s="0" t="str">
        <f aca="false">"8.30 %"</f>
        <v>8.30 %</v>
      </c>
      <c r="O2868" s="0" t="s">
        <v>9913</v>
      </c>
    </row>
    <row r="2869" customFormat="false" ht="13.8" hidden="false" customHeight="false" outlineLevel="0" collapsed="false">
      <c r="A2869" s="0" t="s">
        <v>9910</v>
      </c>
      <c r="D2869" s="0" t="s">
        <v>9914</v>
      </c>
      <c r="F2869" s="0" t="s">
        <v>9915</v>
      </c>
      <c r="G2869" s="0" t="n">
        <v>0</v>
      </c>
      <c r="J2869" s="0" t="s">
        <v>40</v>
      </c>
      <c r="K2869" s="0" t="str">
        <f aca="false">"6.56 %"</f>
        <v>6.56 %</v>
      </c>
      <c r="O2869" s="0" t="s">
        <v>9916</v>
      </c>
    </row>
    <row r="2870" customFormat="false" ht="13.8" hidden="false" customHeight="false" outlineLevel="0" collapsed="false">
      <c r="A2870" s="0" t="s">
        <v>9917</v>
      </c>
      <c r="D2870" s="0" t="s">
        <v>510</v>
      </c>
      <c r="E2870" s="0" t="s">
        <v>511</v>
      </c>
      <c r="F2870" s="0" t="s">
        <v>900</v>
      </c>
      <c r="G2870" s="0" t="n">
        <v>0</v>
      </c>
      <c r="J2870" s="0" t="s">
        <v>40</v>
      </c>
      <c r="K2870" s="0" t="str">
        <f aca="false">"1.52 %"</f>
        <v>1.52 %</v>
      </c>
      <c r="O2870" s="0" t="s">
        <v>9918</v>
      </c>
    </row>
    <row r="2871" customFormat="false" ht="13.8" hidden="false" customHeight="false" outlineLevel="0" collapsed="false">
      <c r="A2871" s="0" t="s">
        <v>9919</v>
      </c>
      <c r="F2871" s="0" t="s">
        <v>40</v>
      </c>
      <c r="G2871" s="0" t="n">
        <v>1</v>
      </c>
      <c r="H2871" s="0" t="s">
        <v>76</v>
      </c>
      <c r="J2871" s="0" t="s">
        <v>77</v>
      </c>
      <c r="K2871" s="0" t="str">
        <f aca="false">"3.31 %"</f>
        <v>3.31 %</v>
      </c>
      <c r="O2871" s="0" t="s">
        <v>9920</v>
      </c>
    </row>
    <row r="2872" customFormat="false" ht="13.8" hidden="false" customHeight="false" outlineLevel="0" collapsed="false">
      <c r="A2872" s="0" t="s">
        <v>9921</v>
      </c>
      <c r="D2872" s="0" t="s">
        <v>9922</v>
      </c>
      <c r="F2872" s="0" t="s">
        <v>9923</v>
      </c>
      <c r="G2872" s="0" t="n">
        <v>0</v>
      </c>
      <c r="J2872" s="0" t="s">
        <v>40</v>
      </c>
      <c r="K2872" s="0" t="str">
        <f aca="false">"4.74 %"</f>
        <v>4.74 %</v>
      </c>
      <c r="L2872" s="0" t="str">
        <f aca="false">"0.99 V"</f>
        <v>0.99 V</v>
      </c>
      <c r="M2872" s="0" t="str">
        <f aca="false">"9.70 mA cm^{-2}"</f>
        <v>9.70 mA cm^{-2}</v>
      </c>
      <c r="O2872" s="0" t="s">
        <v>9924</v>
      </c>
    </row>
    <row r="2873" customFormat="false" ht="13.8" hidden="false" customHeight="false" outlineLevel="0" collapsed="false">
      <c r="A2873" s="0" t="s">
        <v>9925</v>
      </c>
      <c r="D2873" s="0" t="s">
        <v>16</v>
      </c>
      <c r="E2873" s="0" t="s">
        <v>17</v>
      </c>
      <c r="F2873" s="0" t="s">
        <v>116</v>
      </c>
      <c r="G2873" s="0" t="n">
        <v>0</v>
      </c>
      <c r="J2873" s="0" t="s">
        <v>40</v>
      </c>
      <c r="K2873" s="0" t="str">
        <f aca="false">"1.10 %"</f>
        <v>1.10 %</v>
      </c>
      <c r="M2873" s="0" t="str">
        <f aca="false">"2.9 mA/cm^{2}"</f>
        <v>2.9 mA/cm^{2}</v>
      </c>
      <c r="O2873" s="0" t="s">
        <v>9926</v>
      </c>
    </row>
    <row r="2874" customFormat="false" ht="13.8" hidden="false" customHeight="false" outlineLevel="0" collapsed="false">
      <c r="A2874" s="0" t="s">
        <v>9927</v>
      </c>
      <c r="F2874" s="0" t="s">
        <v>40</v>
      </c>
      <c r="G2874" s="0" t="n">
        <v>1</v>
      </c>
      <c r="H2874" s="0" t="s">
        <v>27</v>
      </c>
      <c r="J2874" s="0" t="s">
        <v>28</v>
      </c>
      <c r="K2874" s="0" t="str">
        <f aca="false">"3.54 %"</f>
        <v>3.54 %</v>
      </c>
      <c r="O2874" s="0" t="s">
        <v>9928</v>
      </c>
    </row>
    <row r="2875" customFormat="false" ht="13.8" hidden="false" customHeight="false" outlineLevel="0" collapsed="false">
      <c r="A2875" s="0" t="s">
        <v>9927</v>
      </c>
      <c r="D2875" s="0" t="s">
        <v>124</v>
      </c>
      <c r="F2875" s="0" t="s">
        <v>427</v>
      </c>
      <c r="G2875" s="0" t="n">
        <v>1</v>
      </c>
      <c r="H2875" s="0" t="s">
        <v>27</v>
      </c>
      <c r="J2875" s="0" t="s">
        <v>28</v>
      </c>
      <c r="O2875" s="0" t="s">
        <v>9929</v>
      </c>
    </row>
    <row r="2876" customFormat="false" ht="13.8" hidden="false" customHeight="false" outlineLevel="0" collapsed="false">
      <c r="A2876" s="0" t="s">
        <v>9930</v>
      </c>
      <c r="D2876" s="0" t="s">
        <v>9931</v>
      </c>
      <c r="F2876" s="0" t="s">
        <v>9932</v>
      </c>
      <c r="G2876" s="0" t="n">
        <v>0</v>
      </c>
      <c r="J2876" s="0" t="s">
        <v>40</v>
      </c>
      <c r="K2876" s="0" t="str">
        <f aca="false">"6.8 %"</f>
        <v>6.8 %</v>
      </c>
      <c r="O2876" s="0" t="s">
        <v>9933</v>
      </c>
    </row>
    <row r="2877" customFormat="false" ht="13.8" hidden="false" customHeight="false" outlineLevel="0" collapsed="false">
      <c r="A2877" s="0" t="s">
        <v>9934</v>
      </c>
      <c r="F2877" s="0" t="s">
        <v>40</v>
      </c>
      <c r="G2877" s="0" t="n">
        <v>1</v>
      </c>
      <c r="H2877" s="0" t="s">
        <v>27</v>
      </c>
      <c r="J2877" s="0" t="s">
        <v>28</v>
      </c>
      <c r="K2877" s="0" t="str">
        <f aca="false">"8.0 %"</f>
        <v>8.0 %</v>
      </c>
      <c r="O2877" s="0" t="s">
        <v>9935</v>
      </c>
    </row>
    <row r="2878" customFormat="false" ht="13.8" hidden="false" customHeight="false" outlineLevel="0" collapsed="false">
      <c r="A2878" s="0" t="s">
        <v>9936</v>
      </c>
      <c r="D2878" s="0" t="s">
        <v>1341</v>
      </c>
      <c r="E2878" s="0" t="s">
        <v>1342</v>
      </c>
      <c r="F2878" s="0" t="s">
        <v>1343</v>
      </c>
      <c r="G2878" s="0" t="n">
        <v>0</v>
      </c>
      <c r="J2878" s="0" t="s">
        <v>40</v>
      </c>
      <c r="K2878" s="0" t="str">
        <f aca="false">"0.5 %"</f>
        <v>0.5 %</v>
      </c>
      <c r="O2878" s="0" t="s">
        <v>9937</v>
      </c>
    </row>
    <row r="2879" customFormat="false" ht="13.8" hidden="false" customHeight="false" outlineLevel="0" collapsed="false">
      <c r="A2879" s="0" t="s">
        <v>9938</v>
      </c>
      <c r="D2879" s="0" t="s">
        <v>208</v>
      </c>
      <c r="E2879" s="0" t="s">
        <v>17</v>
      </c>
      <c r="F2879" s="0" t="s">
        <v>18</v>
      </c>
      <c r="G2879" s="0" t="n">
        <v>0</v>
      </c>
      <c r="J2879" s="0" t="s">
        <v>40</v>
      </c>
      <c r="K2879" s="0" t="str">
        <f aca="false">"2.87 %"</f>
        <v>2.87 %</v>
      </c>
      <c r="O2879" s="0" t="s">
        <v>9939</v>
      </c>
    </row>
    <row r="2880" customFormat="false" ht="13.8" hidden="false" customHeight="false" outlineLevel="0" collapsed="false">
      <c r="A2880" s="0" t="s">
        <v>9940</v>
      </c>
      <c r="D2880" s="0" t="s">
        <v>9941</v>
      </c>
      <c r="F2880" s="0" t="s">
        <v>9942</v>
      </c>
      <c r="G2880" s="0" t="n">
        <v>0</v>
      </c>
      <c r="J2880" s="0" t="s">
        <v>40</v>
      </c>
      <c r="K2880" s="0" t="str">
        <f aca="false">"2-3 %"</f>
        <v>2-3 %</v>
      </c>
      <c r="O2880" s="0" t="s">
        <v>9943</v>
      </c>
    </row>
    <row r="2881" customFormat="false" ht="13.8" hidden="false" customHeight="false" outlineLevel="0" collapsed="false">
      <c r="A2881" s="0" t="s">
        <v>9940</v>
      </c>
      <c r="D2881" s="0" t="s">
        <v>9944</v>
      </c>
      <c r="F2881" s="0" t="s">
        <v>9945</v>
      </c>
      <c r="G2881" s="0" t="n">
        <v>0</v>
      </c>
      <c r="J2881" s="0" t="s">
        <v>40</v>
      </c>
      <c r="K2881" s="0" t="str">
        <f aca="false">"4.3 %"</f>
        <v>4.3 %</v>
      </c>
      <c r="O2881" s="0" t="s">
        <v>9946</v>
      </c>
    </row>
    <row r="2882" customFormat="false" ht="13.8" hidden="false" customHeight="false" outlineLevel="0" collapsed="false">
      <c r="A2882" s="0" t="s">
        <v>9947</v>
      </c>
      <c r="F2882" s="0" t="s">
        <v>40</v>
      </c>
      <c r="G2882" s="0" t="n">
        <v>1</v>
      </c>
      <c r="H2882" s="0" t="s">
        <v>27</v>
      </c>
      <c r="J2882" s="0" t="s">
        <v>28</v>
      </c>
      <c r="K2882" s="0" t="str">
        <f aca="false">"5.33 %"</f>
        <v>5.33 %</v>
      </c>
      <c r="O2882" s="0" t="s">
        <v>9948</v>
      </c>
    </row>
    <row r="2883" customFormat="false" ht="13.8" hidden="false" customHeight="false" outlineLevel="0" collapsed="false">
      <c r="A2883" s="0" t="s">
        <v>9949</v>
      </c>
      <c r="F2883" s="0" t="s">
        <v>40</v>
      </c>
      <c r="G2883" s="0" t="n">
        <v>1</v>
      </c>
      <c r="H2883" s="0" t="s">
        <v>66</v>
      </c>
      <c r="J2883" s="0" t="s">
        <v>67</v>
      </c>
      <c r="K2883" s="0" t="str">
        <f aca="false">"4.50 %"</f>
        <v>4.50 %</v>
      </c>
      <c r="L2883" s="0" t="str">
        <f aca="false">"0.88 V"</f>
        <v>0.88 V</v>
      </c>
      <c r="M2883" s="0" t="str">
        <f aca="false">"8.6 mA/cm^{2}"</f>
        <v>8.6 mA/cm^{2}</v>
      </c>
      <c r="N2883" s="0" t="str">
        <f aca="false">"59.4 %"</f>
        <v>59.4 %</v>
      </c>
      <c r="O2883" s="0" t="s">
        <v>9950</v>
      </c>
    </row>
    <row r="2884" customFormat="false" ht="13.8" hidden="false" customHeight="false" outlineLevel="0" collapsed="false">
      <c r="A2884" s="0" t="s">
        <v>9951</v>
      </c>
      <c r="D2884" s="0" t="s">
        <v>9952</v>
      </c>
      <c r="F2884" s="0" t="s">
        <v>9953</v>
      </c>
      <c r="G2884" s="0" t="n">
        <v>0</v>
      </c>
      <c r="J2884" s="0" t="s">
        <v>40</v>
      </c>
      <c r="K2884" s="0" t="str">
        <f aca="false">"0.52 %"</f>
        <v>0.52 %</v>
      </c>
      <c r="L2884" s="0" t="str">
        <f aca="false">"0.48 V"</f>
        <v>0.48 V</v>
      </c>
      <c r="M2884" s="0" t="str">
        <f aca="false">"1.93 mA/cm^{2}"</f>
        <v>1.93 mA/cm^{2}</v>
      </c>
      <c r="N2884" s="0" t="str">
        <f aca="false">"0.42"</f>
        <v>0.42</v>
      </c>
      <c r="O2884" s="0" t="s">
        <v>9954</v>
      </c>
    </row>
    <row r="2885" customFormat="false" ht="13.8" hidden="false" customHeight="false" outlineLevel="0" collapsed="false">
      <c r="A2885" s="0" t="s">
        <v>9955</v>
      </c>
      <c r="F2885" s="0" t="s">
        <v>40</v>
      </c>
      <c r="G2885" s="0" t="n">
        <v>1</v>
      </c>
      <c r="H2885" s="0" t="s">
        <v>33</v>
      </c>
      <c r="J2885" s="0" t="s">
        <v>34</v>
      </c>
      <c r="K2885" s="0" t="str">
        <f aca="false">"4.03 %"</f>
        <v>4.03 %</v>
      </c>
      <c r="L2885" s="0" t="str">
        <f aca="false">"0.63 V"</f>
        <v>0.63 V</v>
      </c>
      <c r="M2885" s="0" t="str">
        <f aca="false">"12.3 mA/cm^{2}"</f>
        <v>12.3 mA/cm^{2}</v>
      </c>
      <c r="N2885" s="0" t="str">
        <f aca="false">"0.52"</f>
        <v>0.52</v>
      </c>
      <c r="O2885" s="0" t="s">
        <v>9956</v>
      </c>
    </row>
    <row r="2886" customFormat="false" ht="13.8" hidden="false" customHeight="false" outlineLevel="0" collapsed="false">
      <c r="A2886" s="0" t="s">
        <v>9957</v>
      </c>
      <c r="F2886" s="0" t="s">
        <v>40</v>
      </c>
      <c r="G2886" s="0" t="n">
        <v>1</v>
      </c>
      <c r="H2886" s="0" t="s">
        <v>27</v>
      </c>
      <c r="J2886" s="0" t="s">
        <v>28</v>
      </c>
      <c r="K2886" s="0" t="str">
        <f aca="false">"3.16 %"</f>
        <v>3.16 %</v>
      </c>
      <c r="O2886" s="0" t="s">
        <v>9958</v>
      </c>
    </row>
    <row r="2887" customFormat="false" ht="13.8" hidden="false" customHeight="false" outlineLevel="0" collapsed="false">
      <c r="A2887" s="0" t="s">
        <v>9959</v>
      </c>
      <c r="F2887" s="0" t="s">
        <v>40</v>
      </c>
      <c r="G2887" s="0" t="n">
        <v>1</v>
      </c>
      <c r="H2887" s="0" t="s">
        <v>66</v>
      </c>
      <c r="J2887" s="0" t="s">
        <v>40</v>
      </c>
      <c r="K2887" s="0" t="str">
        <f aca="false">"6.67 %"</f>
        <v>6.67 %</v>
      </c>
      <c r="O2887" s="0" t="s">
        <v>9960</v>
      </c>
    </row>
    <row r="2888" customFormat="false" ht="13.8" hidden="false" customHeight="false" outlineLevel="0" collapsed="false">
      <c r="A2888" s="0" t="s">
        <v>9961</v>
      </c>
      <c r="D2888" s="0" t="s">
        <v>9962</v>
      </c>
      <c r="E2888" s="0" t="s">
        <v>9963</v>
      </c>
      <c r="F2888" s="0" t="s">
        <v>9964</v>
      </c>
      <c r="G2888" s="0" t="n">
        <v>0</v>
      </c>
      <c r="J2888" s="0" t="s">
        <v>40</v>
      </c>
      <c r="K2888" s="0" t="str">
        <f aca="false">"1.39 %"</f>
        <v>1.39 %</v>
      </c>
      <c r="L2888" s="0" t="str">
        <f aca="false">"0.58 V"</f>
        <v>0.58 V</v>
      </c>
      <c r="M2888" s="0" t="str">
        <f aca="false">"6.58 mA cm^{-2}"</f>
        <v>6.58 mA cm^{-2}</v>
      </c>
      <c r="O2888" s="0" t="s">
        <v>9965</v>
      </c>
    </row>
    <row r="2889" customFormat="false" ht="13.8" hidden="false" customHeight="false" outlineLevel="0" collapsed="false">
      <c r="A2889" s="0" t="s">
        <v>9966</v>
      </c>
      <c r="D2889" s="0" t="s">
        <v>9967</v>
      </c>
      <c r="E2889" s="0" t="s">
        <v>17</v>
      </c>
      <c r="F2889" s="0" t="s">
        <v>9968</v>
      </c>
      <c r="G2889" s="0" t="n">
        <v>0</v>
      </c>
      <c r="J2889" s="0" t="s">
        <v>40</v>
      </c>
      <c r="K2889" s="0" t="str">
        <f aca="false">"10.6 %"</f>
        <v>10.6 %</v>
      </c>
      <c r="O2889" s="0" t="s">
        <v>9969</v>
      </c>
    </row>
    <row r="2890" customFormat="false" ht="13.8" hidden="false" customHeight="false" outlineLevel="0" collapsed="false">
      <c r="A2890" s="0" t="s">
        <v>9970</v>
      </c>
      <c r="D2890" s="0" t="s">
        <v>9971</v>
      </c>
      <c r="F2890" s="0" t="s">
        <v>40</v>
      </c>
      <c r="G2890" s="0" t="n">
        <v>0</v>
      </c>
      <c r="J2890" s="0" t="s">
        <v>40</v>
      </c>
      <c r="K2890" s="0" t="str">
        <f aca="false">"2.7 %"</f>
        <v>2.7 %</v>
      </c>
      <c r="O2890" s="0" t="s">
        <v>9972</v>
      </c>
    </row>
    <row r="2891" customFormat="false" ht="13.8" hidden="false" customHeight="false" outlineLevel="0" collapsed="false">
      <c r="A2891" s="0" t="s">
        <v>9973</v>
      </c>
      <c r="F2891" s="0" t="s">
        <v>40</v>
      </c>
      <c r="G2891" s="0" t="n">
        <v>1</v>
      </c>
      <c r="H2891" s="0" t="s">
        <v>76</v>
      </c>
      <c r="J2891" s="0" t="s">
        <v>77</v>
      </c>
      <c r="K2891" s="0" t="str">
        <f aca="false">"1.75 %"</f>
        <v>1.75 %</v>
      </c>
      <c r="O2891" s="0" t="s">
        <v>9974</v>
      </c>
    </row>
    <row r="2892" customFormat="false" ht="13.8" hidden="false" customHeight="false" outlineLevel="0" collapsed="false">
      <c r="A2892" s="0" t="s">
        <v>9975</v>
      </c>
      <c r="D2892" s="0" t="s">
        <v>85</v>
      </c>
      <c r="E2892" s="0" t="s">
        <v>86</v>
      </c>
      <c r="F2892" s="0" t="s">
        <v>87</v>
      </c>
      <c r="G2892" s="0" t="n">
        <v>0</v>
      </c>
      <c r="J2892" s="0" t="s">
        <v>40</v>
      </c>
      <c r="K2892" s="0" t="str">
        <f aca="false">"7.11 %"</f>
        <v>7.11 %</v>
      </c>
      <c r="O2892" s="0" t="s">
        <v>9976</v>
      </c>
    </row>
    <row r="2893" customFormat="false" ht="13.8" hidden="false" customHeight="false" outlineLevel="0" collapsed="false">
      <c r="A2893" s="0" t="s">
        <v>9977</v>
      </c>
      <c r="D2893" s="0" t="s">
        <v>9978</v>
      </c>
      <c r="E2893" s="0" t="s">
        <v>9979</v>
      </c>
      <c r="F2893" s="0" t="s">
        <v>9980</v>
      </c>
      <c r="G2893" s="0" t="n">
        <v>0</v>
      </c>
      <c r="J2893" s="0" t="s">
        <v>40</v>
      </c>
      <c r="K2893" s="0" t="str">
        <f aca="false">"10.69 %"</f>
        <v>10.69 %</v>
      </c>
      <c r="O2893" s="0" t="s">
        <v>9981</v>
      </c>
    </row>
    <row r="2894" customFormat="false" ht="13.8" hidden="false" customHeight="false" outlineLevel="0" collapsed="false">
      <c r="A2894" s="0" t="s">
        <v>9982</v>
      </c>
      <c r="F2894" s="0" t="s">
        <v>40</v>
      </c>
      <c r="G2894" s="0" t="n">
        <v>0</v>
      </c>
      <c r="H2894" s="0" t="s">
        <v>9983</v>
      </c>
      <c r="J2894" s="0" t="s">
        <v>9984</v>
      </c>
      <c r="O2894" s="0" t="s">
        <v>9985</v>
      </c>
    </row>
    <row r="2895" customFormat="false" ht="13.8" hidden="false" customHeight="false" outlineLevel="0" collapsed="false">
      <c r="A2895" s="0" t="s">
        <v>9986</v>
      </c>
      <c r="D2895" s="0" t="s">
        <v>1550</v>
      </c>
      <c r="F2895" s="0" t="s">
        <v>1552</v>
      </c>
      <c r="G2895" s="0" t="n">
        <v>0</v>
      </c>
      <c r="J2895" s="0" t="s">
        <v>40</v>
      </c>
      <c r="K2895" s="0" t="str">
        <f aca="false">"2.05 %"</f>
        <v>2.05 %</v>
      </c>
      <c r="M2895" s="0" t="str">
        <f aca="false">"~4.5 mA/cm^{2}"</f>
        <v>~4.5 mA/cm^{2}</v>
      </c>
      <c r="O2895" s="0" t="s">
        <v>9987</v>
      </c>
    </row>
    <row r="2896" customFormat="false" ht="13.8" hidden="false" customHeight="false" outlineLevel="0" collapsed="false">
      <c r="A2896" s="0" t="s">
        <v>9988</v>
      </c>
      <c r="F2896" s="0" t="s">
        <v>40</v>
      </c>
      <c r="G2896" s="0" t="n">
        <v>1</v>
      </c>
      <c r="H2896" s="0" t="s">
        <v>27</v>
      </c>
      <c r="J2896" s="0" t="s">
        <v>28</v>
      </c>
      <c r="K2896" s="0" t="str">
        <f aca="false">"3.2 %"</f>
        <v>3.2 %</v>
      </c>
      <c r="O2896" s="0" t="s">
        <v>9989</v>
      </c>
    </row>
    <row r="2897" customFormat="false" ht="13.8" hidden="false" customHeight="false" outlineLevel="0" collapsed="false">
      <c r="A2897" s="0" t="s">
        <v>9990</v>
      </c>
      <c r="D2897" s="0" t="s">
        <v>9991</v>
      </c>
      <c r="E2897" s="0" t="s">
        <v>9992</v>
      </c>
      <c r="F2897" s="0" t="s">
        <v>9993</v>
      </c>
      <c r="G2897" s="0" t="n">
        <v>0</v>
      </c>
      <c r="J2897" s="0" t="s">
        <v>40</v>
      </c>
      <c r="K2897" s="0" t="str">
        <f aca="false">"3.70 %"</f>
        <v>3.70 %</v>
      </c>
      <c r="L2897" s="0" t="str">
        <f aca="false">"0.58 V"</f>
        <v>0.58 V</v>
      </c>
      <c r="M2897" s="0" t="str">
        <f aca="false">"11.39 mA/cm^{2}"</f>
        <v>11.39 mA/cm^{2}</v>
      </c>
      <c r="O2897" s="0" t="s">
        <v>9994</v>
      </c>
    </row>
    <row r="2898" customFormat="false" ht="13.8" hidden="false" customHeight="false" outlineLevel="0" collapsed="false">
      <c r="A2898" s="0" t="s">
        <v>9995</v>
      </c>
      <c r="D2898" s="0" t="s">
        <v>253</v>
      </c>
      <c r="F2898" s="0" t="s">
        <v>9996</v>
      </c>
      <c r="G2898" s="0" t="n">
        <v>0</v>
      </c>
      <c r="J2898" s="0" t="s">
        <v>40</v>
      </c>
      <c r="K2898" s="0" t="str">
        <f aca="false">"4.15 %"</f>
        <v>4.15 %</v>
      </c>
      <c r="L2898" s="0" t="str">
        <f aca="false">"0.69 V"</f>
        <v>0.69 V</v>
      </c>
      <c r="O2898" s="0" t="s">
        <v>9997</v>
      </c>
    </row>
    <row r="2899" customFormat="false" ht="13.8" hidden="false" customHeight="false" outlineLevel="0" collapsed="false">
      <c r="A2899" s="0" t="s">
        <v>9998</v>
      </c>
      <c r="F2899" s="0" t="s">
        <v>40</v>
      </c>
      <c r="G2899" s="0" t="n">
        <v>1</v>
      </c>
      <c r="H2899" s="0" t="s">
        <v>33</v>
      </c>
      <c r="J2899" s="0" t="s">
        <v>9999</v>
      </c>
      <c r="K2899" s="0" t="str">
        <f aca="false">"7.2 %"</f>
        <v>7.2 %</v>
      </c>
      <c r="O2899" s="0" t="s">
        <v>10000</v>
      </c>
    </row>
    <row r="2900" customFormat="false" ht="13.8" hidden="false" customHeight="false" outlineLevel="0" collapsed="false">
      <c r="A2900" s="0" t="s">
        <v>10001</v>
      </c>
      <c r="D2900" s="0" t="s">
        <v>201</v>
      </c>
      <c r="E2900" s="0" t="s">
        <v>202</v>
      </c>
      <c r="F2900" s="0" t="s">
        <v>422</v>
      </c>
      <c r="G2900" s="0" t="n">
        <v>0</v>
      </c>
      <c r="J2900" s="0" t="s">
        <v>40</v>
      </c>
      <c r="K2900" s="0" t="str">
        <f aca="false">"10.30 %"</f>
        <v>10.30 %</v>
      </c>
      <c r="O2900" s="0" t="s">
        <v>10002</v>
      </c>
    </row>
    <row r="2901" customFormat="false" ht="13.8" hidden="false" customHeight="false" outlineLevel="0" collapsed="false">
      <c r="A2901" s="0" t="s">
        <v>10003</v>
      </c>
      <c r="F2901" s="0" t="s">
        <v>40</v>
      </c>
      <c r="G2901" s="0" t="n">
        <v>1</v>
      </c>
      <c r="H2901" s="0" t="s">
        <v>33</v>
      </c>
      <c r="J2901" s="0" t="s">
        <v>34</v>
      </c>
      <c r="K2901" s="0" t="str">
        <f aca="false">"1 %"</f>
        <v>1 %</v>
      </c>
      <c r="L2901" s="0" t="str">
        <f aca="false">"0.48 V"</f>
        <v>0.48 V</v>
      </c>
      <c r="M2901" s="0" t="str">
        <f aca="false">"5.4 mA/cm^{2}"</f>
        <v>5.4 mA/cm^{2}</v>
      </c>
      <c r="N2901" s="0" t="str">
        <f aca="false">"39 %"</f>
        <v>39 %</v>
      </c>
      <c r="O2901" s="0" t="s">
        <v>10004</v>
      </c>
    </row>
    <row r="2902" customFormat="false" ht="13.8" hidden="false" customHeight="false" outlineLevel="0" collapsed="false">
      <c r="A2902" s="0" t="s">
        <v>10005</v>
      </c>
      <c r="D2902" s="0" t="s">
        <v>10006</v>
      </c>
      <c r="F2902" s="0" t="s">
        <v>10007</v>
      </c>
      <c r="G2902" s="0" t="n">
        <v>0</v>
      </c>
      <c r="J2902" s="0" t="s">
        <v>40</v>
      </c>
      <c r="K2902" s="0" t="str">
        <f aca="false">"4.26 %"</f>
        <v>4.26 %</v>
      </c>
      <c r="O2902" s="0" t="s">
        <v>10008</v>
      </c>
    </row>
    <row r="2903" customFormat="false" ht="13.8" hidden="false" customHeight="false" outlineLevel="0" collapsed="false">
      <c r="A2903" s="0" t="s">
        <v>10009</v>
      </c>
      <c r="D2903" s="0" t="s">
        <v>10010</v>
      </c>
      <c r="F2903" s="0" t="s">
        <v>10011</v>
      </c>
      <c r="G2903" s="0" t="n">
        <v>0</v>
      </c>
      <c r="J2903" s="0" t="s">
        <v>40</v>
      </c>
      <c r="K2903" s="0" t="str">
        <f aca="false">"6.3 ± 0.2 %"</f>
        <v>6.3 ± 0.2 %</v>
      </c>
      <c r="L2903" s="0" t="str">
        <f aca="false">"0.70 ± 0.01 V"</f>
        <v>0.70 ± 0.01 V</v>
      </c>
      <c r="M2903" s="0" t="str">
        <f aca="false">"15.2 ± 0.2 mA/cm^{2}"</f>
        <v>15.2 ± 0.2 mA/cm^{2}</v>
      </c>
      <c r="N2903" s="0" t="str">
        <f aca="false">"0.60 ± 0.01"</f>
        <v>0.60 ± 0.01</v>
      </c>
      <c r="O2903" s="0" t="s">
        <v>10012</v>
      </c>
    </row>
    <row r="2904" customFormat="false" ht="13.8" hidden="false" customHeight="false" outlineLevel="0" collapsed="false">
      <c r="A2904" s="0" t="s">
        <v>10013</v>
      </c>
      <c r="D2904" s="0" t="s">
        <v>10014</v>
      </c>
      <c r="F2904" s="0" t="s">
        <v>10015</v>
      </c>
      <c r="G2904" s="0" t="n">
        <v>0</v>
      </c>
      <c r="J2904" s="0" t="s">
        <v>40</v>
      </c>
      <c r="K2904" s="0" t="str">
        <f aca="false">"4.68 %"</f>
        <v>4.68 %</v>
      </c>
      <c r="O2904" s="0" t="s">
        <v>10016</v>
      </c>
    </row>
    <row r="2905" customFormat="false" ht="13.8" hidden="false" customHeight="false" outlineLevel="0" collapsed="false">
      <c r="A2905" s="0" t="s">
        <v>10017</v>
      </c>
      <c r="D2905" s="0" t="s">
        <v>9594</v>
      </c>
      <c r="E2905" s="0" t="s">
        <v>9424</v>
      </c>
      <c r="F2905" s="0" t="s">
        <v>9595</v>
      </c>
      <c r="G2905" s="0" t="n">
        <v>0</v>
      </c>
      <c r="J2905" s="0" t="s">
        <v>40</v>
      </c>
      <c r="K2905" s="0" t="str">
        <f aca="false">"1.6 %"</f>
        <v>1.6 %</v>
      </c>
      <c r="O2905" s="0" t="s">
        <v>10018</v>
      </c>
    </row>
    <row r="2906" customFormat="false" ht="13.8" hidden="false" customHeight="false" outlineLevel="0" collapsed="false">
      <c r="A2906" s="0" t="s">
        <v>10019</v>
      </c>
      <c r="F2906" s="0" t="s">
        <v>40</v>
      </c>
      <c r="G2906" s="0" t="n">
        <v>1</v>
      </c>
      <c r="H2906" s="0" t="s">
        <v>27</v>
      </c>
      <c r="J2906" s="0" t="s">
        <v>28</v>
      </c>
      <c r="K2906" s="0" t="str">
        <f aca="false">"6.48 %"</f>
        <v>6.48 %</v>
      </c>
      <c r="O2906" s="0" t="s">
        <v>10020</v>
      </c>
    </row>
    <row r="2907" customFormat="false" ht="13.8" hidden="false" customHeight="false" outlineLevel="0" collapsed="false">
      <c r="A2907" s="0" t="s">
        <v>10021</v>
      </c>
      <c r="D2907" s="0" t="s">
        <v>10022</v>
      </c>
      <c r="F2907" s="0" t="s">
        <v>10023</v>
      </c>
      <c r="G2907" s="0" t="n">
        <v>0</v>
      </c>
      <c r="J2907" s="0" t="s">
        <v>40</v>
      </c>
      <c r="O2907" s="0" t="s">
        <v>10024</v>
      </c>
    </row>
    <row r="2908" customFormat="false" ht="13.8" hidden="false" customHeight="false" outlineLevel="0" collapsed="false">
      <c r="A2908" s="0" t="s">
        <v>10021</v>
      </c>
      <c r="D2908" s="0" t="s">
        <v>10025</v>
      </c>
      <c r="F2908" s="0" t="s">
        <v>10026</v>
      </c>
      <c r="G2908" s="0" t="n">
        <v>0</v>
      </c>
      <c r="J2908" s="0" t="s">
        <v>40</v>
      </c>
      <c r="K2908" s="0" t="str">
        <f aca="false">"8.05 %"</f>
        <v>8.05 %</v>
      </c>
      <c r="O2908" s="0" t="s">
        <v>10027</v>
      </c>
    </row>
    <row r="2909" customFormat="false" ht="13.8" hidden="false" customHeight="false" outlineLevel="0" collapsed="false">
      <c r="A2909" s="0" t="s">
        <v>10028</v>
      </c>
      <c r="D2909" s="0" t="s">
        <v>10029</v>
      </c>
      <c r="E2909" s="0" t="s">
        <v>10030</v>
      </c>
      <c r="F2909" s="0" t="s">
        <v>10031</v>
      </c>
      <c r="G2909" s="0" t="n">
        <v>0</v>
      </c>
      <c r="J2909" s="0" t="s">
        <v>40</v>
      </c>
      <c r="K2909" s="0" t="str">
        <f aca="false">"9.67 %"</f>
        <v>9.67 %</v>
      </c>
      <c r="L2909" s="0" t="str">
        <f aca="false">"0.91 V"</f>
        <v>0.91 V</v>
      </c>
      <c r="O2909" s="0" t="s">
        <v>10032</v>
      </c>
    </row>
    <row r="2910" customFormat="false" ht="13.8" hidden="false" customHeight="false" outlineLevel="0" collapsed="false">
      <c r="A2910" s="0" t="s">
        <v>10033</v>
      </c>
      <c r="D2910" s="0" t="s">
        <v>10034</v>
      </c>
      <c r="F2910" s="0" t="s">
        <v>10035</v>
      </c>
      <c r="G2910" s="0" t="n">
        <v>0</v>
      </c>
      <c r="J2910" s="0" t="s">
        <v>40</v>
      </c>
      <c r="K2910" s="0" t="str">
        <f aca="false">"1.89 %"</f>
        <v>1.89 %</v>
      </c>
      <c r="O2910" s="0" t="s">
        <v>10036</v>
      </c>
    </row>
    <row r="2911" customFormat="false" ht="13.8" hidden="false" customHeight="false" outlineLevel="0" collapsed="false">
      <c r="A2911" s="0" t="s">
        <v>10037</v>
      </c>
      <c r="F2911" s="0" t="s">
        <v>40</v>
      </c>
      <c r="G2911" s="0" t="n">
        <v>1</v>
      </c>
      <c r="H2911" s="0" t="s">
        <v>27</v>
      </c>
      <c r="J2911" s="0" t="s">
        <v>28</v>
      </c>
      <c r="K2911" s="0" t="str">
        <f aca="false">"6.56 %"</f>
        <v>6.56 %</v>
      </c>
      <c r="O2911" s="0" t="s">
        <v>10038</v>
      </c>
    </row>
    <row r="2912" customFormat="false" ht="13.8" hidden="false" customHeight="false" outlineLevel="0" collapsed="false">
      <c r="A2912" s="0" t="s">
        <v>10039</v>
      </c>
      <c r="F2912" s="0" t="s">
        <v>40</v>
      </c>
      <c r="G2912" s="0" t="n">
        <v>1</v>
      </c>
      <c r="H2912" s="0" t="s">
        <v>27</v>
      </c>
      <c r="J2912" s="0" t="s">
        <v>10040</v>
      </c>
      <c r="K2912" s="0" t="str">
        <f aca="false">"9.15 %"</f>
        <v>9.15 %</v>
      </c>
      <c r="O2912" s="0" t="s">
        <v>10041</v>
      </c>
    </row>
    <row r="2913" customFormat="false" ht="13.8" hidden="false" customHeight="false" outlineLevel="0" collapsed="false">
      <c r="A2913" s="0" t="s">
        <v>10042</v>
      </c>
      <c r="F2913" s="0" t="s">
        <v>40</v>
      </c>
      <c r="G2913" s="0" t="n">
        <v>1</v>
      </c>
      <c r="H2913" s="0" t="s">
        <v>27</v>
      </c>
      <c r="J2913" s="0" t="s">
        <v>28</v>
      </c>
      <c r="K2913" s="0" t="str">
        <f aca="false">"9.76 %"</f>
        <v>9.76 %</v>
      </c>
      <c r="O2913" s="0" t="s">
        <v>10043</v>
      </c>
    </row>
    <row r="2914" customFormat="false" ht="13.8" hidden="false" customHeight="false" outlineLevel="0" collapsed="false">
      <c r="A2914" s="0" t="s">
        <v>10044</v>
      </c>
      <c r="D2914" s="0" t="s">
        <v>10045</v>
      </c>
      <c r="F2914" s="0" t="s">
        <v>10046</v>
      </c>
      <c r="G2914" s="0" t="n">
        <v>0</v>
      </c>
      <c r="J2914" s="0" t="s">
        <v>40</v>
      </c>
      <c r="K2914" s="0" t="str">
        <f aca="false">"2.75 %"</f>
        <v>2.75 %</v>
      </c>
      <c r="L2914" s="0" t="str">
        <f aca="false">"0.86 V"</f>
        <v>0.86 V</v>
      </c>
      <c r="M2914" s="0" t="str">
        <f aca="false">"8.12 mA/cm^{2}"</f>
        <v>8.12 mA/cm^{2}</v>
      </c>
      <c r="N2914" s="0" t="str">
        <f aca="false">"0.39"</f>
        <v>0.39</v>
      </c>
      <c r="O2914" s="0" t="s">
        <v>10047</v>
      </c>
    </row>
    <row r="2915" customFormat="false" ht="13.8" hidden="false" customHeight="false" outlineLevel="0" collapsed="false">
      <c r="A2915" s="0" t="s">
        <v>10048</v>
      </c>
      <c r="D2915" s="0" t="s">
        <v>10049</v>
      </c>
      <c r="F2915" s="0" t="s">
        <v>10050</v>
      </c>
      <c r="G2915" s="0" t="n">
        <v>0</v>
      </c>
      <c r="J2915" s="0" t="s">
        <v>40</v>
      </c>
      <c r="K2915" s="0" t="str">
        <f aca="false">"8 %"</f>
        <v>8 %</v>
      </c>
      <c r="O2915" s="0" t="s">
        <v>10051</v>
      </c>
    </row>
    <row r="2916" customFormat="false" ht="13.8" hidden="false" customHeight="false" outlineLevel="0" collapsed="false">
      <c r="A2916" s="0" t="s">
        <v>10052</v>
      </c>
      <c r="D2916" s="0" t="s">
        <v>10053</v>
      </c>
      <c r="E2916" s="0" t="s">
        <v>10054</v>
      </c>
      <c r="F2916" s="0" t="s">
        <v>10055</v>
      </c>
      <c r="G2916" s="0" t="n">
        <v>0</v>
      </c>
      <c r="J2916" s="0" t="s">
        <v>40</v>
      </c>
      <c r="K2916" s="0" t="str">
        <f aca="false">"4.9 %"</f>
        <v>4.9 %</v>
      </c>
      <c r="L2916" s="0" t="str">
        <f aca="false">"0.9 V"</f>
        <v>0.9 V</v>
      </c>
      <c r="O2916" s="0" t="s">
        <v>10056</v>
      </c>
    </row>
    <row r="2917" customFormat="false" ht="13.8" hidden="false" customHeight="false" outlineLevel="0" collapsed="false">
      <c r="A2917" s="0" t="s">
        <v>10057</v>
      </c>
      <c r="D2917" s="0" t="e">
        <f aca="false">- m</f>
        <v>#NAME?</v>
      </c>
      <c r="F2917" s="0" t="s">
        <v>10058</v>
      </c>
      <c r="G2917" s="0" t="n">
        <v>0</v>
      </c>
      <c r="J2917" s="0" t="s">
        <v>40</v>
      </c>
      <c r="K2917" s="0" t="str">
        <f aca="false">"12 %"</f>
        <v>12 %</v>
      </c>
      <c r="O2917" s="0" t="s">
        <v>10059</v>
      </c>
    </row>
    <row r="2918" customFormat="false" ht="13.8" hidden="false" customHeight="false" outlineLevel="0" collapsed="false">
      <c r="A2918" s="0" t="s">
        <v>10060</v>
      </c>
      <c r="D2918" s="0" t="s">
        <v>10061</v>
      </c>
      <c r="F2918" s="0" t="s">
        <v>10062</v>
      </c>
      <c r="G2918" s="0" t="n">
        <v>0</v>
      </c>
      <c r="J2918" s="0" t="s">
        <v>40</v>
      </c>
      <c r="K2918" s="0" t="str">
        <f aca="false">"7.23 %"</f>
        <v>7.23 %</v>
      </c>
      <c r="O2918" s="0" t="s">
        <v>10063</v>
      </c>
    </row>
    <row r="2919" customFormat="false" ht="13.8" hidden="false" customHeight="false" outlineLevel="0" collapsed="false">
      <c r="A2919" s="0" t="s">
        <v>10064</v>
      </c>
      <c r="D2919" s="0" t="s">
        <v>10065</v>
      </c>
      <c r="F2919" s="0" t="s">
        <v>10066</v>
      </c>
      <c r="G2919" s="0" t="n">
        <v>0</v>
      </c>
      <c r="J2919" s="0" t="s">
        <v>40</v>
      </c>
      <c r="K2919" s="0" t="str">
        <f aca="false">"9 %"</f>
        <v>9 %</v>
      </c>
      <c r="O2919" s="0" t="s">
        <v>10067</v>
      </c>
    </row>
    <row r="2920" customFormat="false" ht="13.8" hidden="false" customHeight="false" outlineLevel="0" collapsed="false">
      <c r="A2920" s="0" t="s">
        <v>10068</v>
      </c>
      <c r="D2920" s="0" t="s">
        <v>10069</v>
      </c>
      <c r="F2920" s="0" t="s">
        <v>10070</v>
      </c>
      <c r="G2920" s="0" t="n">
        <v>0</v>
      </c>
      <c r="J2920" s="0" t="s">
        <v>40</v>
      </c>
      <c r="K2920" s="0" t="str">
        <f aca="false">"13.19 %"</f>
        <v>13.19 %</v>
      </c>
      <c r="L2920" s="0" t="str">
        <f aca="false">"2.13 V"</f>
        <v>2.13 V</v>
      </c>
      <c r="M2920" s="0" t="str">
        <f aca="false">"17.78 mA cm^{-2}"</f>
        <v>17.78 mA cm^{-2}</v>
      </c>
      <c r="N2920" s="0" t="str">
        <f aca="false">"65.4 %"</f>
        <v>65.4 %</v>
      </c>
      <c r="O2920" s="0" t="s">
        <v>10071</v>
      </c>
    </row>
    <row r="2921" customFormat="false" ht="13.8" hidden="false" customHeight="false" outlineLevel="0" collapsed="false">
      <c r="A2921" s="0" t="s">
        <v>10072</v>
      </c>
      <c r="F2921" s="0" t="s">
        <v>40</v>
      </c>
      <c r="G2921" s="0" t="n">
        <v>0</v>
      </c>
      <c r="H2921" s="0" t="s">
        <v>10073</v>
      </c>
      <c r="J2921" s="0" t="s">
        <v>10074</v>
      </c>
      <c r="K2921" s="0" t="str">
        <f aca="false">"5.54 %"</f>
        <v>5.54 %</v>
      </c>
      <c r="O2921" s="0" t="s">
        <v>10075</v>
      </c>
    </row>
    <row r="2922" customFormat="false" ht="13.8" hidden="false" customHeight="false" outlineLevel="0" collapsed="false">
      <c r="A2922" s="0" t="s">
        <v>10076</v>
      </c>
      <c r="D2922" s="0" t="s">
        <v>10077</v>
      </c>
      <c r="F2922" s="0" t="s">
        <v>10078</v>
      </c>
      <c r="G2922" s="0" t="n">
        <v>0</v>
      </c>
      <c r="J2922" s="0" t="s">
        <v>40</v>
      </c>
      <c r="K2922" s="0" t="str">
        <f aca="false">"1.05 %"</f>
        <v>1.05 %</v>
      </c>
      <c r="O2922" s="0" t="s">
        <v>10079</v>
      </c>
    </row>
    <row r="2923" customFormat="false" ht="13.8" hidden="false" customHeight="false" outlineLevel="0" collapsed="false">
      <c r="A2923" s="0" t="s">
        <v>10076</v>
      </c>
      <c r="D2923" s="0" t="s">
        <v>10080</v>
      </c>
      <c r="F2923" s="0" t="s">
        <v>10081</v>
      </c>
      <c r="G2923" s="0" t="n">
        <v>0</v>
      </c>
      <c r="J2923" s="0" t="s">
        <v>40</v>
      </c>
      <c r="K2923" s="0" t="str">
        <f aca="false">"11.77 %"</f>
        <v>11.77 %</v>
      </c>
      <c r="O2923" s="0" t="s">
        <v>10082</v>
      </c>
    </row>
    <row r="2924" customFormat="false" ht="13.8" hidden="false" customHeight="false" outlineLevel="0" collapsed="false">
      <c r="A2924" s="0" t="s">
        <v>10083</v>
      </c>
      <c r="D2924" s="0" t="s">
        <v>6439</v>
      </c>
      <c r="F2924" s="0" t="s">
        <v>10084</v>
      </c>
      <c r="G2924" s="0" t="n">
        <v>0</v>
      </c>
      <c r="J2924" s="0" t="s">
        <v>40</v>
      </c>
      <c r="K2924" s="0" t="str">
        <f aca="false">"8.42 %"</f>
        <v>8.42 %</v>
      </c>
      <c r="O2924" s="0" t="s">
        <v>10085</v>
      </c>
    </row>
    <row r="2925" customFormat="false" ht="13.8" hidden="false" customHeight="false" outlineLevel="0" collapsed="false">
      <c r="A2925" s="0" t="s">
        <v>10086</v>
      </c>
      <c r="D2925" s="0" t="s">
        <v>10087</v>
      </c>
      <c r="F2925" s="0" t="s">
        <v>10088</v>
      </c>
      <c r="G2925" s="0" t="n">
        <v>0</v>
      </c>
      <c r="J2925" s="0" t="s">
        <v>40</v>
      </c>
      <c r="K2925" s="0" t="str">
        <f aca="false">"11.8 %"</f>
        <v>11.8 %</v>
      </c>
      <c r="O2925" s="0" t="s">
        <v>10089</v>
      </c>
    </row>
    <row r="2926" customFormat="false" ht="13.8" hidden="false" customHeight="false" outlineLevel="0" collapsed="false">
      <c r="A2926" s="0" t="s">
        <v>10090</v>
      </c>
      <c r="D2926" s="0" t="s">
        <v>3502</v>
      </c>
      <c r="E2926" s="0" t="s">
        <v>3503</v>
      </c>
      <c r="F2926" s="0" t="s">
        <v>3504</v>
      </c>
      <c r="G2926" s="0" t="n">
        <v>0</v>
      </c>
      <c r="J2926" s="0" t="s">
        <v>40</v>
      </c>
      <c r="K2926" s="0" t="str">
        <f aca="false">"9.53 %"</f>
        <v>9.53 %</v>
      </c>
      <c r="L2926" s="0" t="str">
        <f aca="false">"0.89 V"</f>
        <v>0.89 V</v>
      </c>
      <c r="M2926" s="0" t="str">
        <f aca="false">"17.43 mA/cm^{2}"</f>
        <v>17.43 mA/cm^{2}</v>
      </c>
      <c r="O2926" s="0" t="s">
        <v>10091</v>
      </c>
    </row>
    <row r="2927" customFormat="false" ht="13.8" hidden="false" customHeight="false" outlineLevel="0" collapsed="false">
      <c r="A2927" s="0" t="s">
        <v>10092</v>
      </c>
      <c r="D2927" s="0" t="s">
        <v>10093</v>
      </c>
      <c r="F2927" s="0" t="s">
        <v>10094</v>
      </c>
      <c r="G2927" s="0" t="n">
        <v>0</v>
      </c>
      <c r="J2927" s="0" t="s">
        <v>40</v>
      </c>
      <c r="K2927" s="0" t="str">
        <f aca="false">"11.04 %"</f>
        <v>11.04 %</v>
      </c>
      <c r="L2927" s="0" t="str">
        <f aca="false">"0.937 V"</f>
        <v>0.937 V</v>
      </c>
      <c r="M2927" s="0" t="str">
        <f aca="false">"21.25 mA cm^{-2}"</f>
        <v>21.25 mA cm^{-2}</v>
      </c>
      <c r="N2927" s="0" t="str">
        <f aca="false">"72.48 %"</f>
        <v>72.48 %</v>
      </c>
      <c r="O2927" s="0" t="s">
        <v>10095</v>
      </c>
    </row>
    <row r="2928" customFormat="false" ht="13.8" hidden="false" customHeight="false" outlineLevel="0" collapsed="false">
      <c r="A2928" s="0" t="s">
        <v>10096</v>
      </c>
      <c r="F2928" s="0" t="s">
        <v>40</v>
      </c>
      <c r="G2928" s="0" t="n">
        <v>1</v>
      </c>
      <c r="H2928" s="0" t="s">
        <v>33</v>
      </c>
      <c r="J2928" s="0" t="s">
        <v>34</v>
      </c>
      <c r="K2928" s="0" t="str">
        <f aca="false">"0.7 %"</f>
        <v>0.7 %</v>
      </c>
      <c r="O2928" s="0" t="s">
        <v>10097</v>
      </c>
    </row>
    <row r="2929" customFormat="false" ht="13.8" hidden="false" customHeight="false" outlineLevel="0" collapsed="false">
      <c r="A2929" s="0" t="s">
        <v>10098</v>
      </c>
      <c r="D2929" s="0" t="s">
        <v>10099</v>
      </c>
      <c r="F2929" s="0" t="s">
        <v>10100</v>
      </c>
      <c r="G2929" s="0" t="n">
        <v>0</v>
      </c>
      <c r="J2929" s="0" t="s">
        <v>40</v>
      </c>
      <c r="K2929" s="0" t="str">
        <f aca="false">"0.13-0.70 %"</f>
        <v>0.13-0.70 %</v>
      </c>
      <c r="O2929" s="0" t="s">
        <v>10101</v>
      </c>
    </row>
    <row r="2930" customFormat="false" ht="13.8" hidden="false" customHeight="false" outlineLevel="0" collapsed="false">
      <c r="A2930" s="0" t="s">
        <v>10098</v>
      </c>
      <c r="D2930" s="0" t="s">
        <v>10102</v>
      </c>
      <c r="E2930" s="0" t="s">
        <v>10103</v>
      </c>
      <c r="F2930" s="0" t="s">
        <v>10104</v>
      </c>
      <c r="G2930" s="0" t="n">
        <v>0</v>
      </c>
      <c r="J2930" s="0" t="s">
        <v>40</v>
      </c>
      <c r="K2930" s="0" t="str">
        <f aca="false">"1.19 %"</f>
        <v>1.19 %</v>
      </c>
      <c r="O2930" s="0" t="s">
        <v>10105</v>
      </c>
    </row>
    <row r="2931" customFormat="false" ht="13.8" hidden="false" customHeight="false" outlineLevel="0" collapsed="false">
      <c r="A2931" s="0" t="s">
        <v>10106</v>
      </c>
      <c r="F2931" s="0" t="s">
        <v>40</v>
      </c>
      <c r="G2931" s="0" t="n">
        <v>1</v>
      </c>
      <c r="H2931" s="0" t="s">
        <v>27</v>
      </c>
      <c r="J2931" s="0" t="s">
        <v>28</v>
      </c>
      <c r="K2931" s="0" t="str">
        <f aca="false">"2.68 %"</f>
        <v>2.68 %</v>
      </c>
      <c r="L2931" s="0" t="str">
        <f aca="false">"0.95 V"</f>
        <v>0.95 V</v>
      </c>
      <c r="O2931" s="0" t="s">
        <v>10107</v>
      </c>
    </row>
    <row r="2932" customFormat="false" ht="13.8" hidden="false" customHeight="false" outlineLevel="0" collapsed="false">
      <c r="A2932" s="0" t="s">
        <v>10108</v>
      </c>
      <c r="F2932" s="0" t="s">
        <v>40</v>
      </c>
      <c r="G2932" s="0" t="n">
        <v>1</v>
      </c>
      <c r="H2932" s="0" t="s">
        <v>66</v>
      </c>
      <c r="J2932" s="0" t="s">
        <v>67</v>
      </c>
      <c r="K2932" s="0" t="str">
        <f aca="false">"2.38 %"</f>
        <v>2.38 %</v>
      </c>
      <c r="O2932" s="0" t="s">
        <v>10109</v>
      </c>
    </row>
    <row r="2933" customFormat="false" ht="13.8" hidden="false" customHeight="false" outlineLevel="0" collapsed="false">
      <c r="A2933" s="0" t="s">
        <v>10110</v>
      </c>
      <c r="D2933" s="0" t="s">
        <v>10111</v>
      </c>
      <c r="F2933" s="0" t="s">
        <v>10112</v>
      </c>
      <c r="G2933" s="0" t="n">
        <v>0</v>
      </c>
      <c r="J2933" s="0" t="s">
        <v>40</v>
      </c>
      <c r="K2933" s="0" t="str">
        <f aca="false">"1.75 %"</f>
        <v>1.75 %</v>
      </c>
      <c r="O2933" s="0" t="s">
        <v>10113</v>
      </c>
    </row>
    <row r="2934" customFormat="false" ht="13.8" hidden="false" customHeight="false" outlineLevel="0" collapsed="false">
      <c r="A2934" s="0" t="s">
        <v>10114</v>
      </c>
      <c r="D2934" s="0" t="s">
        <v>10115</v>
      </c>
      <c r="F2934" s="0" t="s">
        <v>40</v>
      </c>
      <c r="G2934" s="0" t="n">
        <v>0</v>
      </c>
      <c r="J2934" s="0" t="s">
        <v>40</v>
      </c>
      <c r="K2934" s="0" t="str">
        <f aca="false">"4.13 %"</f>
        <v>4.13 %</v>
      </c>
      <c r="O2934" s="0" t="s">
        <v>10116</v>
      </c>
    </row>
    <row r="2935" customFormat="false" ht="13.8" hidden="false" customHeight="false" outlineLevel="0" collapsed="false">
      <c r="A2935" s="0" t="s">
        <v>10117</v>
      </c>
      <c r="D2935" s="0" t="s">
        <v>10118</v>
      </c>
      <c r="E2935" s="0" t="s">
        <v>10119</v>
      </c>
      <c r="F2935" s="0" t="s">
        <v>10120</v>
      </c>
      <c r="G2935" s="0" t="n">
        <v>0</v>
      </c>
      <c r="J2935" s="0" t="s">
        <v>40</v>
      </c>
      <c r="K2935" s="0" t="str">
        <f aca="false">"0.69-0.80 %"</f>
        <v>0.69-0.80 %</v>
      </c>
      <c r="O2935" s="0" t="s">
        <v>10121</v>
      </c>
    </row>
    <row r="2936" customFormat="false" ht="13.8" hidden="false" customHeight="false" outlineLevel="0" collapsed="false">
      <c r="A2936" s="0" t="s">
        <v>10117</v>
      </c>
      <c r="D2936" s="0" t="s">
        <v>10122</v>
      </c>
      <c r="F2936" s="0" t="s">
        <v>10123</v>
      </c>
      <c r="G2936" s="0" t="n">
        <v>0</v>
      </c>
      <c r="J2936" s="0" t="s">
        <v>40</v>
      </c>
      <c r="K2936" s="0" t="str">
        <f aca="false">"3.70-4.50 %"</f>
        <v>3.70-4.50 %</v>
      </c>
      <c r="L2936" s="0" t="str">
        <f aca="false">"0.98 V"</f>
        <v>0.98 V</v>
      </c>
      <c r="O2936" s="0" t="s">
        <v>10124</v>
      </c>
    </row>
    <row r="2937" customFormat="false" ht="13.8" hidden="false" customHeight="false" outlineLevel="0" collapsed="false">
      <c r="A2937" s="0" t="s">
        <v>10125</v>
      </c>
      <c r="F2937" s="0" t="s">
        <v>40</v>
      </c>
      <c r="G2937" s="0" t="n">
        <v>1</v>
      </c>
      <c r="H2937" s="0" t="s">
        <v>27</v>
      </c>
      <c r="J2937" s="0" t="s">
        <v>28</v>
      </c>
      <c r="K2937" s="0" t="str">
        <f aca="false">"3.1 %"</f>
        <v>3.1 %</v>
      </c>
      <c r="O2937" s="0" t="s">
        <v>10126</v>
      </c>
    </row>
    <row r="2938" customFormat="false" ht="13.8" hidden="false" customHeight="false" outlineLevel="0" collapsed="false">
      <c r="A2938" s="0" t="s">
        <v>10127</v>
      </c>
      <c r="D2938" s="0" t="s">
        <v>10128</v>
      </c>
      <c r="F2938" s="0" t="s">
        <v>10129</v>
      </c>
      <c r="G2938" s="0" t="n">
        <v>0</v>
      </c>
      <c r="J2938" s="0" t="s">
        <v>40</v>
      </c>
      <c r="K2938" s="0" t="str">
        <f aca="false">"4.52 %"</f>
        <v>4.52 %</v>
      </c>
      <c r="O2938" s="0" t="s">
        <v>10130</v>
      </c>
    </row>
    <row r="2939" customFormat="false" ht="13.8" hidden="false" customHeight="false" outlineLevel="0" collapsed="false">
      <c r="A2939" s="0" t="s">
        <v>10131</v>
      </c>
      <c r="D2939" s="0" t="s">
        <v>10132</v>
      </c>
      <c r="E2939" s="0" t="s">
        <v>10133</v>
      </c>
      <c r="F2939" s="0" t="s">
        <v>10134</v>
      </c>
      <c r="G2939" s="0" t="n">
        <v>0</v>
      </c>
      <c r="J2939" s="0" t="s">
        <v>40</v>
      </c>
      <c r="K2939" s="0" t="str">
        <f aca="false">"3.0 %"</f>
        <v>3.0 %</v>
      </c>
      <c r="M2939" s="0" t="str">
        <f aca="false">"10.4 mA/cm^{2}"</f>
        <v>10.4 mA/cm^{2}</v>
      </c>
      <c r="O2939" s="0" t="s">
        <v>10135</v>
      </c>
    </row>
    <row r="2940" customFormat="false" ht="13.8" hidden="false" customHeight="false" outlineLevel="0" collapsed="false">
      <c r="A2940" s="0" t="s">
        <v>10136</v>
      </c>
      <c r="D2940" s="0" t="s">
        <v>10137</v>
      </c>
      <c r="E2940" s="0" t="s">
        <v>10138</v>
      </c>
      <c r="F2940" s="0" t="s">
        <v>10139</v>
      </c>
      <c r="G2940" s="0" t="n">
        <v>0</v>
      </c>
      <c r="J2940" s="0" t="s">
        <v>40</v>
      </c>
      <c r="K2940" s="0" t="str">
        <f aca="false">"6.24 %"</f>
        <v>6.24 %</v>
      </c>
      <c r="L2940" s="0" t="str">
        <f aca="false">"0.94 V"</f>
        <v>0.94 V</v>
      </c>
      <c r="O2940" s="0" t="s">
        <v>10140</v>
      </c>
    </row>
    <row r="2941" customFormat="false" ht="13.8" hidden="false" customHeight="false" outlineLevel="0" collapsed="false">
      <c r="A2941" s="0" t="s">
        <v>10141</v>
      </c>
      <c r="F2941" s="0" t="s">
        <v>40</v>
      </c>
      <c r="G2941" s="0" t="n">
        <v>1</v>
      </c>
      <c r="H2941" s="0" t="s">
        <v>76</v>
      </c>
      <c r="J2941" s="0" t="s">
        <v>77</v>
      </c>
      <c r="K2941" s="0" t="str">
        <f aca="false">"4.85 %"</f>
        <v>4.85 %</v>
      </c>
      <c r="O2941" s="0" t="s">
        <v>10142</v>
      </c>
    </row>
    <row r="2942" customFormat="false" ht="13.8" hidden="false" customHeight="false" outlineLevel="0" collapsed="false">
      <c r="A2942" s="0" t="s">
        <v>10141</v>
      </c>
      <c r="D2942" s="0" t="s">
        <v>10143</v>
      </c>
      <c r="E2942" s="0" t="s">
        <v>17</v>
      </c>
      <c r="F2942" s="0" t="s">
        <v>10144</v>
      </c>
      <c r="G2942" s="0" t="n">
        <v>1</v>
      </c>
      <c r="H2942" s="0" t="s">
        <v>76</v>
      </c>
      <c r="J2942" s="0" t="s">
        <v>77</v>
      </c>
      <c r="K2942" s="0" t="str">
        <f aca="false">"5.51 %"</f>
        <v>5.51 %</v>
      </c>
      <c r="O2942" s="0" t="s">
        <v>10145</v>
      </c>
    </row>
    <row r="2943" customFormat="false" ht="13.8" hidden="false" customHeight="false" outlineLevel="0" collapsed="false">
      <c r="A2943" s="0" t="s">
        <v>10146</v>
      </c>
      <c r="F2943" s="0" t="s">
        <v>40</v>
      </c>
      <c r="G2943" s="0" t="n">
        <v>1</v>
      </c>
      <c r="H2943" s="0" t="s">
        <v>27</v>
      </c>
      <c r="J2943" s="0" t="s">
        <v>28</v>
      </c>
      <c r="K2943" s="0" t="str">
        <f aca="false">"2.13 %"</f>
        <v>2.13 %</v>
      </c>
      <c r="O2943" s="0" t="s">
        <v>10147</v>
      </c>
    </row>
    <row r="2944" customFormat="false" ht="13.8" hidden="false" customHeight="false" outlineLevel="0" collapsed="false">
      <c r="A2944" s="0" t="s">
        <v>10148</v>
      </c>
      <c r="D2944" s="0" t="s">
        <v>10149</v>
      </c>
      <c r="E2944" s="0" t="s">
        <v>10150</v>
      </c>
      <c r="F2944" s="0" t="s">
        <v>10151</v>
      </c>
      <c r="G2944" s="0" t="n">
        <v>0</v>
      </c>
      <c r="J2944" s="0" t="s">
        <v>40</v>
      </c>
      <c r="K2944" s="0" t="str">
        <f aca="false">"1.95 %"</f>
        <v>1.95 %</v>
      </c>
      <c r="O2944" s="0" t="s">
        <v>10152</v>
      </c>
    </row>
    <row r="2945" customFormat="false" ht="13.8" hidden="false" customHeight="false" outlineLevel="0" collapsed="false">
      <c r="A2945" s="0" t="s">
        <v>10148</v>
      </c>
      <c r="D2945" s="0" t="s">
        <v>2211</v>
      </c>
      <c r="E2945" s="0" t="s">
        <v>2212</v>
      </c>
      <c r="F2945" s="0" t="s">
        <v>2213</v>
      </c>
      <c r="G2945" s="0" t="n">
        <v>0</v>
      </c>
      <c r="J2945" s="0" t="s">
        <v>40</v>
      </c>
      <c r="O2945" s="0" t="s">
        <v>10153</v>
      </c>
    </row>
    <row r="2946" customFormat="false" ht="13.8" hidden="false" customHeight="false" outlineLevel="0" collapsed="false">
      <c r="A2946" s="0" t="s">
        <v>10148</v>
      </c>
      <c r="D2946" s="0" t="s">
        <v>10154</v>
      </c>
      <c r="F2946" s="0" t="s">
        <v>10155</v>
      </c>
      <c r="G2946" s="0" t="n">
        <v>0</v>
      </c>
      <c r="J2946" s="0" t="s">
        <v>40</v>
      </c>
      <c r="K2946" s="0" t="str">
        <f aca="false">"3.34 %"</f>
        <v>3.34 %</v>
      </c>
      <c r="O2946" s="0" t="s">
        <v>10156</v>
      </c>
    </row>
    <row r="2947" customFormat="false" ht="13.8" hidden="false" customHeight="false" outlineLevel="0" collapsed="false">
      <c r="A2947" s="0" t="s">
        <v>10157</v>
      </c>
      <c r="F2947" s="0" t="s">
        <v>40</v>
      </c>
      <c r="G2947" s="0" t="n">
        <v>1</v>
      </c>
      <c r="H2947" s="0" t="s">
        <v>33</v>
      </c>
      <c r="J2947" s="0" t="s">
        <v>34</v>
      </c>
      <c r="K2947" s="0" t="str">
        <f aca="false">"0.45 %"</f>
        <v>0.45 %</v>
      </c>
      <c r="O2947" s="0" t="s">
        <v>10158</v>
      </c>
    </row>
    <row r="2948" customFormat="false" ht="13.8" hidden="false" customHeight="false" outlineLevel="0" collapsed="false">
      <c r="A2948" s="0" t="s">
        <v>10159</v>
      </c>
      <c r="F2948" s="0" t="s">
        <v>40</v>
      </c>
      <c r="G2948" s="0" t="n">
        <v>1</v>
      </c>
      <c r="H2948" s="0" t="s">
        <v>33</v>
      </c>
      <c r="J2948" s="0" t="s">
        <v>34</v>
      </c>
      <c r="K2948" s="0" t="str">
        <f aca="false">"1.88 %"</f>
        <v>1.88 %</v>
      </c>
      <c r="M2948" s="0" t="str">
        <f aca="false">"5.93 mA/cm^{2}"</f>
        <v>5.93 mA/cm^{2}</v>
      </c>
      <c r="N2948" s="0" t="str">
        <f aca="false">"43 %"</f>
        <v>43 %</v>
      </c>
      <c r="O2948" s="0" t="s">
        <v>10160</v>
      </c>
    </row>
    <row r="2949" customFormat="false" ht="13.8" hidden="false" customHeight="false" outlineLevel="0" collapsed="false">
      <c r="A2949" s="0" t="s">
        <v>10161</v>
      </c>
      <c r="D2949" s="0" t="s">
        <v>6786</v>
      </c>
      <c r="F2949" s="0" t="s">
        <v>6787</v>
      </c>
      <c r="G2949" s="0" t="n">
        <v>0</v>
      </c>
      <c r="J2949" s="0" t="s">
        <v>40</v>
      </c>
      <c r="K2949" s="0" t="str">
        <f aca="false">"3.78 %"</f>
        <v>3.78 %</v>
      </c>
      <c r="O2949" s="0" t="s">
        <v>10162</v>
      </c>
    </row>
    <row r="2950" customFormat="false" ht="13.8" hidden="false" customHeight="false" outlineLevel="0" collapsed="false">
      <c r="A2950" s="0" t="s">
        <v>10163</v>
      </c>
      <c r="F2950" s="0" t="s">
        <v>40</v>
      </c>
      <c r="G2950" s="0" t="n">
        <v>1</v>
      </c>
      <c r="H2950" s="0" t="s">
        <v>526</v>
      </c>
      <c r="J2950" s="0" t="s">
        <v>3518</v>
      </c>
      <c r="K2950" s="0" t="str">
        <f aca="false">"2.07 %"</f>
        <v>2.07 %</v>
      </c>
      <c r="O2950" s="0" t="s">
        <v>10164</v>
      </c>
    </row>
    <row r="2951" customFormat="false" ht="13.8" hidden="false" customHeight="false" outlineLevel="0" collapsed="false">
      <c r="A2951" s="0" t="s">
        <v>10165</v>
      </c>
      <c r="D2951" s="0" t="s">
        <v>1850</v>
      </c>
      <c r="F2951" s="0" t="s">
        <v>10166</v>
      </c>
      <c r="G2951" s="0" t="n">
        <v>0</v>
      </c>
      <c r="J2951" s="0" t="s">
        <v>40</v>
      </c>
      <c r="K2951" s="0" t="str">
        <f aca="false">"4 %"</f>
        <v>4 %</v>
      </c>
      <c r="O2951" s="0" t="s">
        <v>10167</v>
      </c>
    </row>
    <row r="2952" customFormat="false" ht="13.8" hidden="false" customHeight="false" outlineLevel="0" collapsed="false">
      <c r="A2952" s="0" t="s">
        <v>10168</v>
      </c>
      <c r="D2952" s="0" t="s">
        <v>10169</v>
      </c>
      <c r="F2952" s="0" t="s">
        <v>10170</v>
      </c>
      <c r="G2952" s="0" t="n">
        <v>0</v>
      </c>
      <c r="J2952" s="0" t="s">
        <v>40</v>
      </c>
      <c r="K2952" s="0" t="str">
        <f aca="false">"0.28 %"</f>
        <v>0.28 %</v>
      </c>
      <c r="O2952" s="0" t="s">
        <v>10171</v>
      </c>
    </row>
    <row r="2953" customFormat="false" ht="13.8" hidden="false" customHeight="false" outlineLevel="0" collapsed="false">
      <c r="A2953" s="0" t="s">
        <v>10172</v>
      </c>
      <c r="F2953" s="0" t="s">
        <v>40</v>
      </c>
      <c r="G2953" s="0" t="n">
        <v>1</v>
      </c>
      <c r="H2953" s="0" t="s">
        <v>27</v>
      </c>
      <c r="J2953" s="0" t="s">
        <v>28</v>
      </c>
      <c r="M2953" s="0" t="str">
        <f aca="false">"10.78 mA/cm^{2}"</f>
        <v>10.78 mA/cm^{2}</v>
      </c>
      <c r="O2953" s="0" t="s">
        <v>10173</v>
      </c>
    </row>
    <row r="2954" customFormat="false" ht="13.8" hidden="false" customHeight="false" outlineLevel="0" collapsed="false">
      <c r="A2954" s="0" t="s">
        <v>10172</v>
      </c>
      <c r="D2954" s="0" t="s">
        <v>10174</v>
      </c>
      <c r="E2954" s="0" t="s">
        <v>10175</v>
      </c>
      <c r="F2954" s="0" t="s">
        <v>10176</v>
      </c>
      <c r="G2954" s="0" t="n">
        <v>1</v>
      </c>
      <c r="H2954" s="0" t="s">
        <v>27</v>
      </c>
      <c r="J2954" s="0" t="s">
        <v>28</v>
      </c>
      <c r="K2954" s="0" t="str">
        <f aca="false">"5.1 %"</f>
        <v>5.1 %</v>
      </c>
      <c r="O2954" s="0" t="s">
        <v>10177</v>
      </c>
    </row>
    <row r="2955" customFormat="false" ht="13.8" hidden="false" customHeight="false" outlineLevel="0" collapsed="false">
      <c r="A2955" s="0" t="s">
        <v>10178</v>
      </c>
      <c r="D2955" s="0" t="s">
        <v>10179</v>
      </c>
      <c r="F2955" s="0" t="s">
        <v>10180</v>
      </c>
      <c r="G2955" s="0" t="n">
        <v>0</v>
      </c>
      <c r="J2955" s="0" t="s">
        <v>40</v>
      </c>
      <c r="K2955" s="0" t="str">
        <f aca="false">"2.5 %"</f>
        <v>2.5 %</v>
      </c>
      <c r="O2955" s="0" t="s">
        <v>10181</v>
      </c>
    </row>
    <row r="2956" customFormat="false" ht="13.8" hidden="false" customHeight="false" outlineLevel="0" collapsed="false">
      <c r="A2956" s="0" t="s">
        <v>10182</v>
      </c>
      <c r="F2956" s="0" t="s">
        <v>40</v>
      </c>
      <c r="G2956" s="0" t="n">
        <v>0</v>
      </c>
      <c r="H2956" s="0" t="s">
        <v>10183</v>
      </c>
      <c r="J2956" s="0" t="s">
        <v>40</v>
      </c>
      <c r="K2956" s="0" t="str">
        <f aca="false">"4.4 %"</f>
        <v>4.4 %</v>
      </c>
      <c r="O2956" s="0" t="s">
        <v>10184</v>
      </c>
    </row>
    <row r="2957" customFormat="false" ht="13.8" hidden="false" customHeight="false" outlineLevel="0" collapsed="false">
      <c r="A2957" s="0" t="s">
        <v>10185</v>
      </c>
      <c r="D2957" s="0" t="s">
        <v>10186</v>
      </c>
      <c r="F2957" s="0" t="s">
        <v>10187</v>
      </c>
      <c r="G2957" s="0" t="n">
        <v>0</v>
      </c>
      <c r="J2957" s="0" t="s">
        <v>40</v>
      </c>
      <c r="O2957" s="0" t="s">
        <v>10188</v>
      </c>
    </row>
    <row r="2958" customFormat="false" ht="13.8" hidden="false" customHeight="false" outlineLevel="0" collapsed="false">
      <c r="A2958" s="0" t="s">
        <v>10185</v>
      </c>
      <c r="D2958" s="0" t="s">
        <v>253</v>
      </c>
      <c r="F2958" s="0" t="s">
        <v>258</v>
      </c>
      <c r="G2958" s="0" t="n">
        <v>0</v>
      </c>
      <c r="J2958" s="0" t="s">
        <v>40</v>
      </c>
      <c r="K2958" s="0" t="str">
        <f aca="false">"1.04 %"</f>
        <v>1.04 %</v>
      </c>
      <c r="L2958" s="0" t="str">
        <f aca="false">"0.77 V"</f>
        <v>0.77 V</v>
      </c>
      <c r="M2958" s="0" t="str">
        <f aca="false">"3.42 mA cm^{-2}"</f>
        <v>3.42 mA cm^{-2}</v>
      </c>
      <c r="N2958" s="0" t="str">
        <f aca="false">"0.39"</f>
        <v>0.39</v>
      </c>
      <c r="O2958" s="0" t="s">
        <v>10189</v>
      </c>
    </row>
    <row r="2959" customFormat="false" ht="13.8" hidden="false" customHeight="false" outlineLevel="0" collapsed="false">
      <c r="A2959" s="0" t="s">
        <v>10190</v>
      </c>
      <c r="F2959" s="0" t="s">
        <v>40</v>
      </c>
      <c r="G2959" s="0" t="n">
        <v>1</v>
      </c>
      <c r="H2959" s="0" t="s">
        <v>27</v>
      </c>
      <c r="J2959" s="0" t="s">
        <v>28</v>
      </c>
      <c r="K2959" s="0" t="str">
        <f aca="false">"3.70 %"</f>
        <v>3.70 %</v>
      </c>
      <c r="O2959" s="0" t="s">
        <v>10191</v>
      </c>
    </row>
    <row r="2960" customFormat="false" ht="13.8" hidden="false" customHeight="false" outlineLevel="0" collapsed="false">
      <c r="A2960" s="0" t="s">
        <v>10192</v>
      </c>
      <c r="D2960" s="0" t="s">
        <v>10193</v>
      </c>
      <c r="F2960" s="0" t="s">
        <v>10194</v>
      </c>
      <c r="G2960" s="0" t="n">
        <v>0</v>
      </c>
      <c r="J2960" s="0" t="s">
        <v>40</v>
      </c>
      <c r="K2960" s="0" t="str">
        <f aca="false">"3.7 %"</f>
        <v>3.7 %</v>
      </c>
      <c r="L2960" s="0" t="str">
        <f aca="false">"0.92 V"</f>
        <v>0.92 V</v>
      </c>
      <c r="O2960" s="0" t="s">
        <v>10195</v>
      </c>
    </row>
    <row r="2961" customFormat="false" ht="13.8" hidden="false" customHeight="false" outlineLevel="0" collapsed="false">
      <c r="A2961" s="0" t="s">
        <v>10196</v>
      </c>
      <c r="D2961" s="0" t="s">
        <v>10197</v>
      </c>
      <c r="E2961" s="0" t="s">
        <v>10198</v>
      </c>
      <c r="F2961" s="0" t="s">
        <v>10199</v>
      </c>
      <c r="G2961" s="0" t="n">
        <v>0</v>
      </c>
      <c r="J2961" s="0" t="s">
        <v>40</v>
      </c>
      <c r="K2961" s="0" t="str">
        <f aca="false">"2.63 %"</f>
        <v>2.63 %</v>
      </c>
      <c r="L2961" s="0" t="str">
        <f aca="false">"0.86 V"</f>
        <v>0.86 V</v>
      </c>
      <c r="O2961" s="0" t="s">
        <v>10200</v>
      </c>
    </row>
    <row r="2962" customFormat="false" ht="13.8" hidden="false" customHeight="false" outlineLevel="0" collapsed="false">
      <c r="A2962" s="0" t="s">
        <v>10196</v>
      </c>
      <c r="D2962" s="0" t="s">
        <v>10201</v>
      </c>
      <c r="F2962" s="0" t="s">
        <v>10202</v>
      </c>
      <c r="G2962" s="0" t="n">
        <v>0</v>
      </c>
      <c r="J2962" s="0" t="s">
        <v>40</v>
      </c>
      <c r="M2962" s="0" t="str">
        <f aca="false">"5.86 mA cm^{-2}"</f>
        <v>5.86 mA cm^{-2}</v>
      </c>
      <c r="N2962" s="0" t="str">
        <f aca="false">"0.52"</f>
        <v>0.52</v>
      </c>
      <c r="O2962" s="0" t="s">
        <v>10203</v>
      </c>
    </row>
    <row r="2963" customFormat="false" ht="13.8" hidden="false" customHeight="false" outlineLevel="0" collapsed="false">
      <c r="A2963" s="0" t="s">
        <v>10204</v>
      </c>
      <c r="F2963" s="0" t="s">
        <v>40</v>
      </c>
      <c r="G2963" s="0" t="n">
        <v>1</v>
      </c>
      <c r="H2963" s="0" t="s">
        <v>76</v>
      </c>
      <c r="J2963" s="0" t="s">
        <v>77</v>
      </c>
      <c r="K2963" s="0" t="str">
        <f aca="false">"5.13 %"</f>
        <v>5.13 %</v>
      </c>
      <c r="L2963" s="0" t="str">
        <f aca="false">"0.97 V"</f>
        <v>0.97 V</v>
      </c>
      <c r="M2963" s="0" t="str">
        <f aca="false">"8.96 mA/cm^{2}"</f>
        <v>8.96 mA/cm^{2}</v>
      </c>
      <c r="N2963" s="0" t="str">
        <f aca="false">"58.99 %"</f>
        <v>58.99 %</v>
      </c>
      <c r="O2963" s="0" t="s">
        <v>10205</v>
      </c>
    </row>
    <row r="2964" customFormat="false" ht="13.8" hidden="false" customHeight="false" outlineLevel="0" collapsed="false">
      <c r="A2964" s="0" t="s">
        <v>10206</v>
      </c>
      <c r="D2964" s="0" t="s">
        <v>10207</v>
      </c>
      <c r="F2964" s="0" t="s">
        <v>10208</v>
      </c>
      <c r="G2964" s="0" t="n">
        <v>0</v>
      </c>
      <c r="J2964" s="0" t="s">
        <v>40</v>
      </c>
      <c r="K2964" s="0" t="str">
        <f aca="false">"4.25 %"</f>
        <v>4.25 %</v>
      </c>
      <c r="O2964" s="0" t="s">
        <v>10209</v>
      </c>
    </row>
    <row r="2965" customFormat="false" ht="13.8" hidden="false" customHeight="false" outlineLevel="0" collapsed="false">
      <c r="A2965" s="0" t="s">
        <v>10210</v>
      </c>
      <c r="D2965" s="0" t="s">
        <v>10211</v>
      </c>
      <c r="E2965" s="0" t="s">
        <v>10212</v>
      </c>
      <c r="F2965" s="0" t="s">
        <v>10213</v>
      </c>
      <c r="G2965" s="0" t="n">
        <v>0</v>
      </c>
      <c r="J2965" s="0" t="s">
        <v>40</v>
      </c>
      <c r="K2965" s="0" t="str">
        <f aca="false">"8.78 %"</f>
        <v>8.78 %</v>
      </c>
      <c r="L2965" s="0" t="str">
        <f aca="false">"0.69 V"</f>
        <v>0.69 V</v>
      </c>
      <c r="M2965" s="0" t="str">
        <f aca="false">"11.77 mA/cm^{2}"</f>
        <v>11.77 mA/cm^{2}</v>
      </c>
      <c r="O2965" s="0" t="s">
        <v>10214</v>
      </c>
    </row>
    <row r="2966" customFormat="false" ht="13.8" hidden="false" customHeight="false" outlineLevel="0" collapsed="false">
      <c r="A2966" s="0" t="s">
        <v>10215</v>
      </c>
      <c r="D2966" s="0" t="s">
        <v>10216</v>
      </c>
      <c r="F2966" s="0" t="s">
        <v>10217</v>
      </c>
      <c r="G2966" s="0" t="n">
        <v>0</v>
      </c>
      <c r="J2966" s="0" t="s">
        <v>40</v>
      </c>
      <c r="O2966" s="0" t="s">
        <v>10218</v>
      </c>
    </row>
    <row r="2967" customFormat="false" ht="13.8" hidden="false" customHeight="false" outlineLevel="0" collapsed="false">
      <c r="A2967" s="0" t="s">
        <v>10215</v>
      </c>
      <c r="D2967" s="0" t="s">
        <v>10219</v>
      </c>
      <c r="F2967" s="0" t="s">
        <v>10220</v>
      </c>
      <c r="G2967" s="0" t="n">
        <v>0</v>
      </c>
      <c r="J2967" s="0" t="s">
        <v>40</v>
      </c>
      <c r="K2967" s="0" t="str">
        <f aca="false">"1.7 %"</f>
        <v>1.7 %</v>
      </c>
      <c r="O2967" s="0" t="s">
        <v>10221</v>
      </c>
    </row>
    <row r="2968" customFormat="false" ht="13.8" hidden="false" customHeight="false" outlineLevel="0" collapsed="false">
      <c r="A2968" s="0" t="s">
        <v>10222</v>
      </c>
      <c r="D2968" s="0" t="s">
        <v>10223</v>
      </c>
      <c r="F2968" s="0" t="s">
        <v>10224</v>
      </c>
      <c r="G2968" s="0" t="n">
        <v>0</v>
      </c>
      <c r="J2968" s="0" t="s">
        <v>40</v>
      </c>
      <c r="K2968" s="0" t="str">
        <f aca="false">"6.94 %"</f>
        <v>6.94 %</v>
      </c>
      <c r="O2968" s="0" t="s">
        <v>10225</v>
      </c>
    </row>
    <row r="2969" customFormat="false" ht="13.8" hidden="false" customHeight="false" outlineLevel="0" collapsed="false">
      <c r="A2969" s="0" t="s">
        <v>10226</v>
      </c>
      <c r="D2969" s="0" t="s">
        <v>10227</v>
      </c>
      <c r="F2969" s="0" t="s">
        <v>10228</v>
      </c>
      <c r="G2969" s="0" t="n">
        <v>0</v>
      </c>
      <c r="J2969" s="0" t="s">
        <v>40</v>
      </c>
      <c r="K2969" s="0" t="str">
        <f aca="false">"7.05 %"</f>
        <v>7.05 %</v>
      </c>
      <c r="O2969" s="0" t="s">
        <v>10229</v>
      </c>
    </row>
    <row r="2970" customFormat="false" ht="13.8" hidden="false" customHeight="false" outlineLevel="0" collapsed="false">
      <c r="A2970" s="0" t="s">
        <v>10230</v>
      </c>
      <c r="D2970" s="0" t="s">
        <v>10231</v>
      </c>
      <c r="F2970" s="0" t="s">
        <v>10232</v>
      </c>
      <c r="G2970" s="0" t="n">
        <v>0</v>
      </c>
      <c r="J2970" s="0" t="s">
        <v>40</v>
      </c>
      <c r="K2970" s="0" t="str">
        <f aca="false">"4.04 %"</f>
        <v>4.04 %</v>
      </c>
      <c r="O2970" s="0" t="s">
        <v>10233</v>
      </c>
    </row>
    <row r="2971" customFormat="false" ht="13.8" hidden="false" customHeight="false" outlineLevel="0" collapsed="false">
      <c r="A2971" s="0" t="s">
        <v>10234</v>
      </c>
      <c r="D2971" s="0" t="s">
        <v>10235</v>
      </c>
      <c r="F2971" s="0" t="s">
        <v>10236</v>
      </c>
      <c r="G2971" s="0" t="n">
        <v>0</v>
      </c>
      <c r="J2971" s="0" t="s">
        <v>40</v>
      </c>
      <c r="K2971" s="0" t="str">
        <f aca="false">"5.11 %"</f>
        <v>5.11 %</v>
      </c>
      <c r="L2971" s="0" t="str">
        <f aca="false">"0.80 V"</f>
        <v>0.80 V</v>
      </c>
      <c r="N2971" s="0" t="str">
        <f aca="false">"0.60"</f>
        <v>0.60</v>
      </c>
      <c r="O2971" s="0" t="s">
        <v>10237</v>
      </c>
    </row>
    <row r="2972" customFormat="false" ht="13.8" hidden="false" customHeight="false" outlineLevel="0" collapsed="false">
      <c r="A2972" s="0" t="s">
        <v>10238</v>
      </c>
      <c r="F2972" s="0" t="s">
        <v>40</v>
      </c>
      <c r="G2972" s="0" t="n">
        <v>1</v>
      </c>
      <c r="H2972" s="0" t="s">
        <v>76</v>
      </c>
      <c r="J2972" s="0" t="s">
        <v>77</v>
      </c>
      <c r="K2972" s="0" t="str">
        <f aca="false">"7.30 %"</f>
        <v>7.30 %</v>
      </c>
      <c r="L2972" s="0" t="str">
        <f aca="false">"0.90 V"</f>
        <v>0.90 V</v>
      </c>
      <c r="O2972" s="0" t="s">
        <v>10239</v>
      </c>
    </row>
    <row r="2973" customFormat="false" ht="13.8" hidden="false" customHeight="false" outlineLevel="0" collapsed="false">
      <c r="A2973" s="0" t="s">
        <v>10240</v>
      </c>
      <c r="D2973" s="0" t="s">
        <v>16</v>
      </c>
      <c r="E2973" s="0" t="s">
        <v>17</v>
      </c>
      <c r="F2973" s="0" t="s">
        <v>116</v>
      </c>
      <c r="G2973" s="0" t="n">
        <v>0</v>
      </c>
      <c r="J2973" s="0" t="s">
        <v>40</v>
      </c>
      <c r="K2973" s="0" t="str">
        <f aca="false">"0.07 %"</f>
        <v>0.07 %</v>
      </c>
      <c r="O2973" s="0" t="s">
        <v>10241</v>
      </c>
    </row>
    <row r="2974" customFormat="false" ht="13.8" hidden="false" customHeight="false" outlineLevel="0" collapsed="false">
      <c r="A2974" s="0" t="s">
        <v>10242</v>
      </c>
      <c r="D2974" s="0" t="s">
        <v>10243</v>
      </c>
      <c r="F2974" s="0" t="s">
        <v>40</v>
      </c>
      <c r="G2974" s="0" t="n">
        <v>0</v>
      </c>
      <c r="J2974" s="0" t="s">
        <v>40</v>
      </c>
      <c r="K2974" s="0" t="str">
        <f aca="false">"8.0 %"</f>
        <v>8.0 %</v>
      </c>
      <c r="O2974" s="0" t="s">
        <v>10244</v>
      </c>
    </row>
    <row r="2975" customFormat="false" ht="13.8" hidden="false" customHeight="false" outlineLevel="0" collapsed="false">
      <c r="A2975" s="0" t="s">
        <v>10245</v>
      </c>
      <c r="D2975" s="0" t="s">
        <v>85</v>
      </c>
      <c r="E2975" s="0" t="s">
        <v>86</v>
      </c>
      <c r="F2975" s="0" t="s">
        <v>87</v>
      </c>
      <c r="G2975" s="0" t="n">
        <v>0</v>
      </c>
      <c r="J2975" s="0" t="s">
        <v>40</v>
      </c>
      <c r="K2975" s="0" t="str">
        <f aca="false">"3.5 %"</f>
        <v>3.5 %</v>
      </c>
      <c r="O2975" s="0" t="s">
        <v>10246</v>
      </c>
    </row>
    <row r="2976" customFormat="false" ht="13.8" hidden="false" customHeight="false" outlineLevel="0" collapsed="false">
      <c r="A2976" s="0" t="s">
        <v>10247</v>
      </c>
      <c r="F2976" s="0" t="s">
        <v>40</v>
      </c>
      <c r="G2976" s="0" t="n">
        <v>1</v>
      </c>
      <c r="H2976" s="0" t="s">
        <v>33</v>
      </c>
      <c r="J2976" s="0" t="s">
        <v>40</v>
      </c>
      <c r="K2976" s="0" t="str">
        <f aca="false">"1.8 %"</f>
        <v>1.8 %</v>
      </c>
      <c r="L2976" s="0" t="str">
        <f aca="false">"1.07 V"</f>
        <v>1.07 V</v>
      </c>
      <c r="O2976" s="0" t="s">
        <v>10248</v>
      </c>
    </row>
    <row r="2977" customFormat="false" ht="13.8" hidden="false" customHeight="false" outlineLevel="0" collapsed="false">
      <c r="A2977" s="0" t="s">
        <v>10249</v>
      </c>
      <c r="D2977" s="0" t="s">
        <v>10250</v>
      </c>
      <c r="F2977" s="0" t="s">
        <v>10251</v>
      </c>
      <c r="G2977" s="0" t="n">
        <v>0</v>
      </c>
      <c r="J2977" s="0" t="s">
        <v>40</v>
      </c>
      <c r="K2977" s="0" t="str">
        <f aca="false">"4.0 %"</f>
        <v>4.0 %</v>
      </c>
      <c r="L2977" s="0" t="str">
        <f aca="false">"0.69 V"</f>
        <v>0.69 V</v>
      </c>
      <c r="M2977" s="0" t="str">
        <f aca="false">"11.54 mA/cm^{2}"</f>
        <v>11.54 mA/cm^{2}</v>
      </c>
      <c r="N2977" s="0" t="str">
        <f aca="false">"0.50"</f>
        <v>0.50</v>
      </c>
      <c r="O2977" s="0" t="s">
        <v>10252</v>
      </c>
    </row>
    <row r="2978" customFormat="false" ht="13.8" hidden="false" customHeight="false" outlineLevel="0" collapsed="false">
      <c r="A2978" s="0" t="s">
        <v>10253</v>
      </c>
      <c r="F2978" s="0" t="s">
        <v>40</v>
      </c>
      <c r="G2978" s="0" t="n">
        <v>0</v>
      </c>
      <c r="H2978" s="0" t="s">
        <v>10254</v>
      </c>
      <c r="J2978" s="0" t="s">
        <v>40</v>
      </c>
      <c r="K2978" s="0" t="str">
        <f aca="false">"3 %"</f>
        <v>3 %</v>
      </c>
      <c r="O2978" s="0" t="s">
        <v>10255</v>
      </c>
    </row>
    <row r="2979" customFormat="false" ht="13.8" hidden="false" customHeight="false" outlineLevel="0" collapsed="false">
      <c r="A2979" s="0" t="s">
        <v>10256</v>
      </c>
      <c r="F2979" s="0" t="s">
        <v>40</v>
      </c>
      <c r="G2979" s="0" t="n">
        <v>1</v>
      </c>
      <c r="H2979" s="0" t="s">
        <v>27</v>
      </c>
      <c r="J2979" s="0" t="s">
        <v>40</v>
      </c>
      <c r="K2979" s="0" t="str">
        <f aca="false">"4.6 %"</f>
        <v>4.6 %</v>
      </c>
      <c r="N2979" s="0" t="str">
        <f aca="false">"70 %"</f>
        <v>70 %</v>
      </c>
      <c r="O2979" s="0" t="s">
        <v>10257</v>
      </c>
    </row>
    <row r="2980" customFormat="false" ht="13.8" hidden="false" customHeight="false" outlineLevel="0" collapsed="false">
      <c r="A2980" s="0" t="s">
        <v>10258</v>
      </c>
      <c r="F2980" s="0" t="s">
        <v>40</v>
      </c>
      <c r="G2980" s="0" t="n">
        <v>1</v>
      </c>
      <c r="H2980" s="0" t="s">
        <v>27</v>
      </c>
      <c r="J2980" s="0" t="s">
        <v>28</v>
      </c>
      <c r="K2980" s="0" t="str">
        <f aca="false">"1.69 %"</f>
        <v>1.69 %</v>
      </c>
      <c r="O2980" s="0" t="s">
        <v>10259</v>
      </c>
    </row>
    <row r="2981" customFormat="false" ht="13.8" hidden="false" customHeight="false" outlineLevel="0" collapsed="false">
      <c r="A2981" s="0" t="s">
        <v>10258</v>
      </c>
      <c r="D2981" s="0" t="s">
        <v>10260</v>
      </c>
      <c r="E2981" s="0" t="s">
        <v>10261</v>
      </c>
      <c r="F2981" s="0" t="s">
        <v>10262</v>
      </c>
      <c r="G2981" s="0" t="n">
        <v>1</v>
      </c>
      <c r="H2981" s="0" t="s">
        <v>27</v>
      </c>
      <c r="J2981" s="0" t="s">
        <v>28</v>
      </c>
      <c r="O2981" s="0" t="s">
        <v>10263</v>
      </c>
    </row>
    <row r="2982" customFormat="false" ht="13.8" hidden="false" customHeight="false" outlineLevel="0" collapsed="false">
      <c r="A2982" s="0" t="s">
        <v>10264</v>
      </c>
      <c r="D2982" s="0" t="s">
        <v>10265</v>
      </c>
      <c r="E2982" s="0" t="s">
        <v>10266</v>
      </c>
      <c r="F2982" s="0" t="s">
        <v>10267</v>
      </c>
      <c r="G2982" s="0" t="n">
        <v>0</v>
      </c>
      <c r="J2982" s="0" t="s">
        <v>40</v>
      </c>
      <c r="K2982" s="0" t="str">
        <f aca="false">"8.38 %"</f>
        <v>8.38 %</v>
      </c>
      <c r="O2982" s="0" t="s">
        <v>10268</v>
      </c>
    </row>
    <row r="2983" customFormat="false" ht="13.8" hidden="false" customHeight="false" outlineLevel="0" collapsed="false">
      <c r="A2983" s="0" t="s">
        <v>10264</v>
      </c>
      <c r="D2983" s="0" t="s">
        <v>10269</v>
      </c>
      <c r="F2983" s="0" t="s">
        <v>10270</v>
      </c>
      <c r="G2983" s="0" t="n">
        <v>0</v>
      </c>
      <c r="J2983" s="0" t="s">
        <v>40</v>
      </c>
      <c r="K2983" s="0" t="str">
        <f aca="false">"9.18 %"</f>
        <v>9.18 %</v>
      </c>
      <c r="O2983" s="0" t="s">
        <v>10271</v>
      </c>
    </row>
    <row r="2984" customFormat="false" ht="13.8" hidden="false" customHeight="false" outlineLevel="0" collapsed="false">
      <c r="A2984" s="0" t="s">
        <v>10272</v>
      </c>
      <c r="D2984" s="0" t="s">
        <v>7687</v>
      </c>
      <c r="F2984" s="0" t="s">
        <v>40</v>
      </c>
      <c r="G2984" s="0" t="n">
        <v>0</v>
      </c>
      <c r="J2984" s="0" t="s">
        <v>40</v>
      </c>
      <c r="K2984" s="0" t="str">
        <f aca="false">"4.87 and 5.74 %"</f>
        <v>4.87 and 5.74 %</v>
      </c>
      <c r="O2984" s="0" t="s">
        <v>10273</v>
      </c>
    </row>
    <row r="2985" customFormat="false" ht="13.8" hidden="false" customHeight="false" outlineLevel="0" collapsed="false">
      <c r="A2985" s="0" t="s">
        <v>10274</v>
      </c>
      <c r="D2985" s="0" t="s">
        <v>85</v>
      </c>
      <c r="E2985" s="0" t="s">
        <v>86</v>
      </c>
      <c r="F2985" s="0" t="s">
        <v>87</v>
      </c>
      <c r="G2985" s="0" t="n">
        <v>0</v>
      </c>
      <c r="J2985" s="0" t="s">
        <v>40</v>
      </c>
      <c r="K2985" s="0" t="str">
        <f aca="false">"6 %"</f>
        <v>6 %</v>
      </c>
      <c r="O2985" s="0" t="s">
        <v>10275</v>
      </c>
    </row>
    <row r="2986" customFormat="false" ht="13.8" hidden="false" customHeight="false" outlineLevel="0" collapsed="false">
      <c r="A2986" s="0" t="s">
        <v>10276</v>
      </c>
      <c r="D2986" s="0" t="s">
        <v>10277</v>
      </c>
      <c r="F2986" s="0" t="s">
        <v>10278</v>
      </c>
      <c r="G2986" s="0" t="n">
        <v>0</v>
      </c>
      <c r="J2986" s="0" t="s">
        <v>40</v>
      </c>
      <c r="K2986" s="0" t="str">
        <f aca="false">"7.0 %"</f>
        <v>7.0 %</v>
      </c>
      <c r="O2986" s="0" t="s">
        <v>10279</v>
      </c>
    </row>
    <row r="2987" customFormat="false" ht="13.8" hidden="false" customHeight="false" outlineLevel="0" collapsed="false">
      <c r="A2987" s="0" t="s">
        <v>10280</v>
      </c>
      <c r="D2987" s="0" t="s">
        <v>10281</v>
      </c>
      <c r="F2987" s="0" t="s">
        <v>10282</v>
      </c>
      <c r="G2987" s="0" t="n">
        <v>0</v>
      </c>
      <c r="J2987" s="0" t="s">
        <v>40</v>
      </c>
      <c r="K2987" s="0" t="str">
        <f aca="false">"6.14 %"</f>
        <v>6.14 %</v>
      </c>
      <c r="O2987" s="0" t="s">
        <v>10283</v>
      </c>
    </row>
    <row r="2988" customFormat="false" ht="13.8" hidden="false" customHeight="false" outlineLevel="0" collapsed="false">
      <c r="A2988" s="0" t="s">
        <v>10284</v>
      </c>
      <c r="F2988" s="0" t="s">
        <v>40</v>
      </c>
      <c r="G2988" s="0" t="n">
        <v>1</v>
      </c>
      <c r="H2988" s="0" t="s">
        <v>27</v>
      </c>
      <c r="J2988" s="0" t="s">
        <v>28</v>
      </c>
      <c r="K2988" s="0" t="str">
        <f aca="false">"8.26 %"</f>
        <v>8.26 %</v>
      </c>
      <c r="O2988" s="0" t="s">
        <v>10285</v>
      </c>
    </row>
    <row r="2989" customFormat="false" ht="13.8" hidden="false" customHeight="false" outlineLevel="0" collapsed="false">
      <c r="A2989" s="0" t="s">
        <v>10284</v>
      </c>
      <c r="D2989" s="0" t="s">
        <v>10286</v>
      </c>
      <c r="F2989" s="0" t="s">
        <v>10287</v>
      </c>
      <c r="G2989" s="0" t="n">
        <v>1</v>
      </c>
      <c r="H2989" s="0" t="s">
        <v>27</v>
      </c>
      <c r="J2989" s="0" t="s">
        <v>28</v>
      </c>
      <c r="K2989" s="0" t="str">
        <f aca="false">"6.88 %"</f>
        <v>6.88 %</v>
      </c>
      <c r="O2989" s="0" t="s">
        <v>10288</v>
      </c>
    </row>
    <row r="2990" customFormat="false" ht="13.8" hidden="false" customHeight="false" outlineLevel="0" collapsed="false">
      <c r="A2990" s="0" t="s">
        <v>10289</v>
      </c>
      <c r="D2990" s="0" t="s">
        <v>10290</v>
      </c>
      <c r="F2990" s="0" t="s">
        <v>40</v>
      </c>
      <c r="G2990" s="0" t="n">
        <v>0</v>
      </c>
      <c r="J2990" s="0" t="s">
        <v>40</v>
      </c>
      <c r="K2990" s="0" t="str">
        <f aca="false">"4.50 %"</f>
        <v>4.50 %</v>
      </c>
      <c r="L2990" s="0" t="str">
        <f aca="false">"0.91 V"</f>
        <v>0.91 V</v>
      </c>
      <c r="M2990" s="0" t="str">
        <f aca="false">"9.27 mA cm^{-2}"</f>
        <v>9.27 mA cm^{-2}</v>
      </c>
      <c r="N2990" s="0" t="str">
        <f aca="false">"0.51"</f>
        <v>0.51</v>
      </c>
      <c r="O2990" s="0" t="s">
        <v>10291</v>
      </c>
    </row>
    <row r="2991" customFormat="false" ht="13.8" hidden="false" customHeight="false" outlineLevel="0" collapsed="false">
      <c r="A2991" s="0" t="s">
        <v>10292</v>
      </c>
      <c r="D2991" s="0" t="s">
        <v>3815</v>
      </c>
      <c r="F2991" s="0" t="s">
        <v>10293</v>
      </c>
      <c r="G2991" s="0" t="n">
        <v>0</v>
      </c>
      <c r="J2991" s="0" t="s">
        <v>40</v>
      </c>
      <c r="K2991" s="0" t="str">
        <f aca="false">"7.29 %"</f>
        <v>7.29 %</v>
      </c>
      <c r="O2991" s="0" t="s">
        <v>10294</v>
      </c>
    </row>
    <row r="2992" customFormat="false" ht="13.8" hidden="false" customHeight="false" outlineLevel="0" collapsed="false">
      <c r="A2992" s="0" t="s">
        <v>10295</v>
      </c>
      <c r="D2992" s="0" t="s">
        <v>10296</v>
      </c>
      <c r="F2992" s="0" t="s">
        <v>10297</v>
      </c>
      <c r="G2992" s="0" t="n">
        <v>0</v>
      </c>
      <c r="J2992" s="0" t="s">
        <v>40</v>
      </c>
      <c r="K2992" s="0" t="str">
        <f aca="false">"2.15 %"</f>
        <v>2.15 %</v>
      </c>
      <c r="O2992" s="0" t="s">
        <v>10298</v>
      </c>
    </row>
    <row r="2993" customFormat="false" ht="13.8" hidden="false" customHeight="false" outlineLevel="0" collapsed="false">
      <c r="A2993" s="0" t="s">
        <v>10299</v>
      </c>
      <c r="D2993" s="0" t="s">
        <v>10300</v>
      </c>
      <c r="F2993" s="0" t="s">
        <v>10301</v>
      </c>
      <c r="G2993" s="0" t="n">
        <v>0</v>
      </c>
      <c r="J2993" s="0" t="s">
        <v>40</v>
      </c>
      <c r="K2993" s="0" t="str">
        <f aca="false">"7.50 %"</f>
        <v>7.50 %</v>
      </c>
      <c r="M2993" s="0" t="str">
        <f aca="false">"14.3 mA/cm^{2}"</f>
        <v>14.3 mA/cm^{2}</v>
      </c>
      <c r="O2993" s="0" t="s">
        <v>10302</v>
      </c>
    </row>
    <row r="2994" customFormat="false" ht="13.8" hidden="false" customHeight="false" outlineLevel="0" collapsed="false">
      <c r="A2994" s="0" t="s">
        <v>10303</v>
      </c>
      <c r="D2994" s="0" t="s">
        <v>201</v>
      </c>
      <c r="E2994" s="0" t="s">
        <v>202</v>
      </c>
      <c r="F2994" s="0" t="s">
        <v>422</v>
      </c>
      <c r="G2994" s="0" t="n">
        <v>0</v>
      </c>
      <c r="J2994" s="0" t="s">
        <v>40</v>
      </c>
      <c r="K2994" s="0" t="str">
        <f aca="false">"2.72 %"</f>
        <v>2.72 %</v>
      </c>
      <c r="L2994" s="0" t="str">
        <f aca="false">"1.04 V"</f>
        <v>1.04 V</v>
      </c>
      <c r="O2994" s="0" t="s">
        <v>10304</v>
      </c>
    </row>
    <row r="2995" customFormat="false" ht="13.8" hidden="false" customHeight="false" outlineLevel="0" collapsed="false">
      <c r="A2995" s="0" t="s">
        <v>10305</v>
      </c>
      <c r="F2995" s="0" t="s">
        <v>40</v>
      </c>
      <c r="G2995" s="0" t="n">
        <v>1</v>
      </c>
      <c r="H2995" s="0" t="s">
        <v>27</v>
      </c>
      <c r="J2995" s="0" t="s">
        <v>28</v>
      </c>
      <c r="K2995" s="0" t="str">
        <f aca="false">"9.37 %"</f>
        <v>9.37 %</v>
      </c>
      <c r="O2995" s="0" t="s">
        <v>10306</v>
      </c>
    </row>
    <row r="2996" customFormat="false" ht="13.8" hidden="false" customHeight="false" outlineLevel="0" collapsed="false">
      <c r="A2996" s="0" t="s">
        <v>10307</v>
      </c>
      <c r="F2996" s="0" t="s">
        <v>40</v>
      </c>
      <c r="G2996" s="0" t="n">
        <v>1</v>
      </c>
      <c r="H2996" s="0" t="s">
        <v>27</v>
      </c>
      <c r="J2996" s="0" t="s">
        <v>28</v>
      </c>
      <c r="K2996" s="0" t="str">
        <f aca="false">"9.89 %"</f>
        <v>9.89 %</v>
      </c>
      <c r="O2996" s="0" t="s">
        <v>10308</v>
      </c>
    </row>
    <row r="2997" customFormat="false" ht="13.8" hidden="false" customHeight="false" outlineLevel="0" collapsed="false">
      <c r="A2997" s="0" t="s">
        <v>10309</v>
      </c>
      <c r="D2997" s="0" t="s">
        <v>441</v>
      </c>
      <c r="F2997" s="0" t="s">
        <v>443</v>
      </c>
      <c r="G2997" s="0" t="n">
        <v>0</v>
      </c>
      <c r="J2997" s="0" t="s">
        <v>40</v>
      </c>
      <c r="K2997" s="0" t="str">
        <f aca="false">"1.92 %"</f>
        <v>1.92 %</v>
      </c>
      <c r="O2997" s="0" t="s">
        <v>10310</v>
      </c>
    </row>
    <row r="2998" customFormat="false" ht="13.8" hidden="false" customHeight="false" outlineLevel="0" collapsed="false">
      <c r="A2998" s="0" t="s">
        <v>10311</v>
      </c>
      <c r="D2998" s="0" t="s">
        <v>10312</v>
      </c>
      <c r="E2998" s="0" t="s">
        <v>3503</v>
      </c>
      <c r="F2998" s="0" t="s">
        <v>10313</v>
      </c>
      <c r="G2998" s="0" t="n">
        <v>0</v>
      </c>
      <c r="J2998" s="0" t="s">
        <v>40</v>
      </c>
      <c r="K2998" s="0" t="str">
        <f aca="false">"92 %"</f>
        <v>92 %</v>
      </c>
      <c r="O2998" s="0" t="s">
        <v>10314</v>
      </c>
    </row>
    <row r="2999" customFormat="false" ht="13.8" hidden="false" customHeight="false" outlineLevel="0" collapsed="false">
      <c r="A2999" s="0" t="s">
        <v>10315</v>
      </c>
      <c r="D2999" s="0" t="s">
        <v>10316</v>
      </c>
      <c r="F2999" s="0" t="s">
        <v>10317</v>
      </c>
      <c r="G2999" s="0" t="n">
        <v>0</v>
      </c>
      <c r="J2999" s="0" t="s">
        <v>40</v>
      </c>
      <c r="K2999" s="0" t="str">
        <f aca="false">"8.18 %"</f>
        <v>8.18 %</v>
      </c>
      <c r="O2999" s="0" t="s">
        <v>10318</v>
      </c>
    </row>
    <row r="3000" customFormat="false" ht="13.8" hidden="false" customHeight="false" outlineLevel="0" collapsed="false">
      <c r="A3000" s="0" t="s">
        <v>10319</v>
      </c>
      <c r="D3000" s="0" t="s">
        <v>1341</v>
      </c>
      <c r="E3000" s="0" t="s">
        <v>1342</v>
      </c>
      <c r="F3000" s="0" t="s">
        <v>1343</v>
      </c>
      <c r="G3000" s="0" t="n">
        <v>0</v>
      </c>
      <c r="J3000" s="0" t="s">
        <v>40</v>
      </c>
      <c r="K3000" s="0" t="str">
        <f aca="false">"7.57 %"</f>
        <v>7.57 %</v>
      </c>
      <c r="O3000" s="0" t="s">
        <v>10320</v>
      </c>
    </row>
    <row r="3001" customFormat="false" ht="13.8" hidden="false" customHeight="false" outlineLevel="0" collapsed="false">
      <c r="A3001" s="0" t="s">
        <v>10321</v>
      </c>
      <c r="D3001" s="0" t="s">
        <v>10322</v>
      </c>
      <c r="E3001" s="0" t="s">
        <v>10323</v>
      </c>
      <c r="F3001" s="0" t="s">
        <v>10324</v>
      </c>
      <c r="G3001" s="0" t="n">
        <v>0</v>
      </c>
      <c r="J3001" s="0" t="s">
        <v>40</v>
      </c>
      <c r="K3001" s="0" t="str">
        <f aca="false">"8.55 %"</f>
        <v>8.55 %</v>
      </c>
      <c r="L3001" s="0" t="str">
        <f aca="false">"0.90 V"</f>
        <v>0.90 V</v>
      </c>
      <c r="O3001" s="0" t="s">
        <v>10325</v>
      </c>
    </row>
    <row r="3002" customFormat="false" ht="13.8" hidden="false" customHeight="false" outlineLevel="0" collapsed="false">
      <c r="A3002" s="0" t="s">
        <v>10326</v>
      </c>
      <c r="D3002" s="0" t="s">
        <v>10327</v>
      </c>
      <c r="F3002" s="0" t="s">
        <v>10328</v>
      </c>
      <c r="G3002" s="0" t="n">
        <v>0</v>
      </c>
      <c r="J3002" s="0" t="s">
        <v>40</v>
      </c>
      <c r="K3002" s="0" t="str">
        <f aca="false">"10.08 %"</f>
        <v>10.08 %</v>
      </c>
      <c r="O3002" s="0" t="s">
        <v>10329</v>
      </c>
    </row>
    <row r="3003" customFormat="false" ht="13.8" hidden="false" customHeight="false" outlineLevel="0" collapsed="false">
      <c r="A3003" s="0" t="s">
        <v>10326</v>
      </c>
      <c r="D3003" s="0" t="s">
        <v>10330</v>
      </c>
      <c r="F3003" s="0" t="s">
        <v>10331</v>
      </c>
      <c r="G3003" s="0" t="n">
        <v>0</v>
      </c>
      <c r="J3003" s="0" t="s">
        <v>40</v>
      </c>
      <c r="L3003" s="0" t="str">
        <f aca="false">"0.76 V"</f>
        <v>0.76 V</v>
      </c>
      <c r="M3003" s="0" t="str">
        <f aca="false">"18.30 mA cm^{-2}"</f>
        <v>18.30 mA cm^{-2}</v>
      </c>
      <c r="O3003" s="0" t="s">
        <v>10332</v>
      </c>
    </row>
    <row r="3004" customFormat="false" ht="13.8" hidden="false" customHeight="false" outlineLevel="0" collapsed="false">
      <c r="A3004" s="0" t="s">
        <v>10333</v>
      </c>
      <c r="D3004" s="0" t="s">
        <v>10334</v>
      </c>
      <c r="F3004" s="0" t="s">
        <v>10335</v>
      </c>
      <c r="G3004" s="0" t="n">
        <v>0</v>
      </c>
      <c r="J3004" s="0" t="s">
        <v>40</v>
      </c>
      <c r="K3004" s="0" t="str">
        <f aca="false">"2.6 %"</f>
        <v>2.6 %</v>
      </c>
      <c r="L3004" s="0" t="str">
        <f aca="false">"0.49 V"</f>
        <v>0.49 V</v>
      </c>
      <c r="O3004" s="0" t="s">
        <v>10336</v>
      </c>
    </row>
    <row r="3005" customFormat="false" ht="13.8" hidden="false" customHeight="false" outlineLevel="0" collapsed="false">
      <c r="A3005" s="0" t="s">
        <v>10337</v>
      </c>
      <c r="D3005" s="0" t="s">
        <v>10338</v>
      </c>
      <c r="F3005" s="0" t="s">
        <v>10339</v>
      </c>
      <c r="G3005" s="0" t="n">
        <v>0</v>
      </c>
      <c r="J3005" s="0" t="s">
        <v>40</v>
      </c>
      <c r="K3005" s="0" t="str">
        <f aca="false">"3.6 %"</f>
        <v>3.6 %</v>
      </c>
      <c r="L3005" s="0" t="str">
        <f aca="false">"0.88 V"</f>
        <v>0.88 V</v>
      </c>
      <c r="M3005" s="0" t="str">
        <f aca="false">"8.9 mA cm^{-2}"</f>
        <v>8.9 mA cm^{-2}</v>
      </c>
      <c r="N3005" s="0" t="str">
        <f aca="false">"45.7 %"</f>
        <v>45.7 %</v>
      </c>
      <c r="O3005" s="0" t="s">
        <v>10340</v>
      </c>
    </row>
    <row r="3006" customFormat="false" ht="13.8" hidden="false" customHeight="false" outlineLevel="0" collapsed="false">
      <c r="A3006" s="0" t="s">
        <v>10337</v>
      </c>
      <c r="D3006" s="0" t="s">
        <v>10341</v>
      </c>
      <c r="F3006" s="0" t="s">
        <v>10342</v>
      </c>
      <c r="G3006" s="0" t="n">
        <v>0</v>
      </c>
      <c r="J3006" s="0" t="s">
        <v>40</v>
      </c>
      <c r="K3006" s="0" t="str">
        <f aca="false">"3.9 %"</f>
        <v>3.9 %</v>
      </c>
      <c r="O3006" s="0" t="s">
        <v>10343</v>
      </c>
    </row>
    <row r="3007" customFormat="false" ht="13.8" hidden="false" customHeight="false" outlineLevel="0" collapsed="false">
      <c r="A3007" s="0" t="s">
        <v>10344</v>
      </c>
      <c r="F3007" s="0" t="s">
        <v>40</v>
      </c>
      <c r="G3007" s="0" t="n">
        <v>1</v>
      </c>
      <c r="H3007" s="0" t="s">
        <v>27</v>
      </c>
      <c r="J3007" s="0" t="s">
        <v>28</v>
      </c>
      <c r="K3007" s="0" t="str">
        <f aca="false">"4.20 %"</f>
        <v>4.20 %</v>
      </c>
      <c r="L3007" s="0" t="str">
        <f aca="false">"0.96 V"</f>
        <v>0.96 V</v>
      </c>
      <c r="O3007" s="0" t="s">
        <v>10345</v>
      </c>
    </row>
    <row r="3008" customFormat="false" ht="13.8" hidden="false" customHeight="false" outlineLevel="0" collapsed="false">
      <c r="A3008" s="0" t="s">
        <v>10346</v>
      </c>
      <c r="D3008" s="0" t="s">
        <v>10347</v>
      </c>
      <c r="E3008" s="0" t="s">
        <v>3788</v>
      </c>
      <c r="F3008" s="0" t="s">
        <v>10348</v>
      </c>
      <c r="G3008" s="0" t="n">
        <v>0</v>
      </c>
      <c r="J3008" s="0" t="s">
        <v>40</v>
      </c>
      <c r="K3008" s="0" t="str">
        <f aca="false">"9.5 %"</f>
        <v>9.5 %</v>
      </c>
      <c r="O3008" s="0" t="s">
        <v>10349</v>
      </c>
    </row>
    <row r="3009" customFormat="false" ht="13.8" hidden="false" customHeight="false" outlineLevel="0" collapsed="false">
      <c r="A3009" s="0" t="s">
        <v>10350</v>
      </c>
      <c r="F3009" s="0" t="s">
        <v>40</v>
      </c>
      <c r="G3009" s="0" t="n">
        <v>1</v>
      </c>
      <c r="H3009" s="0" t="s">
        <v>27</v>
      </c>
      <c r="J3009" s="0" t="s">
        <v>28</v>
      </c>
      <c r="K3009" s="0" t="str">
        <f aca="false">"~5.5 %"</f>
        <v>~5.5 %</v>
      </c>
      <c r="L3009" s="0" t="str">
        <f aca="false">"~0.80-0.84 V"</f>
        <v>~0.80-0.84 V</v>
      </c>
      <c r="M3009" s="0" t="str">
        <f aca="false">"~12 mA cm^{-2}"</f>
        <v>~12 mA cm^{-2}</v>
      </c>
      <c r="N3009" s="0" t="str">
        <f aca="false">"~0.70"</f>
        <v>~0.70</v>
      </c>
      <c r="O3009" s="0" t="s">
        <v>10351</v>
      </c>
    </row>
    <row r="3010" customFormat="false" ht="13.8" hidden="false" customHeight="false" outlineLevel="0" collapsed="false">
      <c r="A3010" s="0" t="s">
        <v>10352</v>
      </c>
      <c r="F3010" s="0" t="s">
        <v>40</v>
      </c>
      <c r="G3010" s="0" t="n">
        <v>1</v>
      </c>
      <c r="H3010" s="0" t="s">
        <v>33</v>
      </c>
      <c r="J3010" s="0" t="s">
        <v>60</v>
      </c>
      <c r="K3010" s="0" t="str">
        <f aca="false">"0.44 %"</f>
        <v>0.44 %</v>
      </c>
      <c r="L3010" s="0" t="str">
        <f aca="false">"0.86 V"</f>
        <v>0.86 V</v>
      </c>
      <c r="M3010" s="0" t="str">
        <f aca="false">"1.4 mA cm^{-2}"</f>
        <v>1.4 mA cm^{-2}</v>
      </c>
      <c r="N3010" s="0" t="str">
        <f aca="false">"37 %"</f>
        <v>37 %</v>
      </c>
      <c r="O3010" s="0" t="s">
        <v>10353</v>
      </c>
    </row>
    <row r="3011" customFormat="false" ht="13.8" hidden="false" customHeight="false" outlineLevel="0" collapsed="false">
      <c r="A3011" s="0" t="s">
        <v>10354</v>
      </c>
      <c r="D3011" s="0" t="s">
        <v>1929</v>
      </c>
      <c r="F3011" s="0" t="s">
        <v>40</v>
      </c>
      <c r="G3011" s="0" t="n">
        <v>0</v>
      </c>
      <c r="J3011" s="0" t="s">
        <v>40</v>
      </c>
      <c r="K3011" s="0" t="str">
        <f aca="false">"1.5 %"</f>
        <v>1.5 %</v>
      </c>
      <c r="O3011" s="0" t="s">
        <v>10355</v>
      </c>
    </row>
    <row r="3012" customFormat="false" ht="13.8" hidden="false" customHeight="false" outlineLevel="0" collapsed="false">
      <c r="A3012" s="0" t="s">
        <v>10356</v>
      </c>
      <c r="D3012" s="0" t="s">
        <v>10143</v>
      </c>
      <c r="E3012" s="0" t="s">
        <v>17</v>
      </c>
      <c r="F3012" s="0" t="s">
        <v>10144</v>
      </c>
      <c r="G3012" s="0" t="n">
        <v>0</v>
      </c>
      <c r="J3012" s="0" t="s">
        <v>40</v>
      </c>
      <c r="K3012" s="0" t="str">
        <f aca="false">"1.63 %"</f>
        <v>1.63 %</v>
      </c>
      <c r="O3012" s="0" t="s">
        <v>10357</v>
      </c>
    </row>
    <row r="3013" customFormat="false" ht="13.8" hidden="false" customHeight="false" outlineLevel="0" collapsed="false">
      <c r="A3013" s="0" t="s">
        <v>10358</v>
      </c>
      <c r="F3013" s="0" t="s">
        <v>40</v>
      </c>
      <c r="G3013" s="0" t="n">
        <v>1</v>
      </c>
      <c r="H3013" s="0" t="s">
        <v>27</v>
      </c>
      <c r="J3013" s="0" t="s">
        <v>28</v>
      </c>
      <c r="K3013" s="0" t="str">
        <f aca="false">"2.62 %"</f>
        <v>2.62 %</v>
      </c>
      <c r="L3013" s="0" t="str">
        <f aca="false">"0.84 V"</f>
        <v>0.84 V</v>
      </c>
      <c r="O3013" s="0" t="s">
        <v>10359</v>
      </c>
    </row>
    <row r="3014" customFormat="false" ht="13.8" hidden="false" customHeight="false" outlineLevel="0" collapsed="false">
      <c r="A3014" s="0" t="s">
        <v>10360</v>
      </c>
      <c r="D3014" s="0" t="s">
        <v>208</v>
      </c>
      <c r="E3014" s="0" t="s">
        <v>17</v>
      </c>
      <c r="F3014" s="0" t="s">
        <v>209</v>
      </c>
      <c r="G3014" s="0" t="n">
        <v>0</v>
      </c>
      <c r="J3014" s="0" t="s">
        <v>40</v>
      </c>
      <c r="K3014" s="0" t="str">
        <f aca="false">"&lt; = 0.38 %"</f>
        <v>&lt; = 0.38 %</v>
      </c>
      <c r="O3014" s="0" t="s">
        <v>10361</v>
      </c>
    </row>
    <row r="3015" customFormat="false" ht="13.8" hidden="false" customHeight="false" outlineLevel="0" collapsed="false">
      <c r="A3015" s="0" t="s">
        <v>10362</v>
      </c>
      <c r="D3015" s="0" t="s">
        <v>10363</v>
      </c>
      <c r="F3015" s="0" t="s">
        <v>10364</v>
      </c>
      <c r="G3015" s="0" t="n">
        <v>0</v>
      </c>
      <c r="J3015" s="0" t="s">
        <v>40</v>
      </c>
      <c r="L3015" s="0" t="str">
        <f aca="false">"0.77 V"</f>
        <v>0.77 V</v>
      </c>
      <c r="O3015" s="0" t="s">
        <v>10365</v>
      </c>
    </row>
    <row r="3016" customFormat="false" ht="13.8" hidden="false" customHeight="false" outlineLevel="0" collapsed="false">
      <c r="A3016" s="0" t="s">
        <v>10362</v>
      </c>
      <c r="D3016" s="0" t="s">
        <v>10366</v>
      </c>
      <c r="F3016" s="0" t="s">
        <v>10367</v>
      </c>
      <c r="G3016" s="0" t="n">
        <v>0</v>
      </c>
      <c r="J3016" s="0" t="s">
        <v>40</v>
      </c>
      <c r="M3016" s="0" t="str">
        <f aca="false">"13.44 mA cm^{-2}"</f>
        <v>13.44 mA cm^{-2}</v>
      </c>
      <c r="O3016" s="0" t="s">
        <v>10368</v>
      </c>
    </row>
    <row r="3017" customFormat="false" ht="13.8" hidden="false" customHeight="false" outlineLevel="0" collapsed="false">
      <c r="A3017" s="0" t="s">
        <v>10362</v>
      </c>
      <c r="D3017" s="0" t="s">
        <v>10369</v>
      </c>
      <c r="F3017" s="0" t="s">
        <v>10370</v>
      </c>
      <c r="G3017" s="0" t="n">
        <v>0</v>
      </c>
      <c r="J3017" s="0" t="s">
        <v>40</v>
      </c>
      <c r="K3017" s="0" t="str">
        <f aca="false">"6.39 %"</f>
        <v>6.39 %</v>
      </c>
      <c r="O3017" s="0" t="s">
        <v>10371</v>
      </c>
    </row>
    <row r="3018" customFormat="false" ht="13.8" hidden="false" customHeight="false" outlineLevel="0" collapsed="false">
      <c r="A3018" s="0" t="s">
        <v>10372</v>
      </c>
      <c r="D3018" s="0" t="s">
        <v>10373</v>
      </c>
      <c r="F3018" s="0" t="s">
        <v>10374</v>
      </c>
      <c r="G3018" s="0" t="n">
        <v>0</v>
      </c>
      <c r="J3018" s="0" t="s">
        <v>40</v>
      </c>
      <c r="K3018" s="0" t="str">
        <f aca="false">"1.31 %"</f>
        <v>1.31 %</v>
      </c>
      <c r="L3018" s="0" t="str">
        <f aca="false">"0.81 V"</f>
        <v>0.81 V</v>
      </c>
      <c r="O3018" s="0" t="s">
        <v>10375</v>
      </c>
    </row>
    <row r="3019" customFormat="false" ht="13.8" hidden="false" customHeight="false" outlineLevel="0" collapsed="false">
      <c r="A3019" s="0" t="s">
        <v>10376</v>
      </c>
      <c r="D3019" s="0" t="s">
        <v>10377</v>
      </c>
      <c r="F3019" s="0" t="s">
        <v>10378</v>
      </c>
      <c r="G3019" s="0" t="n">
        <v>0</v>
      </c>
      <c r="J3019" s="0" t="s">
        <v>40</v>
      </c>
      <c r="K3019" s="0" t="str">
        <f aca="false">"4.50 %"</f>
        <v>4.50 %</v>
      </c>
      <c r="O3019" s="0" t="s">
        <v>10379</v>
      </c>
    </row>
    <row r="3020" customFormat="false" ht="13.8" hidden="false" customHeight="false" outlineLevel="0" collapsed="false">
      <c r="A3020" s="0" t="s">
        <v>10380</v>
      </c>
      <c r="F3020" s="0" t="s">
        <v>40</v>
      </c>
      <c r="G3020" s="0" t="n">
        <v>1</v>
      </c>
      <c r="H3020" s="0" t="s">
        <v>27</v>
      </c>
      <c r="J3020" s="0" t="s">
        <v>28</v>
      </c>
      <c r="K3020" s="0" t="str">
        <f aca="false">"3.4 %"</f>
        <v>3.4 %</v>
      </c>
      <c r="O3020" s="0" t="s">
        <v>10381</v>
      </c>
    </row>
    <row r="3021" customFormat="false" ht="13.8" hidden="false" customHeight="false" outlineLevel="0" collapsed="false">
      <c r="A3021" s="0" t="s">
        <v>10382</v>
      </c>
      <c r="F3021" s="0" t="s">
        <v>40</v>
      </c>
      <c r="G3021" s="0" t="n">
        <v>1</v>
      </c>
      <c r="H3021" s="0" t="s">
        <v>27</v>
      </c>
      <c r="J3021" s="0" t="s">
        <v>28</v>
      </c>
      <c r="L3021" s="0" t="str">
        <f aca="false">"1.0 V"</f>
        <v>1.0 V</v>
      </c>
      <c r="O3021" s="0" t="s">
        <v>10383</v>
      </c>
    </row>
    <row r="3022" customFormat="false" ht="13.8" hidden="false" customHeight="false" outlineLevel="0" collapsed="false">
      <c r="A3022" s="0" t="s">
        <v>10382</v>
      </c>
      <c r="D3022" s="0" t="s">
        <v>10384</v>
      </c>
      <c r="F3022" s="0" t="s">
        <v>10385</v>
      </c>
      <c r="G3022" s="0" t="n">
        <v>1</v>
      </c>
      <c r="H3022" s="0" t="s">
        <v>27</v>
      </c>
      <c r="J3022" s="0" t="s">
        <v>28</v>
      </c>
      <c r="K3022" s="0" t="str">
        <f aca="false">"4.9 %"</f>
        <v>4.9 %</v>
      </c>
      <c r="O3022" s="0" t="s">
        <v>10386</v>
      </c>
    </row>
    <row r="3023" customFormat="false" ht="13.8" hidden="false" customHeight="false" outlineLevel="0" collapsed="false">
      <c r="A3023" s="0" t="s">
        <v>10387</v>
      </c>
      <c r="F3023" s="0" t="s">
        <v>40</v>
      </c>
      <c r="G3023" s="0" t="n">
        <v>1</v>
      </c>
      <c r="H3023" s="0" t="s">
        <v>66</v>
      </c>
      <c r="J3023" s="0" t="s">
        <v>67</v>
      </c>
      <c r="K3023" s="0" t="str">
        <f aca="false">"2.16 %"</f>
        <v>2.16 %</v>
      </c>
      <c r="L3023" s="0" t="str">
        <f aca="false">"1.03 V"</f>
        <v>1.03 V</v>
      </c>
      <c r="O3023" s="0" t="s">
        <v>10388</v>
      </c>
    </row>
    <row r="3024" customFormat="false" ht="13.8" hidden="false" customHeight="false" outlineLevel="0" collapsed="false">
      <c r="A3024" s="0" t="s">
        <v>10389</v>
      </c>
      <c r="F3024" s="0" t="s">
        <v>40</v>
      </c>
      <c r="G3024" s="0" t="n">
        <v>1</v>
      </c>
      <c r="H3024" s="0" t="s">
        <v>27</v>
      </c>
      <c r="J3024" s="0" t="s">
        <v>1799</v>
      </c>
      <c r="K3024" s="0" t="str">
        <f aca="false">"1.7 %"</f>
        <v>1.7 %</v>
      </c>
      <c r="M3024" s="0" t="str">
        <f aca="false">"4.5 mA cm^{-2}"</f>
        <v>4.5 mA cm^{-2}</v>
      </c>
      <c r="O3024" s="0" t="s">
        <v>10390</v>
      </c>
    </row>
    <row r="3025" customFormat="false" ht="13.8" hidden="false" customHeight="false" outlineLevel="0" collapsed="false">
      <c r="A3025" s="0" t="s">
        <v>10389</v>
      </c>
      <c r="D3025" s="0" t="s">
        <v>10391</v>
      </c>
      <c r="F3025" s="0" t="s">
        <v>10392</v>
      </c>
      <c r="G3025" s="0" t="n">
        <v>1</v>
      </c>
      <c r="H3025" s="0" t="s">
        <v>27</v>
      </c>
      <c r="J3025" s="0" t="s">
        <v>1799</v>
      </c>
      <c r="K3025" s="0" t="str">
        <f aca="false">"1.4 %"</f>
        <v>1.4 %</v>
      </c>
      <c r="N3025" s="0" t="str">
        <f aca="false">"0.62"</f>
        <v>0.62</v>
      </c>
      <c r="O3025" s="0" t="s">
        <v>10393</v>
      </c>
    </row>
    <row r="3026" customFormat="false" ht="13.8" hidden="false" customHeight="false" outlineLevel="0" collapsed="false">
      <c r="A3026" s="0" t="s">
        <v>10394</v>
      </c>
      <c r="D3026" s="0" t="s">
        <v>10395</v>
      </c>
      <c r="F3026" s="0" t="s">
        <v>10396</v>
      </c>
      <c r="G3026" s="0" t="n">
        <v>0</v>
      </c>
      <c r="J3026" s="0" t="s">
        <v>40</v>
      </c>
      <c r="K3026" s="0" t="str">
        <f aca="false">"4 %"</f>
        <v>4 %</v>
      </c>
      <c r="O3026" s="0" t="s">
        <v>10397</v>
      </c>
    </row>
    <row r="3027" customFormat="false" ht="13.8" hidden="false" customHeight="false" outlineLevel="0" collapsed="false">
      <c r="A3027" s="0" t="s">
        <v>10398</v>
      </c>
      <c r="F3027" s="0" t="s">
        <v>40</v>
      </c>
      <c r="G3027" s="0" t="n">
        <v>1</v>
      </c>
      <c r="H3027" s="0" t="s">
        <v>33</v>
      </c>
      <c r="J3027" s="0" t="s">
        <v>398</v>
      </c>
      <c r="O3027" s="0" t="s">
        <v>10399</v>
      </c>
    </row>
    <row r="3028" customFormat="false" ht="13.8" hidden="false" customHeight="false" outlineLevel="0" collapsed="false">
      <c r="A3028" s="0" t="s">
        <v>10400</v>
      </c>
      <c r="F3028" s="0" t="s">
        <v>40</v>
      </c>
      <c r="G3028" s="0" t="n">
        <v>1</v>
      </c>
      <c r="H3028" s="0" t="s">
        <v>76</v>
      </c>
      <c r="J3028" s="0" t="s">
        <v>77</v>
      </c>
      <c r="K3028" s="0" t="str">
        <f aca="false">"3.12 %"</f>
        <v>3.12 %</v>
      </c>
      <c r="L3028" s="0" t="str">
        <f aca="false">"0.80 V"</f>
        <v>0.80 V</v>
      </c>
      <c r="O3028" s="0" t="s">
        <v>10401</v>
      </c>
    </row>
    <row r="3029" customFormat="false" ht="13.8" hidden="false" customHeight="false" outlineLevel="0" collapsed="false">
      <c r="A3029" s="0" t="s">
        <v>10402</v>
      </c>
      <c r="D3029" s="0" t="s">
        <v>124</v>
      </c>
      <c r="F3029" s="0" t="s">
        <v>427</v>
      </c>
      <c r="G3029" s="0" t="n">
        <v>0</v>
      </c>
      <c r="J3029" s="0" t="s">
        <v>40</v>
      </c>
      <c r="K3029" s="0" t="str">
        <f aca="false">"4.88 %"</f>
        <v>4.88 %</v>
      </c>
      <c r="L3029" s="0" t="str">
        <f aca="false">"0.71 V"</f>
        <v>0.71 V</v>
      </c>
      <c r="M3029" s="0" t="str">
        <f aca="false">"13.52 mA cm^{-2}"</f>
        <v>13.52 mA cm^{-2}</v>
      </c>
      <c r="N3029" s="0" t="str">
        <f aca="false">"0.51"</f>
        <v>0.51</v>
      </c>
      <c r="O3029" s="0" t="s">
        <v>10403</v>
      </c>
    </row>
    <row r="3030" customFormat="false" ht="13.8" hidden="false" customHeight="false" outlineLevel="0" collapsed="false">
      <c r="A3030" s="0" t="s">
        <v>10404</v>
      </c>
      <c r="F3030" s="0" t="s">
        <v>40</v>
      </c>
      <c r="G3030" s="0" t="n">
        <v>1</v>
      </c>
      <c r="H3030" s="0" t="s">
        <v>758</v>
      </c>
      <c r="J3030" s="0" t="s">
        <v>759</v>
      </c>
      <c r="K3030" s="0" t="str">
        <f aca="false">"5.05 %"</f>
        <v>5.05 %</v>
      </c>
      <c r="O3030" s="0" t="s">
        <v>10405</v>
      </c>
    </row>
    <row r="3031" customFormat="false" ht="13.8" hidden="false" customHeight="false" outlineLevel="0" collapsed="false">
      <c r="A3031" s="0" t="s">
        <v>10404</v>
      </c>
      <c r="D3031" s="0" t="s">
        <v>10406</v>
      </c>
      <c r="F3031" s="0" t="s">
        <v>10407</v>
      </c>
      <c r="G3031" s="0" t="n">
        <v>1</v>
      </c>
      <c r="H3031" s="0" t="s">
        <v>758</v>
      </c>
      <c r="J3031" s="0" t="s">
        <v>759</v>
      </c>
      <c r="O3031" s="0" t="s">
        <v>10408</v>
      </c>
    </row>
    <row r="3032" customFormat="false" ht="13.8" hidden="false" customHeight="false" outlineLevel="0" collapsed="false">
      <c r="A3032" s="0" t="s">
        <v>10409</v>
      </c>
      <c r="F3032" s="0" t="s">
        <v>40</v>
      </c>
      <c r="G3032" s="0" t="n">
        <v>1</v>
      </c>
      <c r="H3032" s="0" t="s">
        <v>76</v>
      </c>
      <c r="J3032" s="0" t="s">
        <v>77</v>
      </c>
      <c r="K3032" s="0" t="str">
        <f aca="false">"5.72 %"</f>
        <v>5.72 %</v>
      </c>
      <c r="O3032" s="0" t="s">
        <v>10410</v>
      </c>
    </row>
    <row r="3033" customFormat="false" ht="13.8" hidden="false" customHeight="false" outlineLevel="0" collapsed="false">
      <c r="A3033" s="0" t="s">
        <v>10409</v>
      </c>
      <c r="D3033" s="0" t="s">
        <v>10411</v>
      </c>
      <c r="F3033" s="0" t="s">
        <v>10412</v>
      </c>
      <c r="G3033" s="0" t="n">
        <v>1</v>
      </c>
      <c r="H3033" s="0" t="s">
        <v>76</v>
      </c>
      <c r="J3033" s="0" t="s">
        <v>77</v>
      </c>
      <c r="K3033" s="0" t="str">
        <f aca="false">"1.16 %"</f>
        <v>1.16 %</v>
      </c>
      <c r="M3033" s="0" t="str">
        <f aca="false">"2.51 mA cm^{-2}"</f>
        <v>2.51 mA cm^{-2}</v>
      </c>
      <c r="O3033" s="0" t="s">
        <v>10413</v>
      </c>
    </row>
    <row r="3034" customFormat="false" ht="13.8" hidden="false" customHeight="false" outlineLevel="0" collapsed="false">
      <c r="A3034" s="0" t="s">
        <v>10414</v>
      </c>
      <c r="F3034" s="0" t="s">
        <v>40</v>
      </c>
      <c r="G3034" s="0" t="n">
        <v>1</v>
      </c>
      <c r="H3034" s="0" t="s">
        <v>27</v>
      </c>
      <c r="J3034" s="0" t="s">
        <v>28</v>
      </c>
      <c r="K3034" s="0" t="str">
        <f aca="false">"4.8 %"</f>
        <v>4.8 %</v>
      </c>
      <c r="O3034" s="0" t="s">
        <v>10415</v>
      </c>
    </row>
    <row r="3035" customFormat="false" ht="13.8" hidden="false" customHeight="false" outlineLevel="0" collapsed="false">
      <c r="A3035" s="0" t="s">
        <v>10414</v>
      </c>
      <c r="D3035" s="0" t="s">
        <v>10416</v>
      </c>
      <c r="F3035" s="0" t="s">
        <v>10417</v>
      </c>
      <c r="G3035" s="0" t="n">
        <v>1</v>
      </c>
      <c r="H3035" s="0" t="s">
        <v>27</v>
      </c>
      <c r="J3035" s="0" t="s">
        <v>28</v>
      </c>
      <c r="O3035" s="0" t="s">
        <v>10418</v>
      </c>
    </row>
    <row r="3036" customFormat="false" ht="13.8" hidden="false" customHeight="false" outlineLevel="0" collapsed="false">
      <c r="A3036" s="0" t="s">
        <v>10419</v>
      </c>
      <c r="D3036" s="0" t="s">
        <v>6362</v>
      </c>
      <c r="F3036" s="0" t="s">
        <v>6776</v>
      </c>
      <c r="G3036" s="0" t="n">
        <v>0</v>
      </c>
      <c r="J3036" s="0" t="s">
        <v>40</v>
      </c>
      <c r="K3036" s="0" t="str">
        <f aca="false">"2 %"</f>
        <v>2 %</v>
      </c>
      <c r="O3036" s="0" t="s">
        <v>10420</v>
      </c>
    </row>
    <row r="3037" customFormat="false" ht="13.8" hidden="false" customHeight="false" outlineLevel="0" collapsed="false">
      <c r="A3037" s="0" t="s">
        <v>10421</v>
      </c>
      <c r="D3037" s="0" t="s">
        <v>10422</v>
      </c>
      <c r="F3037" s="0" t="s">
        <v>10423</v>
      </c>
      <c r="G3037" s="0" t="n">
        <v>0</v>
      </c>
      <c r="J3037" s="0" t="s">
        <v>40</v>
      </c>
      <c r="K3037" s="0" t="str">
        <f aca="false">"8.32 %"</f>
        <v>8.32 %</v>
      </c>
      <c r="O3037" s="0" t="s">
        <v>10424</v>
      </c>
    </row>
    <row r="3038" customFormat="false" ht="13.8" hidden="false" customHeight="false" outlineLevel="0" collapsed="false">
      <c r="A3038" s="0" t="s">
        <v>10425</v>
      </c>
      <c r="F3038" s="0" t="s">
        <v>40</v>
      </c>
      <c r="G3038" s="0" t="n">
        <v>1</v>
      </c>
      <c r="H3038" s="0" t="s">
        <v>27</v>
      </c>
      <c r="J3038" s="0" t="s">
        <v>28</v>
      </c>
      <c r="K3038" s="0" t="str">
        <f aca="false">"4.06 %"</f>
        <v>4.06 %</v>
      </c>
      <c r="O3038" s="0" t="s">
        <v>10426</v>
      </c>
    </row>
    <row r="3039" customFormat="false" ht="13.8" hidden="false" customHeight="false" outlineLevel="0" collapsed="false">
      <c r="A3039" s="0" t="s">
        <v>10427</v>
      </c>
      <c r="D3039" s="0" t="s">
        <v>10428</v>
      </c>
      <c r="F3039" s="0" t="s">
        <v>10429</v>
      </c>
      <c r="G3039" s="0" t="n">
        <v>0</v>
      </c>
      <c r="J3039" s="0" t="s">
        <v>40</v>
      </c>
      <c r="K3039" s="0" t="str">
        <f aca="false">"7.37 %"</f>
        <v>7.37 %</v>
      </c>
      <c r="O3039" s="0" t="s">
        <v>10430</v>
      </c>
    </row>
    <row r="3040" customFormat="false" ht="13.8" hidden="false" customHeight="false" outlineLevel="0" collapsed="false">
      <c r="A3040" s="0" t="s">
        <v>10431</v>
      </c>
      <c r="D3040" s="0" t="s">
        <v>6007</v>
      </c>
      <c r="F3040" s="0" t="s">
        <v>40</v>
      </c>
      <c r="G3040" s="0" t="n">
        <v>0</v>
      </c>
      <c r="J3040" s="0" t="s">
        <v>40</v>
      </c>
      <c r="K3040" s="0" t="str">
        <f aca="false">"5.92 %"</f>
        <v>5.92 %</v>
      </c>
      <c r="L3040" s="0" t="str">
        <f aca="false">"0.77 V"</f>
        <v>0.77 V</v>
      </c>
      <c r="M3040" s="0" t="str">
        <f aca="false">"12.25 mA cm^{-2}"</f>
        <v>12.25 mA cm^{-2}</v>
      </c>
      <c r="N3040" s="0" t="str">
        <f aca="false">"0.63"</f>
        <v>0.63</v>
      </c>
      <c r="O3040" s="0" t="s">
        <v>10432</v>
      </c>
    </row>
    <row r="3041" customFormat="false" ht="13.8" hidden="false" customHeight="false" outlineLevel="0" collapsed="false">
      <c r="A3041" s="0" t="s">
        <v>10433</v>
      </c>
      <c r="F3041" s="0" t="s">
        <v>40</v>
      </c>
      <c r="G3041" s="0" t="n">
        <v>1</v>
      </c>
      <c r="H3041" s="0" t="s">
        <v>27</v>
      </c>
      <c r="J3041" s="0" t="s">
        <v>1274</v>
      </c>
      <c r="K3041" s="0" t="str">
        <f aca="false">"6.19 %"</f>
        <v>6.19 %</v>
      </c>
      <c r="L3041" s="0" t="str">
        <f aca="false">"0.80 V"</f>
        <v>0.80 V</v>
      </c>
      <c r="M3041" s="0" t="str">
        <f aca="false">"12.72 mA cm^{-2}"</f>
        <v>12.72 mA cm^{-2}</v>
      </c>
      <c r="N3041" s="0" t="str">
        <f aca="false">"60.97 %"</f>
        <v>60.97 %</v>
      </c>
      <c r="O3041" s="0" t="s">
        <v>10434</v>
      </c>
    </row>
    <row r="3042" customFormat="false" ht="13.8" hidden="false" customHeight="false" outlineLevel="0" collapsed="false">
      <c r="A3042" s="0" t="s">
        <v>10435</v>
      </c>
      <c r="D3042" s="0" t="s">
        <v>10436</v>
      </c>
      <c r="F3042" s="0" t="s">
        <v>10437</v>
      </c>
      <c r="G3042" s="0" t="n">
        <v>0</v>
      </c>
      <c r="J3042" s="0" t="s">
        <v>40</v>
      </c>
      <c r="K3042" s="0" t="str">
        <f aca="false">"5.58 %"</f>
        <v>5.58 %</v>
      </c>
      <c r="L3042" s="0" t="str">
        <f aca="false">"0.74 V"</f>
        <v>0.74 V</v>
      </c>
      <c r="O3042" s="0" t="s">
        <v>10438</v>
      </c>
    </row>
    <row r="3043" customFormat="false" ht="13.8" hidden="false" customHeight="false" outlineLevel="0" collapsed="false">
      <c r="A3043" s="0" t="s">
        <v>10439</v>
      </c>
      <c r="F3043" s="0" t="s">
        <v>40</v>
      </c>
      <c r="G3043" s="0" t="n">
        <v>1</v>
      </c>
      <c r="H3043" s="0" t="s">
        <v>66</v>
      </c>
      <c r="J3043" s="0" t="s">
        <v>67</v>
      </c>
      <c r="K3043" s="0" t="str">
        <f aca="false">"3.87 %"</f>
        <v>3.87 %</v>
      </c>
      <c r="L3043" s="0" t="str">
        <f aca="false">"0.78 V"</f>
        <v>0.78 V</v>
      </c>
      <c r="M3043" s="0" t="str">
        <f aca="false">"9.68 mA cm^{-2}"</f>
        <v>9.68 mA cm^{-2}</v>
      </c>
      <c r="N3043" s="0" t="str">
        <f aca="false">"51.2 %"</f>
        <v>51.2 %</v>
      </c>
      <c r="O3043" s="0" t="s">
        <v>10440</v>
      </c>
    </row>
    <row r="3044" customFormat="false" ht="13.8" hidden="false" customHeight="false" outlineLevel="0" collapsed="false">
      <c r="A3044" s="0" t="s">
        <v>10441</v>
      </c>
      <c r="D3044" s="0" t="s">
        <v>10442</v>
      </c>
      <c r="F3044" s="0" t="s">
        <v>10443</v>
      </c>
      <c r="G3044" s="0" t="n">
        <v>0</v>
      </c>
      <c r="J3044" s="0" t="s">
        <v>40</v>
      </c>
      <c r="L3044" s="0" t="str">
        <f aca="false">"0.84 V"</f>
        <v>0.84 V</v>
      </c>
      <c r="O3044" s="0" t="s">
        <v>10444</v>
      </c>
    </row>
    <row r="3045" customFormat="false" ht="13.8" hidden="false" customHeight="false" outlineLevel="0" collapsed="false">
      <c r="A3045" s="0" t="s">
        <v>10441</v>
      </c>
      <c r="D3045" s="0" t="s">
        <v>10445</v>
      </c>
      <c r="F3045" s="0" t="s">
        <v>10446</v>
      </c>
      <c r="G3045" s="0" t="n">
        <v>0</v>
      </c>
      <c r="J3045" s="0" t="s">
        <v>40</v>
      </c>
      <c r="K3045" s="0" t="str">
        <f aca="false">"6.87 %"</f>
        <v>6.87 %</v>
      </c>
      <c r="L3045" s="0" t="str">
        <f aca="false">"0.73 V"</f>
        <v>0.73 V</v>
      </c>
      <c r="O3045" s="0" t="s">
        <v>10447</v>
      </c>
    </row>
    <row r="3046" customFormat="false" ht="13.8" hidden="false" customHeight="false" outlineLevel="0" collapsed="false">
      <c r="A3046" s="0" t="s">
        <v>10448</v>
      </c>
      <c r="D3046" s="0" t="s">
        <v>10449</v>
      </c>
      <c r="F3046" s="0" t="s">
        <v>10450</v>
      </c>
      <c r="G3046" s="0" t="n">
        <v>0</v>
      </c>
      <c r="J3046" s="0" t="s">
        <v>40</v>
      </c>
      <c r="K3046" s="0" t="str">
        <f aca="false">"8.6 %"</f>
        <v>8.6 %</v>
      </c>
      <c r="O3046" s="0" t="s">
        <v>10451</v>
      </c>
    </row>
    <row r="3047" customFormat="false" ht="13.8" hidden="false" customHeight="false" outlineLevel="0" collapsed="false">
      <c r="A3047" s="0" t="s">
        <v>10452</v>
      </c>
      <c r="F3047" s="0" t="s">
        <v>40</v>
      </c>
      <c r="G3047" s="0" t="n">
        <v>1</v>
      </c>
      <c r="H3047" s="0" t="s">
        <v>27</v>
      </c>
      <c r="J3047" s="0" t="s">
        <v>40</v>
      </c>
      <c r="K3047" s="0" t="str">
        <f aca="false">"6.76 %"</f>
        <v>6.76 %</v>
      </c>
      <c r="L3047" s="0" t="str">
        <f aca="false">"0.91 V"</f>
        <v>0.91 V</v>
      </c>
      <c r="M3047" s="0" t="str">
        <f aca="false">"9.96 mA cm^{-2}"</f>
        <v>9.96 mA cm^{-2}</v>
      </c>
      <c r="N3047" s="0" t="str">
        <f aca="false">"74.5 %"</f>
        <v>74.5 %</v>
      </c>
      <c r="O3047" s="0" t="s">
        <v>10453</v>
      </c>
    </row>
    <row r="3048" customFormat="false" ht="13.8" hidden="false" customHeight="false" outlineLevel="0" collapsed="false">
      <c r="A3048" s="0" t="s">
        <v>10454</v>
      </c>
      <c r="D3048" s="0" t="s">
        <v>10455</v>
      </c>
      <c r="F3048" s="0" t="s">
        <v>10456</v>
      </c>
      <c r="G3048" s="0" t="n">
        <v>0</v>
      </c>
      <c r="J3048" s="0" t="s">
        <v>40</v>
      </c>
      <c r="K3048" s="0" t="str">
        <f aca="false">"3.74 %"</f>
        <v>3.74 %</v>
      </c>
      <c r="L3048" s="0" t="str">
        <f aca="false">"0.82 V"</f>
        <v>0.82 V</v>
      </c>
      <c r="O3048" s="0" t="s">
        <v>10457</v>
      </c>
    </row>
    <row r="3049" customFormat="false" ht="13.8" hidden="false" customHeight="false" outlineLevel="0" collapsed="false">
      <c r="A3049" s="0" t="s">
        <v>10458</v>
      </c>
      <c r="D3049" s="0" t="s">
        <v>10459</v>
      </c>
      <c r="F3049" s="0" t="s">
        <v>10460</v>
      </c>
      <c r="G3049" s="0" t="n">
        <v>0</v>
      </c>
      <c r="J3049" s="0" t="s">
        <v>40</v>
      </c>
      <c r="K3049" s="0" t="str">
        <f aca="false">"3.63 %"</f>
        <v>3.63 %</v>
      </c>
      <c r="O3049" s="0" t="s">
        <v>10461</v>
      </c>
    </row>
    <row r="3050" customFormat="false" ht="13.8" hidden="false" customHeight="false" outlineLevel="0" collapsed="false">
      <c r="A3050" s="0" t="s">
        <v>10462</v>
      </c>
      <c r="F3050" s="0" t="s">
        <v>40</v>
      </c>
      <c r="G3050" s="0" t="n">
        <v>1</v>
      </c>
      <c r="H3050" s="0" t="s">
        <v>76</v>
      </c>
      <c r="J3050" s="0" t="s">
        <v>77</v>
      </c>
      <c r="K3050" s="0" t="str">
        <f aca="false">"1.09 %"</f>
        <v>1.09 %</v>
      </c>
      <c r="L3050" s="0" t="str">
        <f aca="false">"0.75 V"</f>
        <v>0.75 V</v>
      </c>
      <c r="M3050" s="0" t="str">
        <f aca="false">"3.69 mA cm^{-2}"</f>
        <v>3.69 mA cm^{-2}</v>
      </c>
      <c r="N3050" s="0" t="str">
        <f aca="false">"0.50"</f>
        <v>0.50</v>
      </c>
      <c r="O3050" s="0" t="s">
        <v>10463</v>
      </c>
    </row>
    <row r="3051" customFormat="false" ht="13.8" hidden="false" customHeight="false" outlineLevel="0" collapsed="false">
      <c r="A3051" s="0" t="s">
        <v>10464</v>
      </c>
      <c r="F3051" s="0" t="s">
        <v>40</v>
      </c>
      <c r="G3051" s="0" t="n">
        <v>1</v>
      </c>
      <c r="H3051" s="0" t="s">
        <v>33</v>
      </c>
      <c r="J3051" s="0" t="s">
        <v>34</v>
      </c>
      <c r="K3051" s="0" t="str">
        <f aca="false">"0.26 %"</f>
        <v>0.26 %</v>
      </c>
      <c r="O3051" s="0" t="s">
        <v>10465</v>
      </c>
    </row>
    <row r="3052" customFormat="false" ht="13.8" hidden="false" customHeight="false" outlineLevel="0" collapsed="false">
      <c r="A3052" s="0" t="s">
        <v>10466</v>
      </c>
      <c r="D3052" s="0" t="s">
        <v>10467</v>
      </c>
      <c r="F3052" s="0" t="s">
        <v>10468</v>
      </c>
      <c r="G3052" s="0" t="n">
        <v>0</v>
      </c>
      <c r="J3052" s="0" t="s">
        <v>40</v>
      </c>
      <c r="K3052" s="0" t="str">
        <f aca="false">"1.70 %"</f>
        <v>1.70 %</v>
      </c>
      <c r="O3052" s="0" t="s">
        <v>10469</v>
      </c>
    </row>
    <row r="3053" customFormat="false" ht="13.8" hidden="false" customHeight="false" outlineLevel="0" collapsed="false">
      <c r="A3053" s="0" t="s">
        <v>10470</v>
      </c>
      <c r="F3053" s="0" t="s">
        <v>40</v>
      </c>
      <c r="G3053" s="0" t="n">
        <v>1</v>
      </c>
      <c r="H3053" s="0" t="s">
        <v>33</v>
      </c>
      <c r="J3053" s="0" t="s">
        <v>34</v>
      </c>
      <c r="K3053" s="0" t="str">
        <f aca="false">"0.45 %"</f>
        <v>0.45 %</v>
      </c>
      <c r="O3053" s="0" t="s">
        <v>10471</v>
      </c>
    </row>
    <row r="3054" customFormat="false" ht="13.8" hidden="false" customHeight="false" outlineLevel="0" collapsed="false">
      <c r="A3054" s="0" t="s">
        <v>10472</v>
      </c>
      <c r="F3054" s="0" t="s">
        <v>40</v>
      </c>
      <c r="G3054" s="0" t="n">
        <v>1</v>
      </c>
      <c r="H3054" s="0" t="s">
        <v>27</v>
      </c>
      <c r="J3054" s="0" t="s">
        <v>28</v>
      </c>
      <c r="K3054" s="0" t="str">
        <f aca="false">"2.45 %"</f>
        <v>2.45 %</v>
      </c>
      <c r="O3054" s="0" t="s">
        <v>10473</v>
      </c>
    </row>
    <row r="3055" customFormat="false" ht="13.8" hidden="false" customHeight="false" outlineLevel="0" collapsed="false">
      <c r="A3055" s="0" t="s">
        <v>10474</v>
      </c>
      <c r="D3055" s="0" t="s">
        <v>10475</v>
      </c>
      <c r="F3055" s="0" t="s">
        <v>10476</v>
      </c>
      <c r="G3055" s="0" t="n">
        <v>0</v>
      </c>
      <c r="J3055" s="0" t="s">
        <v>40</v>
      </c>
      <c r="O3055" s="0" t="s">
        <v>10477</v>
      </c>
    </row>
    <row r="3056" customFormat="false" ht="13.8" hidden="false" customHeight="false" outlineLevel="0" collapsed="false">
      <c r="A3056" s="0" t="s">
        <v>10474</v>
      </c>
      <c r="F3056" s="0" t="s">
        <v>40</v>
      </c>
      <c r="G3056" s="0" t="n">
        <v>0</v>
      </c>
      <c r="J3056" s="0" t="s">
        <v>40</v>
      </c>
      <c r="K3056" s="0" t="str">
        <f aca="false">"2.27 %"</f>
        <v>2.27 %</v>
      </c>
      <c r="M3056" s="0" t="str">
        <f aca="false">"10.87 mA/cm^{2}"</f>
        <v>10.87 mA/cm^{2}</v>
      </c>
      <c r="O3056" s="0" t="s">
        <v>10478</v>
      </c>
    </row>
    <row r="3057" customFormat="false" ht="13.8" hidden="false" customHeight="false" outlineLevel="0" collapsed="false">
      <c r="A3057" s="0" t="s">
        <v>10479</v>
      </c>
      <c r="D3057" s="0" t="s">
        <v>124</v>
      </c>
      <c r="F3057" s="0" t="s">
        <v>10480</v>
      </c>
      <c r="G3057" s="0" t="n">
        <v>0</v>
      </c>
      <c r="J3057" s="0" t="s">
        <v>40</v>
      </c>
      <c r="K3057" s="0" t="str">
        <f aca="false">"0.78 %"</f>
        <v>0.78 %</v>
      </c>
      <c r="O3057" s="0" t="s">
        <v>10481</v>
      </c>
    </row>
    <row r="3058" customFormat="false" ht="13.8" hidden="false" customHeight="false" outlineLevel="0" collapsed="false">
      <c r="A3058" s="0" t="s">
        <v>10482</v>
      </c>
      <c r="D3058" s="0" t="s">
        <v>10483</v>
      </c>
      <c r="F3058" s="0" t="s">
        <v>10484</v>
      </c>
      <c r="G3058" s="0" t="n">
        <v>0</v>
      </c>
      <c r="J3058" s="0" t="s">
        <v>40</v>
      </c>
      <c r="L3058" s="0" t="str">
        <f aca="false">"&gt; 0.94 V"</f>
        <v>&gt; 0.94 V</v>
      </c>
      <c r="O3058" s="0" t="s">
        <v>10485</v>
      </c>
    </row>
    <row r="3059" customFormat="false" ht="13.8" hidden="false" customHeight="false" outlineLevel="0" collapsed="false">
      <c r="A3059" s="0" t="s">
        <v>10482</v>
      </c>
      <c r="D3059" s="0" t="s">
        <v>10486</v>
      </c>
      <c r="F3059" s="0" t="s">
        <v>10487</v>
      </c>
      <c r="G3059" s="0" t="n">
        <v>0</v>
      </c>
      <c r="J3059" s="0" t="s">
        <v>40</v>
      </c>
      <c r="K3059" s="0" t="str">
        <f aca="false">"6.85 %"</f>
        <v>6.85 %</v>
      </c>
      <c r="O3059" s="0" t="s">
        <v>10488</v>
      </c>
    </row>
    <row r="3060" customFormat="false" ht="13.8" hidden="false" customHeight="false" outlineLevel="0" collapsed="false">
      <c r="A3060" s="0" t="s">
        <v>10489</v>
      </c>
      <c r="D3060" s="0" t="s">
        <v>10490</v>
      </c>
      <c r="F3060" s="0" t="s">
        <v>10491</v>
      </c>
      <c r="G3060" s="0" t="n">
        <v>0</v>
      </c>
      <c r="J3060" s="0" t="s">
        <v>40</v>
      </c>
      <c r="K3060" s="0" t="str">
        <f aca="false">"8.79 %"</f>
        <v>8.79 %</v>
      </c>
      <c r="O3060" s="0" t="s">
        <v>10492</v>
      </c>
    </row>
    <row r="3061" customFormat="false" ht="13.8" hidden="false" customHeight="false" outlineLevel="0" collapsed="false">
      <c r="A3061" s="0" t="s">
        <v>10493</v>
      </c>
      <c r="F3061" s="0" t="s">
        <v>40</v>
      </c>
      <c r="G3061" s="0" t="n">
        <v>1</v>
      </c>
      <c r="H3061" s="0" t="s">
        <v>33</v>
      </c>
      <c r="J3061" s="0" t="s">
        <v>34</v>
      </c>
      <c r="K3061" s="0" t="str">
        <f aca="false">"0.45 %"</f>
        <v>0.45 %</v>
      </c>
      <c r="O3061" s="0" t="s">
        <v>10494</v>
      </c>
    </row>
    <row r="3062" customFormat="false" ht="13.8" hidden="false" customHeight="false" outlineLevel="0" collapsed="false">
      <c r="A3062" s="0" t="s">
        <v>10495</v>
      </c>
      <c r="F3062" s="0" t="s">
        <v>40</v>
      </c>
      <c r="G3062" s="0" t="n">
        <v>1</v>
      </c>
      <c r="H3062" s="0" t="s">
        <v>27</v>
      </c>
      <c r="J3062" s="0" t="s">
        <v>28</v>
      </c>
      <c r="K3062" s="0" t="str">
        <f aca="false">"2.64 %"</f>
        <v>2.64 %</v>
      </c>
      <c r="L3062" s="0" t="str">
        <f aca="false">"0.72 V"</f>
        <v>0.72 V</v>
      </c>
      <c r="M3062" s="0" t="str">
        <f aca="false">"6.78 mA/cm^{2}"</f>
        <v>6.78 mA/cm^{2}</v>
      </c>
      <c r="N3062" s="0" t="str">
        <f aca="false">"0.54"</f>
        <v>0.54</v>
      </c>
      <c r="O3062" s="0" t="s">
        <v>10496</v>
      </c>
    </row>
    <row r="3063" customFormat="false" ht="13.8" hidden="false" customHeight="false" outlineLevel="0" collapsed="false">
      <c r="A3063" s="0" t="s">
        <v>10497</v>
      </c>
      <c r="F3063" s="0" t="s">
        <v>40</v>
      </c>
      <c r="G3063" s="0" t="n">
        <v>1</v>
      </c>
      <c r="H3063" s="0" t="s">
        <v>33</v>
      </c>
      <c r="J3063" s="0" t="s">
        <v>34</v>
      </c>
      <c r="K3063" s="0" t="str">
        <f aca="false">"1.84 %"</f>
        <v>1.84 %</v>
      </c>
      <c r="O3063" s="0" t="s">
        <v>10498</v>
      </c>
    </row>
    <row r="3064" customFormat="false" ht="13.8" hidden="false" customHeight="false" outlineLevel="0" collapsed="false">
      <c r="A3064" s="0" t="s">
        <v>10499</v>
      </c>
      <c r="D3064" s="0" t="s">
        <v>10500</v>
      </c>
      <c r="F3064" s="0" t="s">
        <v>10501</v>
      </c>
      <c r="G3064" s="0" t="n">
        <v>0</v>
      </c>
      <c r="J3064" s="0" t="s">
        <v>40</v>
      </c>
      <c r="K3064" s="0" t="str">
        <f aca="false">"10.54 %"</f>
        <v>10.54 %</v>
      </c>
      <c r="O3064" s="0" t="s">
        <v>10502</v>
      </c>
    </row>
    <row r="3065" customFormat="false" ht="13.8" hidden="false" customHeight="false" outlineLevel="0" collapsed="false">
      <c r="A3065" s="0" t="s">
        <v>10503</v>
      </c>
      <c r="D3065" s="0" t="s">
        <v>10504</v>
      </c>
      <c r="E3065" s="0" t="s">
        <v>222</v>
      </c>
      <c r="F3065" s="0" t="s">
        <v>10505</v>
      </c>
      <c r="G3065" s="0" t="n">
        <v>0</v>
      </c>
      <c r="J3065" s="0" t="s">
        <v>40</v>
      </c>
      <c r="K3065" s="0" t="str">
        <f aca="false">"3.04 %"</f>
        <v>3.04 %</v>
      </c>
      <c r="O3065" s="0" t="s">
        <v>10506</v>
      </c>
    </row>
    <row r="3066" customFormat="false" ht="13.8" hidden="false" customHeight="false" outlineLevel="0" collapsed="false">
      <c r="A3066" s="0" t="s">
        <v>10507</v>
      </c>
      <c r="D3066" s="0" t="s">
        <v>10508</v>
      </c>
      <c r="F3066" s="0" t="s">
        <v>40</v>
      </c>
      <c r="G3066" s="0" t="n">
        <v>0</v>
      </c>
      <c r="J3066" s="0" t="s">
        <v>40</v>
      </c>
      <c r="K3066" s="0" t="str">
        <f aca="false">"0.21 %"</f>
        <v>0.21 %</v>
      </c>
      <c r="O3066" s="0" t="s">
        <v>10509</v>
      </c>
    </row>
    <row r="3067" customFormat="false" ht="13.8" hidden="false" customHeight="false" outlineLevel="0" collapsed="false">
      <c r="A3067" s="0" t="s">
        <v>10510</v>
      </c>
      <c r="D3067" s="0" t="s">
        <v>10511</v>
      </c>
      <c r="F3067" s="0" t="s">
        <v>10512</v>
      </c>
      <c r="G3067" s="0" t="n">
        <v>0</v>
      </c>
      <c r="J3067" s="0" t="s">
        <v>40</v>
      </c>
      <c r="K3067" s="0" t="str">
        <f aca="false">"7.26 %"</f>
        <v>7.26 %</v>
      </c>
      <c r="L3067" s="0" t="str">
        <f aca="false">"0.72 V"</f>
        <v>0.72 V</v>
      </c>
      <c r="M3067" s="0" t="str">
        <f aca="false">"15.30 mA/cm^{2}"</f>
        <v>15.30 mA/cm^{2}</v>
      </c>
      <c r="N3067" s="0" t="str">
        <f aca="false">"0.66"</f>
        <v>0.66</v>
      </c>
      <c r="O3067" s="0" t="s">
        <v>10513</v>
      </c>
    </row>
    <row r="3068" customFormat="false" ht="13.8" hidden="false" customHeight="false" outlineLevel="0" collapsed="false">
      <c r="A3068" s="0" t="s">
        <v>10514</v>
      </c>
      <c r="D3068" s="0" t="s">
        <v>10515</v>
      </c>
      <c r="F3068" s="0" t="s">
        <v>10516</v>
      </c>
      <c r="G3068" s="0" t="n">
        <v>0</v>
      </c>
      <c r="J3068" s="0" t="s">
        <v>40</v>
      </c>
      <c r="K3068" s="0" t="str">
        <f aca="false">"2.0 %"</f>
        <v>2.0 %</v>
      </c>
      <c r="O3068" s="0" t="s">
        <v>10517</v>
      </c>
    </row>
    <row r="3069" customFormat="false" ht="13.8" hidden="false" customHeight="false" outlineLevel="0" collapsed="false">
      <c r="A3069" s="0" t="s">
        <v>10518</v>
      </c>
      <c r="F3069" s="0" t="s">
        <v>40</v>
      </c>
      <c r="G3069" s="0" t="n">
        <v>1</v>
      </c>
      <c r="H3069" s="0" t="s">
        <v>526</v>
      </c>
      <c r="J3069" s="0" t="s">
        <v>40</v>
      </c>
      <c r="K3069" s="0" t="str">
        <f aca="false">"6.10 %"</f>
        <v>6.10 %</v>
      </c>
      <c r="O3069" s="0" t="s">
        <v>10519</v>
      </c>
    </row>
    <row r="3070" customFormat="false" ht="13.8" hidden="false" customHeight="false" outlineLevel="0" collapsed="false">
      <c r="A3070" s="0" t="s">
        <v>10518</v>
      </c>
      <c r="D3070" s="0" t="s">
        <v>1924</v>
      </c>
      <c r="E3070" s="0" t="s">
        <v>1925</v>
      </c>
      <c r="F3070" s="0" t="s">
        <v>1926</v>
      </c>
      <c r="G3070" s="0" t="n">
        <v>1</v>
      </c>
      <c r="H3070" s="0" t="s">
        <v>526</v>
      </c>
      <c r="J3070" s="0" t="s">
        <v>40</v>
      </c>
      <c r="K3070" s="0" t="str">
        <f aca="false">"7.67 %"</f>
        <v>7.67 %</v>
      </c>
      <c r="O3070" s="0" t="s">
        <v>10520</v>
      </c>
    </row>
    <row r="3071" customFormat="false" ht="13.8" hidden="false" customHeight="false" outlineLevel="0" collapsed="false">
      <c r="A3071" s="0" t="s">
        <v>10521</v>
      </c>
      <c r="F3071" s="0" t="s">
        <v>40</v>
      </c>
      <c r="G3071" s="0" t="n">
        <v>0</v>
      </c>
      <c r="H3071" s="0" t="s">
        <v>1121</v>
      </c>
      <c r="I3071" s="0" t="s">
        <v>225</v>
      </c>
      <c r="J3071" s="0" t="s">
        <v>1122</v>
      </c>
      <c r="K3071" s="0" t="str">
        <f aca="false">"8.1 %"</f>
        <v>8.1 %</v>
      </c>
      <c r="N3071" s="0" t="str">
        <f aca="false">"0.75"</f>
        <v>0.75</v>
      </c>
      <c r="O3071" s="0" t="s">
        <v>10522</v>
      </c>
    </row>
    <row r="3072" customFormat="false" ht="13.8" hidden="false" customHeight="false" outlineLevel="0" collapsed="false">
      <c r="A3072" s="0" t="s">
        <v>10523</v>
      </c>
      <c r="D3072" s="0" t="s">
        <v>10524</v>
      </c>
      <c r="F3072" s="0" t="s">
        <v>10525</v>
      </c>
      <c r="G3072" s="0" t="n">
        <v>0</v>
      </c>
      <c r="J3072" s="0" t="s">
        <v>40</v>
      </c>
      <c r="K3072" s="0" t="str">
        <f aca="false">"7.06 %"</f>
        <v>7.06 %</v>
      </c>
      <c r="L3072" s="0" t="str">
        <f aca="false">"0.96 V"</f>
        <v>0.96 V</v>
      </c>
      <c r="M3072" s="0" t="str">
        <f aca="false">"11.09 mA/cm^{2}"</f>
        <v>11.09 mA/cm^{2}</v>
      </c>
      <c r="N3072" s="0" t="str">
        <f aca="false">"0.67"</f>
        <v>0.67</v>
      </c>
      <c r="O3072" s="0" t="s">
        <v>10526</v>
      </c>
    </row>
    <row r="3073" customFormat="false" ht="13.8" hidden="false" customHeight="false" outlineLevel="0" collapsed="false">
      <c r="A3073" s="0" t="s">
        <v>10527</v>
      </c>
      <c r="F3073" s="0" t="s">
        <v>40</v>
      </c>
      <c r="G3073" s="0" t="n">
        <v>1</v>
      </c>
      <c r="H3073" s="0" t="s">
        <v>33</v>
      </c>
      <c r="J3073" s="0" t="s">
        <v>40</v>
      </c>
      <c r="K3073" s="0" t="str">
        <f aca="false">"4.5 %"</f>
        <v>4.5 %</v>
      </c>
      <c r="L3073" s="0" t="str">
        <f aca="false">"0.84 V"</f>
        <v>0.84 V</v>
      </c>
      <c r="M3073" s="0" t="str">
        <f aca="false">"7.2 mA/cm^{2}"</f>
        <v>7.2 mA/cm^{2}</v>
      </c>
      <c r="N3073" s="0" t="str">
        <f aca="false">"71 %"</f>
        <v>71 %</v>
      </c>
      <c r="O3073" s="0" t="s">
        <v>10528</v>
      </c>
    </row>
    <row r="3074" customFormat="false" ht="13.8" hidden="false" customHeight="false" outlineLevel="0" collapsed="false">
      <c r="A3074" s="0" t="s">
        <v>10527</v>
      </c>
      <c r="D3074" s="0" t="s">
        <v>208</v>
      </c>
      <c r="E3074" s="0" t="s">
        <v>17</v>
      </c>
      <c r="F3074" s="0" t="s">
        <v>18</v>
      </c>
      <c r="G3074" s="0" t="n">
        <v>1</v>
      </c>
      <c r="H3074" s="0" t="s">
        <v>33</v>
      </c>
      <c r="J3074" s="0" t="s">
        <v>40</v>
      </c>
      <c r="K3074" s="0" t="str">
        <f aca="false">"6.6 %"</f>
        <v>6.6 %</v>
      </c>
      <c r="M3074" s="0" t="str">
        <f aca="false">"10.3 mA/cm^{2}"</f>
        <v>10.3 mA/cm^{2}</v>
      </c>
      <c r="N3074" s="0" t="str">
        <f aca="false">"75 %"</f>
        <v>75 %</v>
      </c>
      <c r="O3074" s="0" t="s">
        <v>10529</v>
      </c>
    </row>
    <row r="3075" customFormat="false" ht="13.8" hidden="false" customHeight="false" outlineLevel="0" collapsed="false">
      <c r="A3075" s="0" t="s">
        <v>10530</v>
      </c>
      <c r="D3075" s="0" t="s">
        <v>10531</v>
      </c>
      <c r="F3075" s="0" t="s">
        <v>10532</v>
      </c>
      <c r="G3075" s="0" t="n">
        <v>0</v>
      </c>
      <c r="J3075" s="0" t="s">
        <v>40</v>
      </c>
      <c r="K3075" s="0" t="str">
        <f aca="false">"3.98 %"</f>
        <v>3.98 %</v>
      </c>
      <c r="O3075" s="0" t="s">
        <v>10533</v>
      </c>
    </row>
    <row r="3076" customFormat="false" ht="13.8" hidden="false" customHeight="false" outlineLevel="0" collapsed="false">
      <c r="A3076" s="0" t="s">
        <v>10534</v>
      </c>
      <c r="D3076" s="0" t="s">
        <v>10535</v>
      </c>
      <c r="E3076" s="0" t="s">
        <v>1169</v>
      </c>
      <c r="F3076" s="0" t="s">
        <v>10536</v>
      </c>
      <c r="G3076" s="0" t="n">
        <v>0</v>
      </c>
      <c r="J3076" s="0" t="s">
        <v>40</v>
      </c>
      <c r="K3076" s="0" t="str">
        <f aca="false">"8.76 %"</f>
        <v>8.76 %</v>
      </c>
      <c r="M3076" s="0" t="str">
        <f aca="false">"17.24 mA cm^{-2}"</f>
        <v>17.24 mA cm^{-2}</v>
      </c>
      <c r="N3076" s="0" t="str">
        <f aca="false">"0.696"</f>
        <v>0.696</v>
      </c>
      <c r="O3076" s="0" t="s">
        <v>10537</v>
      </c>
    </row>
    <row r="3077" customFormat="false" ht="13.8" hidden="false" customHeight="false" outlineLevel="0" collapsed="false">
      <c r="A3077" s="0" t="s">
        <v>10538</v>
      </c>
      <c r="D3077" s="0" t="s">
        <v>2267</v>
      </c>
      <c r="E3077" s="0" t="s">
        <v>2268</v>
      </c>
      <c r="F3077" s="0" t="s">
        <v>10539</v>
      </c>
      <c r="G3077" s="0" t="n">
        <v>0</v>
      </c>
      <c r="J3077" s="0" t="s">
        <v>40</v>
      </c>
      <c r="K3077" s="0" t="str">
        <f aca="false">"5 %"</f>
        <v>5 %</v>
      </c>
      <c r="O3077" s="0" t="s">
        <v>10540</v>
      </c>
    </row>
    <row r="3078" customFormat="false" ht="13.8" hidden="false" customHeight="false" outlineLevel="0" collapsed="false">
      <c r="A3078" s="0" t="s">
        <v>10541</v>
      </c>
      <c r="F3078" s="0" t="s">
        <v>40</v>
      </c>
      <c r="G3078" s="0" t="n">
        <v>0</v>
      </c>
      <c r="H3078" s="0" t="s">
        <v>10542</v>
      </c>
      <c r="J3078" s="0" t="s">
        <v>10543</v>
      </c>
      <c r="K3078" s="0" t="str">
        <f aca="false">"4.5 %"</f>
        <v>4.5 %</v>
      </c>
      <c r="O3078" s="0" t="s">
        <v>10544</v>
      </c>
    </row>
    <row r="3079" customFormat="false" ht="13.8" hidden="false" customHeight="false" outlineLevel="0" collapsed="false">
      <c r="A3079" s="0" t="s">
        <v>10545</v>
      </c>
      <c r="D3079" s="0" t="s">
        <v>10006</v>
      </c>
      <c r="F3079" s="0" t="s">
        <v>10007</v>
      </c>
      <c r="G3079" s="0" t="n">
        <v>0</v>
      </c>
      <c r="J3079" s="0" t="s">
        <v>40</v>
      </c>
      <c r="K3079" s="0" t="str">
        <f aca="false">"3.17 %"</f>
        <v>3.17 %</v>
      </c>
      <c r="O3079" s="0" t="s">
        <v>10546</v>
      </c>
    </row>
    <row r="3080" customFormat="false" ht="13.8" hidden="false" customHeight="false" outlineLevel="0" collapsed="false">
      <c r="A3080" s="0" t="s">
        <v>10547</v>
      </c>
      <c r="D3080" s="0" t="s">
        <v>1168</v>
      </c>
      <c r="E3080" s="0" t="s">
        <v>1169</v>
      </c>
      <c r="F3080" s="0" t="s">
        <v>1170</v>
      </c>
      <c r="G3080" s="0" t="n">
        <v>0</v>
      </c>
      <c r="J3080" s="0" t="s">
        <v>40</v>
      </c>
      <c r="K3080" s="0" t="str">
        <f aca="false">"8.12 %"</f>
        <v>8.12 %</v>
      </c>
      <c r="O3080" s="0" t="s">
        <v>10548</v>
      </c>
    </row>
    <row r="3081" customFormat="false" ht="13.8" hidden="false" customHeight="false" outlineLevel="0" collapsed="false">
      <c r="A3081" s="0" t="s">
        <v>10549</v>
      </c>
      <c r="D3081" s="0" t="s">
        <v>10550</v>
      </c>
      <c r="F3081" s="0" t="s">
        <v>40</v>
      </c>
      <c r="G3081" s="0" t="n">
        <v>0</v>
      </c>
      <c r="J3081" s="0" t="s">
        <v>40</v>
      </c>
      <c r="K3081" s="0" t="str">
        <f aca="false">"~6.3 %"</f>
        <v>~6.3 %</v>
      </c>
      <c r="O3081" s="0" t="s">
        <v>10551</v>
      </c>
    </row>
    <row r="3082" customFormat="false" ht="13.8" hidden="false" customHeight="false" outlineLevel="0" collapsed="false">
      <c r="A3082" s="0" t="s">
        <v>10552</v>
      </c>
      <c r="D3082" s="0" t="s">
        <v>10553</v>
      </c>
      <c r="E3082" s="0" t="s">
        <v>1925</v>
      </c>
      <c r="F3082" s="0" t="s">
        <v>10554</v>
      </c>
      <c r="G3082" s="0" t="n">
        <v>0</v>
      </c>
      <c r="J3082" s="0" t="s">
        <v>40</v>
      </c>
      <c r="K3082" s="0" t="str">
        <f aca="false">"10.2 %"</f>
        <v>10.2 %</v>
      </c>
      <c r="O3082" s="0" t="s">
        <v>10555</v>
      </c>
    </row>
    <row r="3083" customFormat="false" ht="13.8" hidden="false" customHeight="false" outlineLevel="0" collapsed="false">
      <c r="A3083" s="0" t="s">
        <v>10556</v>
      </c>
      <c r="D3083" s="0" t="s">
        <v>10557</v>
      </c>
      <c r="F3083" s="0" t="s">
        <v>10558</v>
      </c>
      <c r="G3083" s="0" t="n">
        <v>0</v>
      </c>
      <c r="J3083" s="0" t="s">
        <v>40</v>
      </c>
      <c r="K3083" s="0" t="str">
        <f aca="false">"12 %"</f>
        <v>12 %</v>
      </c>
      <c r="O3083" s="0" t="s">
        <v>10559</v>
      </c>
    </row>
    <row r="3084" customFormat="false" ht="13.8" hidden="false" customHeight="false" outlineLevel="0" collapsed="false">
      <c r="A3084" s="0" t="s">
        <v>10560</v>
      </c>
      <c r="D3084" s="0" t="s">
        <v>16</v>
      </c>
      <c r="E3084" s="0" t="s">
        <v>17</v>
      </c>
      <c r="F3084" s="0" t="s">
        <v>116</v>
      </c>
      <c r="G3084" s="0" t="n">
        <v>0</v>
      </c>
      <c r="J3084" s="0" t="s">
        <v>40</v>
      </c>
      <c r="K3084" s="0" t="str">
        <f aca="false">"4.02 %"</f>
        <v>4.02 %</v>
      </c>
      <c r="O3084" s="0" t="s">
        <v>10561</v>
      </c>
    </row>
    <row r="3085" customFormat="false" ht="13.8" hidden="false" customHeight="false" outlineLevel="0" collapsed="false">
      <c r="A3085" s="0" t="s">
        <v>10562</v>
      </c>
      <c r="D3085" s="0" t="s">
        <v>10563</v>
      </c>
      <c r="F3085" s="0" t="s">
        <v>10564</v>
      </c>
      <c r="G3085" s="0" t="n">
        <v>0</v>
      </c>
      <c r="J3085" s="0" t="s">
        <v>40</v>
      </c>
      <c r="O3085" s="0" t="s">
        <v>10565</v>
      </c>
    </row>
    <row r="3086" customFormat="false" ht="13.8" hidden="false" customHeight="false" outlineLevel="0" collapsed="false">
      <c r="A3086" s="0" t="s">
        <v>10562</v>
      </c>
      <c r="D3086" s="0" t="s">
        <v>10566</v>
      </c>
      <c r="F3086" s="0" t="s">
        <v>10567</v>
      </c>
      <c r="G3086" s="0" t="n">
        <v>0</v>
      </c>
      <c r="J3086" s="0" t="s">
        <v>40</v>
      </c>
      <c r="K3086" s="0" t="str">
        <f aca="false">"3.5 %"</f>
        <v>3.5 %</v>
      </c>
      <c r="O3086" s="0" t="s">
        <v>10568</v>
      </c>
    </row>
    <row r="3087" customFormat="false" ht="13.8" hidden="false" customHeight="false" outlineLevel="0" collapsed="false">
      <c r="A3087" s="0" t="s">
        <v>10569</v>
      </c>
      <c r="F3087" s="0" t="s">
        <v>40</v>
      </c>
      <c r="G3087" s="0" t="n">
        <v>1</v>
      </c>
      <c r="H3087" s="0" t="s">
        <v>33</v>
      </c>
      <c r="J3087" s="0" t="s">
        <v>34</v>
      </c>
      <c r="K3087" s="0" t="str">
        <f aca="false">"0.22 %"</f>
        <v>0.22 %</v>
      </c>
      <c r="O3087" s="0" t="s">
        <v>10570</v>
      </c>
    </row>
    <row r="3088" customFormat="false" ht="13.8" hidden="false" customHeight="false" outlineLevel="0" collapsed="false">
      <c r="A3088" s="0" t="s">
        <v>10571</v>
      </c>
      <c r="D3088" s="0" t="s">
        <v>441</v>
      </c>
      <c r="F3088" s="0" t="s">
        <v>10572</v>
      </c>
      <c r="G3088" s="0" t="n">
        <v>0</v>
      </c>
      <c r="J3088" s="0" t="s">
        <v>40</v>
      </c>
      <c r="K3088" s="0" t="str">
        <f aca="false">"4.18 %"</f>
        <v>4.18 %</v>
      </c>
      <c r="O3088" s="0" t="s">
        <v>10573</v>
      </c>
    </row>
    <row r="3089" customFormat="false" ht="13.8" hidden="false" customHeight="false" outlineLevel="0" collapsed="false">
      <c r="A3089" s="0" t="s">
        <v>10574</v>
      </c>
      <c r="F3089" s="0" t="s">
        <v>40</v>
      </c>
      <c r="G3089" s="0" t="n">
        <v>1</v>
      </c>
      <c r="H3089" s="0" t="s">
        <v>66</v>
      </c>
      <c r="J3089" s="0" t="s">
        <v>67</v>
      </c>
      <c r="K3089" s="0" t="str">
        <f aca="false">"6.57 %"</f>
        <v>6.57 %</v>
      </c>
      <c r="O3089" s="0" t="s">
        <v>10575</v>
      </c>
    </row>
    <row r="3090" customFormat="false" ht="13.8" hidden="false" customHeight="false" outlineLevel="0" collapsed="false">
      <c r="A3090" s="0" t="s">
        <v>10576</v>
      </c>
      <c r="F3090" s="0" t="s">
        <v>40</v>
      </c>
      <c r="G3090" s="0" t="n">
        <v>1</v>
      </c>
      <c r="H3090" s="0" t="s">
        <v>33</v>
      </c>
      <c r="J3090" s="0" t="s">
        <v>504</v>
      </c>
      <c r="K3090" s="0" t="str">
        <f aca="false">"3.7 %"</f>
        <v>3.7 %</v>
      </c>
      <c r="O3090" s="0" t="s">
        <v>10577</v>
      </c>
    </row>
    <row r="3091" customFormat="false" ht="13.8" hidden="false" customHeight="false" outlineLevel="0" collapsed="false">
      <c r="A3091" s="0" t="s">
        <v>10578</v>
      </c>
      <c r="D3091" s="0" t="s">
        <v>10579</v>
      </c>
      <c r="F3091" s="0" t="s">
        <v>10580</v>
      </c>
      <c r="G3091" s="0" t="n">
        <v>0</v>
      </c>
      <c r="J3091" s="0" t="s">
        <v>40</v>
      </c>
      <c r="K3091" s="0" t="str">
        <f aca="false">"5.65 %"</f>
        <v>5.65 %</v>
      </c>
      <c r="O3091" s="0" t="s">
        <v>10581</v>
      </c>
    </row>
    <row r="3092" customFormat="false" ht="13.8" hidden="false" customHeight="false" outlineLevel="0" collapsed="false">
      <c r="A3092" s="0" t="s">
        <v>10582</v>
      </c>
      <c r="F3092" s="0" t="s">
        <v>40</v>
      </c>
      <c r="G3092" s="0" t="n">
        <v>1</v>
      </c>
      <c r="H3092" s="0" t="s">
        <v>76</v>
      </c>
      <c r="J3092" s="0" t="s">
        <v>77</v>
      </c>
      <c r="K3092" s="0" t="str">
        <f aca="false">"0.014 %"</f>
        <v>0.014 %</v>
      </c>
      <c r="L3092" s="0" t="str">
        <f aca="false">"0.21 V"</f>
        <v>0.21 V</v>
      </c>
      <c r="M3092" s="0" t="str">
        <f aca="false">"0.28 mA/cm^{2}"</f>
        <v>0.28 mA/cm^{2}</v>
      </c>
      <c r="N3092" s="0" t="str">
        <f aca="false">"0.24"</f>
        <v>0.24</v>
      </c>
      <c r="O3092" s="0" t="s">
        <v>10583</v>
      </c>
    </row>
    <row r="3093" customFormat="false" ht="13.8" hidden="false" customHeight="false" outlineLevel="0" collapsed="false">
      <c r="A3093" s="0" t="s">
        <v>10584</v>
      </c>
      <c r="F3093" s="0" t="s">
        <v>40</v>
      </c>
      <c r="G3093" s="0" t="n">
        <v>1</v>
      </c>
      <c r="H3093" s="0" t="s">
        <v>33</v>
      </c>
      <c r="J3093" s="0" t="s">
        <v>60</v>
      </c>
      <c r="K3093" s="0" t="str">
        <f aca="false">"3.86 %"</f>
        <v>3.86 %</v>
      </c>
      <c r="O3093" s="0" t="s">
        <v>10585</v>
      </c>
    </row>
    <row r="3094" customFormat="false" ht="13.8" hidden="false" customHeight="false" outlineLevel="0" collapsed="false">
      <c r="A3094" s="0" t="s">
        <v>10586</v>
      </c>
      <c r="D3094" s="0" t="s">
        <v>10587</v>
      </c>
      <c r="F3094" s="0" t="s">
        <v>10588</v>
      </c>
      <c r="G3094" s="0" t="n">
        <v>0</v>
      </c>
      <c r="J3094" s="0" t="s">
        <v>40</v>
      </c>
      <c r="K3094" s="0" t="str">
        <f aca="false">"3.3 %"</f>
        <v>3.3 %</v>
      </c>
      <c r="O3094" s="0" t="s">
        <v>10589</v>
      </c>
    </row>
    <row r="3095" customFormat="false" ht="13.8" hidden="false" customHeight="false" outlineLevel="0" collapsed="false">
      <c r="A3095" s="0" t="s">
        <v>10590</v>
      </c>
      <c r="D3095" s="0" t="s">
        <v>1924</v>
      </c>
      <c r="E3095" s="0" t="s">
        <v>1925</v>
      </c>
      <c r="F3095" s="0" t="s">
        <v>1926</v>
      </c>
      <c r="G3095" s="0" t="n">
        <v>0</v>
      </c>
      <c r="J3095" s="0" t="s">
        <v>40</v>
      </c>
      <c r="K3095" s="0" t="str">
        <f aca="false">"3.88 %"</f>
        <v>3.88 %</v>
      </c>
      <c r="O3095" s="0" t="s">
        <v>10591</v>
      </c>
    </row>
    <row r="3096" customFormat="false" ht="13.8" hidden="false" customHeight="false" outlineLevel="0" collapsed="false">
      <c r="A3096" s="0" t="s">
        <v>10592</v>
      </c>
      <c r="D3096" s="0" t="s">
        <v>10593</v>
      </c>
      <c r="F3096" s="0" t="s">
        <v>10594</v>
      </c>
      <c r="G3096" s="0" t="n">
        <v>0</v>
      </c>
      <c r="J3096" s="0" t="s">
        <v>40</v>
      </c>
      <c r="K3096" s="0" t="str">
        <f aca="false">"5.66 %"</f>
        <v>5.66 %</v>
      </c>
      <c r="L3096" s="0" t="str">
        <f aca="false">"0.92 V"</f>
        <v>0.92 V</v>
      </c>
      <c r="O3096" s="0" t="s">
        <v>10595</v>
      </c>
    </row>
    <row r="3097" customFormat="false" ht="13.8" hidden="false" customHeight="false" outlineLevel="0" collapsed="false">
      <c r="A3097" s="0" t="s">
        <v>10596</v>
      </c>
      <c r="F3097" s="0" t="s">
        <v>40</v>
      </c>
      <c r="G3097" s="0" t="n">
        <v>1</v>
      </c>
      <c r="H3097" s="0" t="s">
        <v>33</v>
      </c>
      <c r="J3097" s="0" t="s">
        <v>60</v>
      </c>
      <c r="K3097" s="0" t="str">
        <f aca="false">"2.12 %"</f>
        <v>2.12 %</v>
      </c>
      <c r="O3097" s="0" t="s">
        <v>10597</v>
      </c>
    </row>
    <row r="3098" customFormat="false" ht="13.8" hidden="false" customHeight="false" outlineLevel="0" collapsed="false">
      <c r="A3098" s="0" t="s">
        <v>10598</v>
      </c>
      <c r="F3098" s="0" t="s">
        <v>40</v>
      </c>
      <c r="G3098" s="0" t="n">
        <v>0</v>
      </c>
      <c r="H3098" s="0" t="s">
        <v>10599</v>
      </c>
      <c r="J3098" s="0" t="s">
        <v>10600</v>
      </c>
      <c r="K3098" s="0" t="str">
        <f aca="false">"0.64 %"</f>
        <v>0.64 %</v>
      </c>
      <c r="O3098" s="0" t="s">
        <v>10601</v>
      </c>
    </row>
    <row r="3099" customFormat="false" ht="13.8" hidden="false" customHeight="false" outlineLevel="0" collapsed="false">
      <c r="A3099" s="0" t="s">
        <v>10602</v>
      </c>
      <c r="D3099" s="0" t="s">
        <v>10603</v>
      </c>
      <c r="F3099" s="0" t="s">
        <v>40</v>
      </c>
      <c r="G3099" s="0" t="n">
        <v>0</v>
      </c>
      <c r="J3099" s="0" t="s">
        <v>40</v>
      </c>
      <c r="K3099" s="0" t="str">
        <f aca="false">"2.78 %"</f>
        <v>2.78 %</v>
      </c>
      <c r="L3099" s="0" t="str">
        <f aca="false">"0.85 V"</f>
        <v>0.85 V</v>
      </c>
      <c r="M3099" s="0" t="str">
        <f aca="false">"8.65 mA*cm^{-2}"</f>
        <v>8.65 mA*cm^{-2}</v>
      </c>
      <c r="N3099" s="0" t="str">
        <f aca="false">"37.8 %"</f>
        <v>37.8 %</v>
      </c>
      <c r="O3099" s="0" t="s">
        <v>10604</v>
      </c>
    </row>
    <row r="3100" customFormat="false" ht="13.8" hidden="false" customHeight="false" outlineLevel="0" collapsed="false">
      <c r="A3100" s="0" t="s">
        <v>10605</v>
      </c>
      <c r="D3100" s="0" t="s">
        <v>10606</v>
      </c>
      <c r="F3100" s="0" t="s">
        <v>10607</v>
      </c>
      <c r="G3100" s="0" t="n">
        <v>0</v>
      </c>
      <c r="J3100" s="0" t="s">
        <v>40</v>
      </c>
      <c r="K3100" s="0" t="str">
        <f aca="false">"8 %"</f>
        <v>8 %</v>
      </c>
      <c r="N3100" s="0" t="str">
        <f aca="false">"‰ˆ76 %"</f>
        <v>‰ˆ76 %</v>
      </c>
      <c r="O3100" s="0" t="s">
        <v>10608</v>
      </c>
    </row>
    <row r="3101" customFormat="false" ht="13.8" hidden="false" customHeight="false" outlineLevel="0" collapsed="false">
      <c r="A3101" s="0" t="s">
        <v>10609</v>
      </c>
      <c r="F3101" s="0" t="s">
        <v>40</v>
      </c>
      <c r="G3101" s="0" t="n">
        <v>1</v>
      </c>
      <c r="H3101" s="0" t="s">
        <v>76</v>
      </c>
      <c r="J3101" s="0" t="s">
        <v>77</v>
      </c>
      <c r="K3101" s="0" t="str">
        <f aca="false">"2.65 %"</f>
        <v>2.65 %</v>
      </c>
      <c r="L3101" s="0" t="str">
        <f aca="false">"0.86 V"</f>
        <v>0.86 V</v>
      </c>
      <c r="M3101" s="0" t="str">
        <f aca="false">"6.10 mA/cm^{2}"</f>
        <v>6.10 mA/cm^{2}</v>
      </c>
      <c r="O3101" s="0" t="s">
        <v>10610</v>
      </c>
    </row>
    <row r="3102" customFormat="false" ht="13.8" hidden="false" customHeight="false" outlineLevel="0" collapsed="false">
      <c r="A3102" s="0" t="s">
        <v>10611</v>
      </c>
      <c r="D3102" s="0" t="s">
        <v>10612</v>
      </c>
      <c r="F3102" s="0" t="s">
        <v>10613</v>
      </c>
      <c r="G3102" s="0" t="n">
        <v>0</v>
      </c>
      <c r="J3102" s="0" t="s">
        <v>40</v>
      </c>
      <c r="K3102" s="0" t="str">
        <f aca="false">"10.61 %"</f>
        <v>10.61 %</v>
      </c>
      <c r="O3102" s="0" t="s">
        <v>10614</v>
      </c>
    </row>
    <row r="3103" customFormat="false" ht="13.8" hidden="false" customHeight="false" outlineLevel="0" collapsed="false">
      <c r="A3103" s="0" t="s">
        <v>10615</v>
      </c>
      <c r="D3103" s="0" t="s">
        <v>10616</v>
      </c>
      <c r="F3103" s="0" t="s">
        <v>10617</v>
      </c>
      <c r="G3103" s="0" t="n">
        <v>0</v>
      </c>
      <c r="J3103" s="0" t="s">
        <v>40</v>
      </c>
      <c r="K3103" s="0" t="str">
        <f aca="false">"4.43 %"</f>
        <v>4.43 %</v>
      </c>
      <c r="L3103" s="0" t="str">
        <f aca="false">"0.9 V"</f>
        <v>0.9 V</v>
      </c>
      <c r="O3103" s="0" t="s">
        <v>10618</v>
      </c>
    </row>
    <row r="3104" customFormat="false" ht="13.8" hidden="false" customHeight="false" outlineLevel="0" collapsed="false">
      <c r="A3104" s="0" t="s">
        <v>10619</v>
      </c>
      <c r="D3104" s="0" t="s">
        <v>10620</v>
      </c>
      <c r="F3104" s="0" t="s">
        <v>10621</v>
      </c>
      <c r="G3104" s="0" t="n">
        <v>0</v>
      </c>
      <c r="J3104" s="0" t="s">
        <v>40</v>
      </c>
      <c r="K3104" s="0" t="str">
        <f aca="false">"2.62 %"</f>
        <v>2.62 %</v>
      </c>
      <c r="O3104" s="0" t="s">
        <v>10622</v>
      </c>
    </row>
    <row r="3105" customFormat="false" ht="13.8" hidden="false" customHeight="false" outlineLevel="0" collapsed="false">
      <c r="A3105" s="0" t="s">
        <v>10619</v>
      </c>
      <c r="D3105" s="0" t="s">
        <v>10623</v>
      </c>
      <c r="F3105" s="0" t="s">
        <v>10624</v>
      </c>
      <c r="G3105" s="0" t="n">
        <v>0</v>
      </c>
      <c r="J3105" s="0" t="s">
        <v>40</v>
      </c>
      <c r="O3105" s="0" t="s">
        <v>10625</v>
      </c>
    </row>
    <row r="3106" customFormat="false" ht="13.8" hidden="false" customHeight="false" outlineLevel="0" collapsed="false">
      <c r="A3106" s="0" t="s">
        <v>10619</v>
      </c>
      <c r="F3106" s="0" t="s">
        <v>40</v>
      </c>
      <c r="G3106" s="0" t="n">
        <v>0</v>
      </c>
      <c r="J3106" s="0" t="s">
        <v>40</v>
      </c>
      <c r="K3106" s="0" t="str">
        <f aca="false">"0.29 %"</f>
        <v>0.29 %</v>
      </c>
      <c r="O3106" s="0" t="s">
        <v>10626</v>
      </c>
    </row>
    <row r="3107" customFormat="false" ht="13.8" hidden="false" customHeight="false" outlineLevel="0" collapsed="false">
      <c r="A3107" s="0" t="s">
        <v>10627</v>
      </c>
      <c r="D3107" s="0" t="s">
        <v>10628</v>
      </c>
      <c r="F3107" s="0" t="s">
        <v>10629</v>
      </c>
      <c r="G3107" s="0" t="n">
        <v>0</v>
      </c>
      <c r="J3107" s="0" t="s">
        <v>40</v>
      </c>
      <c r="K3107" s="0" t="str">
        <f aca="false">"9.43 %"</f>
        <v>9.43 %</v>
      </c>
      <c r="N3107" s="0" t="str">
        <f aca="false">"77.4 %"</f>
        <v>77.4 %</v>
      </c>
      <c r="O3107" s="0" t="s">
        <v>10630</v>
      </c>
    </row>
    <row r="3108" customFormat="false" ht="13.8" hidden="false" customHeight="false" outlineLevel="0" collapsed="false">
      <c r="A3108" s="0" t="s">
        <v>10631</v>
      </c>
      <c r="D3108" s="0" t="s">
        <v>10632</v>
      </c>
      <c r="F3108" s="0" t="s">
        <v>10633</v>
      </c>
      <c r="G3108" s="0" t="n">
        <v>0</v>
      </c>
      <c r="J3108" s="0" t="s">
        <v>40</v>
      </c>
      <c r="K3108" s="0" t="str">
        <f aca="false">"10 %"</f>
        <v>10 %</v>
      </c>
      <c r="O3108" s="0" t="s">
        <v>10634</v>
      </c>
    </row>
    <row r="3109" customFormat="false" ht="13.8" hidden="false" customHeight="false" outlineLevel="0" collapsed="false">
      <c r="A3109" s="0" t="s">
        <v>10635</v>
      </c>
      <c r="F3109" s="0" t="s">
        <v>40</v>
      </c>
      <c r="G3109" s="0" t="n">
        <v>1</v>
      </c>
      <c r="H3109" s="0" t="s">
        <v>76</v>
      </c>
      <c r="J3109" s="0" t="s">
        <v>7701</v>
      </c>
      <c r="K3109" s="0" t="str">
        <f aca="false">"0.91 %"</f>
        <v>0.91 %</v>
      </c>
      <c r="O3109" s="0" t="s">
        <v>10636</v>
      </c>
    </row>
    <row r="3110" customFormat="false" ht="13.8" hidden="false" customHeight="false" outlineLevel="0" collapsed="false">
      <c r="A3110" s="0" t="s">
        <v>10637</v>
      </c>
      <c r="D3110" s="0" t="s">
        <v>10638</v>
      </c>
      <c r="F3110" s="0" t="s">
        <v>10639</v>
      </c>
      <c r="G3110" s="0" t="n">
        <v>0</v>
      </c>
      <c r="J3110" s="0" t="s">
        <v>40</v>
      </c>
      <c r="K3110" s="0" t="str">
        <f aca="false">"2.41 %"</f>
        <v>2.41 %</v>
      </c>
      <c r="M3110" s="0" t="str">
        <f aca="false">"9.68 mA cm^{-2}"</f>
        <v>9.68 mA cm^{-2}</v>
      </c>
      <c r="O3110" s="0" t="s">
        <v>10640</v>
      </c>
    </row>
    <row r="3111" customFormat="false" ht="13.8" hidden="false" customHeight="false" outlineLevel="0" collapsed="false">
      <c r="A3111" s="0" t="s">
        <v>10641</v>
      </c>
      <c r="F3111" s="0" t="s">
        <v>40</v>
      </c>
      <c r="G3111" s="0" t="n">
        <v>1</v>
      </c>
      <c r="H3111" s="0" t="s">
        <v>33</v>
      </c>
      <c r="J3111" s="0" t="s">
        <v>34</v>
      </c>
      <c r="K3111" s="0" t="str">
        <f aca="false">"10 %"</f>
        <v>10 %</v>
      </c>
      <c r="O3111" s="0" t="s">
        <v>10642</v>
      </c>
    </row>
    <row r="3112" customFormat="false" ht="13.8" hidden="false" customHeight="false" outlineLevel="0" collapsed="false">
      <c r="A3112" s="0" t="s">
        <v>10643</v>
      </c>
      <c r="D3112" s="0" t="s">
        <v>10644</v>
      </c>
      <c r="F3112" s="0" t="s">
        <v>10645</v>
      </c>
      <c r="G3112" s="0" t="n">
        <v>0</v>
      </c>
      <c r="J3112" s="0" t="s">
        <v>40</v>
      </c>
      <c r="O3112" s="0" t="s">
        <v>10646</v>
      </c>
    </row>
    <row r="3113" customFormat="false" ht="13.8" hidden="false" customHeight="false" outlineLevel="0" collapsed="false">
      <c r="A3113" s="0" t="s">
        <v>10643</v>
      </c>
      <c r="D3113" s="0" t="s">
        <v>5822</v>
      </c>
      <c r="F3113" s="0" t="s">
        <v>5823</v>
      </c>
      <c r="G3113" s="0" t="n">
        <v>0</v>
      </c>
      <c r="J3113" s="0" t="s">
        <v>40</v>
      </c>
      <c r="K3113" s="0" t="str">
        <f aca="false">"1.94 %"</f>
        <v>1.94 %</v>
      </c>
      <c r="O3113" s="0" t="s">
        <v>10647</v>
      </c>
    </row>
    <row r="3114" customFormat="false" ht="13.8" hidden="false" customHeight="false" outlineLevel="0" collapsed="false">
      <c r="A3114" s="0" t="s">
        <v>10648</v>
      </c>
      <c r="D3114" s="0" t="s">
        <v>10649</v>
      </c>
      <c r="F3114" s="0" t="s">
        <v>10650</v>
      </c>
      <c r="G3114" s="0" t="n">
        <v>0</v>
      </c>
      <c r="J3114" s="0" t="s">
        <v>40</v>
      </c>
      <c r="K3114" s="0" t="str">
        <f aca="false">"6.79 %"</f>
        <v>6.79 %</v>
      </c>
      <c r="L3114" s="0" t="str">
        <f aca="false">"0.98 and 0.84 V"</f>
        <v>0.98 and 0.84 V</v>
      </c>
      <c r="O3114" s="0" t="s">
        <v>10651</v>
      </c>
    </row>
    <row r="3115" customFormat="false" ht="13.8" hidden="false" customHeight="false" outlineLevel="0" collapsed="false">
      <c r="A3115" s="0" t="s">
        <v>10652</v>
      </c>
      <c r="D3115" s="0" t="s">
        <v>10653</v>
      </c>
      <c r="F3115" s="0" t="s">
        <v>10654</v>
      </c>
      <c r="G3115" s="0" t="n">
        <v>0</v>
      </c>
      <c r="J3115" s="0" t="s">
        <v>40</v>
      </c>
      <c r="K3115" s="0" t="str">
        <f aca="false">"0.79 %"</f>
        <v>0.79 %</v>
      </c>
      <c r="O3115" s="0" t="s">
        <v>10655</v>
      </c>
    </row>
    <row r="3116" customFormat="false" ht="13.8" hidden="false" customHeight="false" outlineLevel="0" collapsed="false">
      <c r="A3116" s="0" t="s">
        <v>10656</v>
      </c>
      <c r="D3116" s="0" t="s">
        <v>10657</v>
      </c>
      <c r="F3116" s="0" t="s">
        <v>10658</v>
      </c>
      <c r="G3116" s="0" t="n">
        <v>0</v>
      </c>
      <c r="J3116" s="0" t="s">
        <v>40</v>
      </c>
      <c r="O3116" s="0" t="s">
        <v>10659</v>
      </c>
    </row>
    <row r="3117" customFormat="false" ht="13.8" hidden="false" customHeight="false" outlineLevel="0" collapsed="false">
      <c r="A3117" s="0" t="s">
        <v>10656</v>
      </c>
      <c r="D3117" s="0" t="s">
        <v>10660</v>
      </c>
      <c r="F3117" s="0" t="s">
        <v>10661</v>
      </c>
      <c r="G3117" s="0" t="n">
        <v>0</v>
      </c>
      <c r="J3117" s="0" t="s">
        <v>40</v>
      </c>
      <c r="K3117" s="0" t="str">
        <f aca="false">"1.53 %"</f>
        <v>1.53 %</v>
      </c>
      <c r="O3117" s="0" t="s">
        <v>10662</v>
      </c>
    </row>
    <row r="3118" customFormat="false" ht="13.8" hidden="false" customHeight="false" outlineLevel="0" collapsed="false">
      <c r="A3118" s="0" t="s">
        <v>10663</v>
      </c>
      <c r="D3118" s="0" t="s">
        <v>10664</v>
      </c>
      <c r="F3118" s="0" t="s">
        <v>10665</v>
      </c>
      <c r="G3118" s="0" t="n">
        <v>0</v>
      </c>
      <c r="J3118" s="0" t="s">
        <v>40</v>
      </c>
      <c r="O3118" s="0" t="s">
        <v>10666</v>
      </c>
    </row>
    <row r="3119" customFormat="false" ht="13.8" hidden="false" customHeight="false" outlineLevel="0" collapsed="false">
      <c r="A3119" s="0" t="s">
        <v>10663</v>
      </c>
      <c r="D3119" s="0" t="s">
        <v>10667</v>
      </c>
      <c r="F3119" s="0" t="s">
        <v>10668</v>
      </c>
      <c r="G3119" s="0" t="n">
        <v>0</v>
      </c>
      <c r="J3119" s="0" t="s">
        <v>40</v>
      </c>
      <c r="K3119" s="0" t="str">
        <f aca="false">"2.2 %"</f>
        <v>2.2 %</v>
      </c>
      <c r="M3119" s="0" t="str">
        <f aca="false">"6.4 mA/cm^{2}"</f>
        <v>6.4 mA/cm^{2}</v>
      </c>
      <c r="O3119" s="0" t="s">
        <v>10669</v>
      </c>
    </row>
    <row r="3120" customFormat="false" ht="13.8" hidden="false" customHeight="false" outlineLevel="0" collapsed="false">
      <c r="A3120" s="0" t="s">
        <v>10670</v>
      </c>
      <c r="D3120" s="0" t="e">
        <f aca="false">- difluorobenzothiadiazole</f>
        <v>#NAME?</v>
      </c>
      <c r="F3120" s="0" t="s">
        <v>10671</v>
      </c>
      <c r="G3120" s="0" t="n">
        <v>0</v>
      </c>
      <c r="J3120" s="0" t="s">
        <v>40</v>
      </c>
      <c r="K3120" s="0" t="str">
        <f aca="false">"9 %"</f>
        <v>9 %</v>
      </c>
      <c r="O3120" s="0" t="s">
        <v>10672</v>
      </c>
    </row>
    <row r="3121" customFormat="false" ht="13.8" hidden="false" customHeight="false" outlineLevel="0" collapsed="false">
      <c r="A3121" s="0" t="s">
        <v>10673</v>
      </c>
      <c r="D3121" s="0" t="s">
        <v>2180</v>
      </c>
      <c r="F3121" s="0" t="s">
        <v>40</v>
      </c>
      <c r="G3121" s="0" t="n">
        <v>0</v>
      </c>
      <c r="J3121" s="0" t="s">
        <v>40</v>
      </c>
      <c r="K3121" s="0" t="str">
        <f aca="false">"3.49 %"</f>
        <v>3.49 %</v>
      </c>
      <c r="N3121" s="0" t="str">
        <f aca="false">"0.57-0.63"</f>
        <v>0.57-0.63</v>
      </c>
      <c r="O3121" s="0" t="s">
        <v>10674</v>
      </c>
    </row>
    <row r="3122" customFormat="false" ht="13.8" hidden="false" customHeight="false" outlineLevel="0" collapsed="false">
      <c r="A3122" s="0" t="s">
        <v>10675</v>
      </c>
      <c r="F3122" s="0" t="s">
        <v>40</v>
      </c>
      <c r="G3122" s="0" t="n">
        <v>0</v>
      </c>
      <c r="H3122" s="0" t="s">
        <v>3723</v>
      </c>
      <c r="J3122" s="0" t="s">
        <v>3725</v>
      </c>
      <c r="K3122" s="0" t="str">
        <f aca="false">"6.9 %"</f>
        <v>6.9 %</v>
      </c>
      <c r="O3122" s="0" t="s">
        <v>10676</v>
      </c>
    </row>
    <row r="3123" customFormat="false" ht="13.8" hidden="false" customHeight="false" outlineLevel="0" collapsed="false">
      <c r="A3123" s="0" t="s">
        <v>10677</v>
      </c>
      <c r="D3123" s="0" t="s">
        <v>124</v>
      </c>
      <c r="F3123" s="0" t="s">
        <v>427</v>
      </c>
      <c r="G3123" s="0" t="n">
        <v>0</v>
      </c>
      <c r="J3123" s="0" t="s">
        <v>40</v>
      </c>
      <c r="O3123" s="0" t="s">
        <v>10678</v>
      </c>
    </row>
    <row r="3124" customFormat="false" ht="13.8" hidden="false" customHeight="false" outlineLevel="0" collapsed="false">
      <c r="A3124" s="0" t="s">
        <v>10677</v>
      </c>
      <c r="D3124" s="0" t="s">
        <v>128</v>
      </c>
      <c r="F3124" s="0" t="s">
        <v>130</v>
      </c>
      <c r="G3124" s="0" t="n">
        <v>0</v>
      </c>
      <c r="J3124" s="0" t="s">
        <v>40</v>
      </c>
      <c r="K3124" s="0" t="str">
        <f aca="false">"2.14 %"</f>
        <v>2.14 %</v>
      </c>
      <c r="O3124" s="0" t="s">
        <v>10679</v>
      </c>
    </row>
    <row r="3125" customFormat="false" ht="13.8" hidden="false" customHeight="false" outlineLevel="0" collapsed="false">
      <c r="A3125" s="0" t="s">
        <v>10680</v>
      </c>
      <c r="D3125" s="0" t="s">
        <v>10681</v>
      </c>
      <c r="F3125" s="0" t="s">
        <v>10682</v>
      </c>
      <c r="G3125" s="0" t="n">
        <v>0</v>
      </c>
      <c r="J3125" s="0" t="s">
        <v>40</v>
      </c>
      <c r="K3125" s="0" t="str">
        <f aca="false">"1.92 %"</f>
        <v>1.92 %</v>
      </c>
      <c r="O3125" s="0" t="s">
        <v>10683</v>
      </c>
    </row>
    <row r="3126" customFormat="false" ht="13.8" hidden="false" customHeight="false" outlineLevel="0" collapsed="false">
      <c r="A3126" s="0" t="s">
        <v>10684</v>
      </c>
      <c r="F3126" s="0" t="s">
        <v>40</v>
      </c>
      <c r="G3126" s="0" t="n">
        <v>1</v>
      </c>
      <c r="H3126" s="0" t="s">
        <v>76</v>
      </c>
      <c r="J3126" s="0" t="s">
        <v>40</v>
      </c>
      <c r="K3126" s="0" t="str">
        <f aca="false">"2.06 %"</f>
        <v>2.06 %</v>
      </c>
      <c r="O3126" s="0" t="s">
        <v>10685</v>
      </c>
    </row>
    <row r="3127" customFormat="false" ht="13.8" hidden="false" customHeight="false" outlineLevel="0" collapsed="false">
      <c r="A3127" s="0" t="s">
        <v>10686</v>
      </c>
      <c r="D3127" s="0" t="s">
        <v>10687</v>
      </c>
      <c r="F3127" s="0" t="s">
        <v>10688</v>
      </c>
      <c r="G3127" s="0" t="n">
        <v>0</v>
      </c>
      <c r="J3127" s="0" t="s">
        <v>40</v>
      </c>
      <c r="K3127" s="0" t="str">
        <f aca="false">"7.4 %"</f>
        <v>7.4 %</v>
      </c>
      <c r="N3127" s="0" t="str">
        <f aca="false">"65 %"</f>
        <v>65 %</v>
      </c>
      <c r="O3127" s="0" t="s">
        <v>10689</v>
      </c>
    </row>
    <row r="3128" customFormat="false" ht="13.8" hidden="false" customHeight="false" outlineLevel="0" collapsed="false">
      <c r="A3128" s="0" t="s">
        <v>10690</v>
      </c>
      <c r="D3128" s="0" t="s">
        <v>10691</v>
      </c>
      <c r="F3128" s="0" t="s">
        <v>40</v>
      </c>
      <c r="G3128" s="0" t="n">
        <v>0</v>
      </c>
      <c r="J3128" s="0" t="s">
        <v>40</v>
      </c>
      <c r="K3128" s="0" t="str">
        <f aca="false">"2.0 %"</f>
        <v>2.0 %</v>
      </c>
      <c r="O3128" s="0" t="s">
        <v>10692</v>
      </c>
    </row>
    <row r="3129" customFormat="false" ht="13.8" hidden="false" customHeight="false" outlineLevel="0" collapsed="false">
      <c r="A3129" s="0" t="s">
        <v>10693</v>
      </c>
      <c r="D3129" s="0" t="s">
        <v>201</v>
      </c>
      <c r="E3129" s="0" t="s">
        <v>202</v>
      </c>
      <c r="F3129" s="0" t="s">
        <v>422</v>
      </c>
      <c r="G3129" s="0" t="n">
        <v>0</v>
      </c>
      <c r="J3129" s="0" t="s">
        <v>40</v>
      </c>
      <c r="L3129" s="0" t="str">
        <f aca="false">"0.77 V"</f>
        <v>0.77 V</v>
      </c>
      <c r="O3129" s="0" t="s">
        <v>10694</v>
      </c>
    </row>
    <row r="3130" customFormat="false" ht="13.8" hidden="false" customHeight="false" outlineLevel="0" collapsed="false">
      <c r="A3130" s="0" t="s">
        <v>10693</v>
      </c>
      <c r="D3130" s="0" t="s">
        <v>10695</v>
      </c>
      <c r="F3130" s="0" t="s">
        <v>10696</v>
      </c>
      <c r="G3130" s="0" t="n">
        <v>0</v>
      </c>
      <c r="J3130" s="0" t="s">
        <v>40</v>
      </c>
      <c r="K3130" s="0" t="str">
        <f aca="false">"4.30 %"</f>
        <v>4.30 %</v>
      </c>
      <c r="O3130" s="0" t="s">
        <v>10697</v>
      </c>
    </row>
    <row r="3131" customFormat="false" ht="13.8" hidden="false" customHeight="false" outlineLevel="0" collapsed="false">
      <c r="A3131" s="0" t="s">
        <v>10698</v>
      </c>
      <c r="D3131" s="0" t="s">
        <v>10699</v>
      </c>
      <c r="F3131" s="0" t="s">
        <v>10700</v>
      </c>
      <c r="G3131" s="0" t="n">
        <v>0</v>
      </c>
      <c r="J3131" s="0" t="s">
        <v>40</v>
      </c>
      <c r="K3131" s="0" t="str">
        <f aca="false">"80 %"</f>
        <v>80 %</v>
      </c>
      <c r="O3131" s="0" t="s">
        <v>10701</v>
      </c>
    </row>
    <row r="3132" customFormat="false" ht="13.8" hidden="false" customHeight="false" outlineLevel="0" collapsed="false">
      <c r="A3132" s="0" t="s">
        <v>10702</v>
      </c>
      <c r="F3132" s="0" t="s">
        <v>40</v>
      </c>
      <c r="G3132" s="0" t="n">
        <v>1</v>
      </c>
      <c r="H3132" s="0" t="s">
        <v>152</v>
      </c>
      <c r="J3132" s="0" t="s">
        <v>40</v>
      </c>
      <c r="K3132" s="0" t="str">
        <f aca="false">"1.46 %"</f>
        <v>1.46 %</v>
      </c>
      <c r="O3132" s="0" t="s">
        <v>10703</v>
      </c>
    </row>
    <row r="3133" customFormat="false" ht="13.8" hidden="false" customHeight="false" outlineLevel="0" collapsed="false">
      <c r="A3133" s="0" t="s">
        <v>10704</v>
      </c>
      <c r="D3133" s="0" t="s">
        <v>10705</v>
      </c>
      <c r="F3133" s="0" t="s">
        <v>10706</v>
      </c>
      <c r="G3133" s="0" t="n">
        <v>0</v>
      </c>
      <c r="J3133" s="0" t="s">
        <v>40</v>
      </c>
      <c r="K3133" s="0" t="str">
        <f aca="false">"2.88 %"</f>
        <v>2.88 %</v>
      </c>
      <c r="L3133" s="0" t="str">
        <f aca="false">"0.61 V"</f>
        <v>0.61 V</v>
      </c>
      <c r="M3133" s="0" t="str">
        <f aca="false">"9.15 mA/cm^{2}"</f>
        <v>9.15 mA/cm^{2}</v>
      </c>
      <c r="N3133" s="0" t="str">
        <f aca="false">"51.6 %"</f>
        <v>51.6 %</v>
      </c>
      <c r="O3133" s="0" t="s">
        <v>10707</v>
      </c>
    </row>
    <row r="3134" customFormat="false" ht="13.8" hidden="false" customHeight="false" outlineLevel="0" collapsed="false">
      <c r="A3134" s="0" t="s">
        <v>10708</v>
      </c>
      <c r="F3134" s="0" t="s">
        <v>40</v>
      </c>
      <c r="G3134" s="0" t="n">
        <v>1</v>
      </c>
      <c r="H3134" s="0" t="s">
        <v>27</v>
      </c>
      <c r="J3134" s="0" t="s">
        <v>1274</v>
      </c>
      <c r="K3134" s="0" t="str">
        <f aca="false">"8.20 %"</f>
        <v>8.20 %</v>
      </c>
      <c r="O3134" s="0" t="s">
        <v>10709</v>
      </c>
    </row>
    <row r="3135" customFormat="false" ht="13.8" hidden="false" customHeight="false" outlineLevel="0" collapsed="false">
      <c r="A3135" s="0" t="s">
        <v>10710</v>
      </c>
      <c r="D3135" s="0" t="s">
        <v>16</v>
      </c>
      <c r="E3135" s="0" t="s">
        <v>17</v>
      </c>
      <c r="F3135" s="0" t="s">
        <v>116</v>
      </c>
      <c r="G3135" s="0" t="n">
        <v>0</v>
      </c>
      <c r="J3135" s="0" t="s">
        <v>40</v>
      </c>
      <c r="K3135" s="0" t="str">
        <f aca="false">"3 %"</f>
        <v>3 %</v>
      </c>
      <c r="O3135" s="0" t="s">
        <v>10711</v>
      </c>
    </row>
    <row r="3136" customFormat="false" ht="13.8" hidden="false" customHeight="false" outlineLevel="0" collapsed="false">
      <c r="A3136" s="0" t="s">
        <v>10710</v>
      </c>
      <c r="D3136" s="0" t="s">
        <v>63</v>
      </c>
      <c r="E3136" s="0" t="s">
        <v>64</v>
      </c>
      <c r="F3136" s="0" t="s">
        <v>65</v>
      </c>
      <c r="G3136" s="0" t="n">
        <v>0</v>
      </c>
      <c r="J3136" s="0" t="s">
        <v>40</v>
      </c>
      <c r="L3136" s="0" t="str">
        <f aca="false">"1.04 V"</f>
        <v>1.04 V</v>
      </c>
      <c r="O3136" s="0" t="s">
        <v>10712</v>
      </c>
    </row>
    <row r="3137" customFormat="false" ht="13.8" hidden="false" customHeight="false" outlineLevel="0" collapsed="false">
      <c r="A3137" s="0" t="s">
        <v>10710</v>
      </c>
      <c r="D3137" s="0" t="s">
        <v>403</v>
      </c>
      <c r="E3137" s="0" t="s">
        <v>404</v>
      </c>
      <c r="F3137" s="0" t="s">
        <v>405</v>
      </c>
      <c r="G3137" s="0" t="n">
        <v>0</v>
      </c>
      <c r="J3137" s="0" t="s">
        <v>40</v>
      </c>
      <c r="K3137" s="0" t="str">
        <f aca="false">"4.5 %"</f>
        <v>4.5 %</v>
      </c>
      <c r="O3137" s="0" t="s">
        <v>10713</v>
      </c>
    </row>
    <row r="3138" customFormat="false" ht="13.8" hidden="false" customHeight="false" outlineLevel="0" collapsed="false">
      <c r="A3138" s="0" t="s">
        <v>10714</v>
      </c>
      <c r="D3138" s="0" t="s">
        <v>10715</v>
      </c>
      <c r="F3138" s="0" t="s">
        <v>10716</v>
      </c>
      <c r="G3138" s="0" t="n">
        <v>0</v>
      </c>
      <c r="J3138" s="0" t="s">
        <v>40</v>
      </c>
      <c r="K3138" s="0" t="str">
        <f aca="false">"7.69 %"</f>
        <v>7.69 %</v>
      </c>
      <c r="O3138" s="0" t="s">
        <v>10717</v>
      </c>
    </row>
    <row r="3139" customFormat="false" ht="13.8" hidden="false" customHeight="false" outlineLevel="0" collapsed="false">
      <c r="A3139" s="0" t="s">
        <v>10718</v>
      </c>
      <c r="D3139" s="0" t="s">
        <v>201</v>
      </c>
      <c r="E3139" s="0" t="s">
        <v>202</v>
      </c>
      <c r="F3139" s="0" t="s">
        <v>422</v>
      </c>
      <c r="G3139" s="0" t="n">
        <v>0</v>
      </c>
      <c r="J3139" s="0" t="s">
        <v>40</v>
      </c>
      <c r="K3139" s="0" t="str">
        <f aca="false">"0.14 %"</f>
        <v>0.14 %</v>
      </c>
      <c r="O3139" s="0" t="s">
        <v>10719</v>
      </c>
    </row>
    <row r="3140" customFormat="false" ht="13.8" hidden="false" customHeight="false" outlineLevel="0" collapsed="false">
      <c r="A3140" s="0" t="s">
        <v>10720</v>
      </c>
      <c r="D3140" s="0" t="s">
        <v>1154</v>
      </c>
      <c r="F3140" s="0" t="s">
        <v>40</v>
      </c>
      <c r="G3140" s="0" t="n">
        <v>0</v>
      </c>
      <c r="J3140" s="0" t="s">
        <v>40</v>
      </c>
      <c r="K3140" s="0" t="str">
        <f aca="false">"8.32 %"</f>
        <v>8.32 %</v>
      </c>
      <c r="L3140" s="0" t="str">
        <f aca="false">"0.92 V"</f>
        <v>0.92 V</v>
      </c>
      <c r="M3140" s="0" t="str">
        <f aca="false">"13.91 mA/cm^{2}"</f>
        <v>13.91 mA/cm^{2}</v>
      </c>
      <c r="N3140" s="0" t="str">
        <f aca="false">"65.21 %"</f>
        <v>65.21 %</v>
      </c>
      <c r="O3140" s="0" t="s">
        <v>10721</v>
      </c>
    </row>
    <row r="3141" customFormat="false" ht="13.8" hidden="false" customHeight="false" outlineLevel="0" collapsed="false">
      <c r="A3141" s="0" t="s">
        <v>10722</v>
      </c>
      <c r="D3141" s="0" t="s">
        <v>10723</v>
      </c>
      <c r="F3141" s="0" t="s">
        <v>10724</v>
      </c>
      <c r="G3141" s="0" t="n">
        <v>0</v>
      </c>
      <c r="J3141" s="0" t="s">
        <v>40</v>
      </c>
      <c r="K3141" s="0" t="str">
        <f aca="false">"8.55 %"</f>
        <v>8.55 %</v>
      </c>
      <c r="L3141" s="0" t="str">
        <f aca="false">"0.90 V"</f>
        <v>0.90 V</v>
      </c>
      <c r="O3141" s="0" t="s">
        <v>10725</v>
      </c>
    </row>
    <row r="3142" customFormat="false" ht="13.8" hidden="false" customHeight="false" outlineLevel="0" collapsed="false">
      <c r="A3142" s="0" t="s">
        <v>10726</v>
      </c>
      <c r="D3142" s="0" t="s">
        <v>10186</v>
      </c>
      <c r="F3142" s="0" t="s">
        <v>10187</v>
      </c>
      <c r="G3142" s="0" t="n">
        <v>0</v>
      </c>
      <c r="J3142" s="0" t="s">
        <v>40</v>
      </c>
      <c r="K3142" s="0" t="str">
        <f aca="false">"0.84 %"</f>
        <v>0.84 %</v>
      </c>
      <c r="O3142" s="0" t="s">
        <v>10727</v>
      </c>
    </row>
    <row r="3143" customFormat="false" ht="13.8" hidden="false" customHeight="false" outlineLevel="0" collapsed="false">
      <c r="A3143" s="0" t="s">
        <v>10728</v>
      </c>
      <c r="D3143" s="0" t="s">
        <v>1924</v>
      </c>
      <c r="E3143" s="0" t="s">
        <v>1925</v>
      </c>
      <c r="F3143" s="0" t="s">
        <v>1926</v>
      </c>
      <c r="G3143" s="0" t="n">
        <v>0</v>
      </c>
      <c r="J3143" s="0" t="s">
        <v>40</v>
      </c>
      <c r="K3143" s="0" t="str">
        <f aca="false">"7.15 %"</f>
        <v>7.15 %</v>
      </c>
      <c r="O3143" s="0" t="s">
        <v>10729</v>
      </c>
    </row>
    <row r="3144" customFormat="false" ht="13.8" hidden="false" customHeight="false" outlineLevel="0" collapsed="false">
      <c r="A3144" s="0" t="s">
        <v>10730</v>
      </c>
      <c r="D3144" s="0" t="s">
        <v>10731</v>
      </c>
      <c r="E3144" s="0" t="s">
        <v>10732</v>
      </c>
      <c r="F3144" s="0" t="s">
        <v>10733</v>
      </c>
      <c r="G3144" s="0" t="n">
        <v>0</v>
      </c>
      <c r="J3144" s="0" t="s">
        <v>40</v>
      </c>
      <c r="K3144" s="0" t="str">
        <f aca="false">"4.08 %"</f>
        <v>4.08 %</v>
      </c>
      <c r="O3144" s="0" t="s">
        <v>10734</v>
      </c>
    </row>
    <row r="3145" customFormat="false" ht="13.8" hidden="false" customHeight="false" outlineLevel="0" collapsed="false">
      <c r="A3145" s="0" t="s">
        <v>10735</v>
      </c>
      <c r="D3145" s="0" t="s">
        <v>10736</v>
      </c>
      <c r="F3145" s="0" t="s">
        <v>40</v>
      </c>
      <c r="G3145" s="0" t="n">
        <v>0</v>
      </c>
      <c r="J3145" s="0" t="s">
        <v>40</v>
      </c>
      <c r="K3145" s="0" t="str">
        <f aca="false">"9.4 %"</f>
        <v>9.4 %</v>
      </c>
      <c r="O3145" s="0" t="s">
        <v>10737</v>
      </c>
    </row>
    <row r="3146" customFormat="false" ht="13.8" hidden="false" customHeight="false" outlineLevel="0" collapsed="false">
      <c r="A3146" s="0" t="s">
        <v>10738</v>
      </c>
      <c r="D3146" s="0" t="s">
        <v>10739</v>
      </c>
      <c r="F3146" s="0" t="s">
        <v>10740</v>
      </c>
      <c r="G3146" s="0" t="n">
        <v>0</v>
      </c>
      <c r="J3146" s="0" t="s">
        <v>40</v>
      </c>
      <c r="K3146" s="0" t="str">
        <f aca="false">"6 %"</f>
        <v>6 %</v>
      </c>
      <c r="N3146" s="0" t="str">
        <f aca="false">"60 %"</f>
        <v>60 %</v>
      </c>
      <c r="O3146" s="0" t="s">
        <v>10741</v>
      </c>
    </row>
    <row r="3147" customFormat="false" ht="13.8" hidden="false" customHeight="false" outlineLevel="0" collapsed="false">
      <c r="A3147" s="0" t="s">
        <v>10742</v>
      </c>
      <c r="D3147" s="0" t="s">
        <v>10743</v>
      </c>
      <c r="F3147" s="0" t="s">
        <v>10744</v>
      </c>
      <c r="G3147" s="0" t="n">
        <v>0</v>
      </c>
      <c r="J3147" s="0" t="s">
        <v>40</v>
      </c>
      <c r="K3147" s="0" t="str">
        <f aca="false">"8.80 %"</f>
        <v>8.80 %</v>
      </c>
      <c r="L3147" s="0" t="str">
        <f aca="false">"1.06 V"</f>
        <v>1.06 V</v>
      </c>
      <c r="O3147" s="0" t="s">
        <v>10745</v>
      </c>
    </row>
    <row r="3148" customFormat="false" ht="13.8" hidden="false" customHeight="false" outlineLevel="0" collapsed="false">
      <c r="A3148" s="0" t="s">
        <v>10746</v>
      </c>
      <c r="F3148" s="0" t="s">
        <v>40</v>
      </c>
      <c r="G3148" s="0" t="n">
        <v>0</v>
      </c>
      <c r="H3148" s="0" t="s">
        <v>10747</v>
      </c>
      <c r="J3148" s="0" t="s">
        <v>40</v>
      </c>
      <c r="K3148" s="0" t="str">
        <f aca="false">"14.13 %"</f>
        <v>14.13 %</v>
      </c>
      <c r="O3148" s="0" t="s">
        <v>10748</v>
      </c>
    </row>
    <row r="3149" customFormat="false" ht="13.8" hidden="false" customHeight="false" outlineLevel="0" collapsed="false">
      <c r="A3149" s="0" t="s">
        <v>10749</v>
      </c>
      <c r="D3149" s="0" t="s">
        <v>10750</v>
      </c>
      <c r="F3149" s="0" t="s">
        <v>40</v>
      </c>
      <c r="G3149" s="0" t="n">
        <v>0</v>
      </c>
      <c r="J3149" s="0" t="s">
        <v>40</v>
      </c>
      <c r="K3149" s="0" t="str">
        <f aca="false">"4.16 %"</f>
        <v>4.16 %</v>
      </c>
      <c r="M3149" s="0" t="str">
        <f aca="false">"11.7 and 10.96 mA/cm^{2}"</f>
        <v>11.7 and 10.96 mA/cm^{2}</v>
      </c>
      <c r="O3149" s="0" t="s">
        <v>10751</v>
      </c>
    </row>
    <row r="3150" customFormat="false" ht="13.8" hidden="false" customHeight="false" outlineLevel="0" collapsed="false">
      <c r="A3150" s="0" t="s">
        <v>10752</v>
      </c>
      <c r="D3150" s="0" t="s">
        <v>6362</v>
      </c>
      <c r="F3150" s="0" t="s">
        <v>40</v>
      </c>
      <c r="G3150" s="0" t="n">
        <v>0</v>
      </c>
      <c r="J3150" s="0" t="s">
        <v>40</v>
      </c>
      <c r="K3150" s="0" t="str">
        <f aca="false">"2.92 %"</f>
        <v>2.92 %</v>
      </c>
      <c r="O3150" s="0" t="s">
        <v>10753</v>
      </c>
    </row>
    <row r="3151" customFormat="false" ht="13.8" hidden="false" customHeight="false" outlineLevel="0" collapsed="false">
      <c r="A3151" s="0" t="s">
        <v>10754</v>
      </c>
      <c r="D3151" s="0" t="s">
        <v>10755</v>
      </c>
      <c r="F3151" s="0" t="s">
        <v>10756</v>
      </c>
      <c r="G3151" s="0" t="n">
        <v>0</v>
      </c>
      <c r="J3151" s="0" t="s">
        <v>40</v>
      </c>
      <c r="K3151" s="0" t="str">
        <f aca="false">"3.43 %"</f>
        <v>3.43 %</v>
      </c>
      <c r="M3151" s="0" t="str">
        <f aca="false">"11.2 mA/cm^{2}"</f>
        <v>11.2 mA/cm^{2}</v>
      </c>
      <c r="N3151" s="0" t="str">
        <f aca="false">"42.5 %"</f>
        <v>42.5 %</v>
      </c>
      <c r="O3151" s="0" t="s">
        <v>10757</v>
      </c>
    </row>
    <row r="3152" customFormat="false" ht="13.8" hidden="false" customHeight="false" outlineLevel="0" collapsed="false">
      <c r="A3152" s="0" t="s">
        <v>10758</v>
      </c>
      <c r="F3152" s="0" t="s">
        <v>40</v>
      </c>
      <c r="G3152" s="0" t="n">
        <v>1</v>
      </c>
      <c r="H3152" s="0" t="s">
        <v>27</v>
      </c>
      <c r="J3152" s="0" t="s">
        <v>28</v>
      </c>
      <c r="K3152" s="0" t="str">
        <f aca="false">"8.11 %"</f>
        <v>8.11 %</v>
      </c>
      <c r="O3152" s="0" t="s">
        <v>10759</v>
      </c>
    </row>
    <row r="3153" customFormat="false" ht="13.8" hidden="false" customHeight="false" outlineLevel="0" collapsed="false">
      <c r="A3153" s="0" t="s">
        <v>10760</v>
      </c>
      <c r="F3153" s="0" t="s">
        <v>40</v>
      </c>
      <c r="G3153" s="0" t="n">
        <v>1</v>
      </c>
      <c r="H3153" s="0" t="s">
        <v>27</v>
      </c>
      <c r="J3153" s="0" t="s">
        <v>28</v>
      </c>
      <c r="K3153" s="0" t="str">
        <f aca="false">"6.970 %"</f>
        <v>6.970 %</v>
      </c>
      <c r="O3153" s="0" t="s">
        <v>10761</v>
      </c>
    </row>
    <row r="3154" customFormat="false" ht="13.8" hidden="false" customHeight="false" outlineLevel="0" collapsed="false">
      <c r="A3154" s="0" t="s">
        <v>10762</v>
      </c>
      <c r="D3154" s="0" t="s">
        <v>201</v>
      </c>
      <c r="E3154" s="0" t="s">
        <v>202</v>
      </c>
      <c r="F3154" s="0" t="s">
        <v>422</v>
      </c>
      <c r="G3154" s="0" t="n">
        <v>0</v>
      </c>
      <c r="J3154" s="0" t="s">
        <v>40</v>
      </c>
      <c r="K3154" s="0" t="str">
        <f aca="false">"6.65 %"</f>
        <v>6.65 %</v>
      </c>
      <c r="N3154" s="0" t="str">
        <f aca="false">"0.65"</f>
        <v>0.65</v>
      </c>
      <c r="O3154" s="0" t="s">
        <v>10763</v>
      </c>
    </row>
    <row r="3155" customFormat="false" ht="13.8" hidden="false" customHeight="false" outlineLevel="0" collapsed="false">
      <c r="A3155" s="0" t="s">
        <v>10764</v>
      </c>
      <c r="D3155" s="0" t="s">
        <v>10765</v>
      </c>
      <c r="E3155" s="0" t="s">
        <v>600</v>
      </c>
      <c r="F3155" s="0" t="s">
        <v>10766</v>
      </c>
      <c r="G3155" s="0" t="n">
        <v>0</v>
      </c>
      <c r="J3155" s="0" t="s">
        <v>40</v>
      </c>
      <c r="K3155" s="0" t="str">
        <f aca="false">"8.8 %"</f>
        <v>8.8 %</v>
      </c>
      <c r="O3155" s="0" t="s">
        <v>10767</v>
      </c>
    </row>
    <row r="3156" customFormat="false" ht="13.8" hidden="false" customHeight="false" outlineLevel="0" collapsed="false">
      <c r="A3156" s="0" t="s">
        <v>10768</v>
      </c>
      <c r="D3156" s="0" t="s">
        <v>10553</v>
      </c>
      <c r="E3156" s="0" t="s">
        <v>1169</v>
      </c>
      <c r="F3156" s="0" t="s">
        <v>10769</v>
      </c>
      <c r="G3156" s="0" t="n">
        <v>0</v>
      </c>
      <c r="J3156" s="0" t="s">
        <v>40</v>
      </c>
      <c r="K3156" s="0" t="str">
        <f aca="false">"3.98 %"</f>
        <v>3.98 %</v>
      </c>
      <c r="O3156" s="0" t="s">
        <v>10770</v>
      </c>
    </row>
    <row r="3157" customFormat="false" ht="13.8" hidden="false" customHeight="false" outlineLevel="0" collapsed="false">
      <c r="A3157" s="0" t="s">
        <v>10768</v>
      </c>
      <c r="D3157" s="0" t="s">
        <v>1924</v>
      </c>
      <c r="E3157" s="0" t="s">
        <v>1925</v>
      </c>
      <c r="F3157" s="0" t="s">
        <v>1926</v>
      </c>
      <c r="G3157" s="0" t="n">
        <v>0</v>
      </c>
      <c r="J3157" s="0" t="s">
        <v>40</v>
      </c>
      <c r="K3157" s="0" t="str">
        <f aca="false">"3.85 %"</f>
        <v>3.85 %</v>
      </c>
      <c r="O3157" s="0" t="s">
        <v>10771</v>
      </c>
    </row>
    <row r="3158" customFormat="false" ht="13.8" hidden="false" customHeight="false" outlineLevel="0" collapsed="false">
      <c r="A3158" s="0" t="s">
        <v>10772</v>
      </c>
      <c r="D3158" s="0" t="s">
        <v>10773</v>
      </c>
      <c r="F3158" s="0" t="s">
        <v>10774</v>
      </c>
      <c r="G3158" s="0" t="n">
        <v>0</v>
      </c>
      <c r="J3158" s="0" t="s">
        <v>40</v>
      </c>
      <c r="K3158" s="0" t="str">
        <f aca="false">"3.69 %"</f>
        <v>3.69 %</v>
      </c>
      <c r="L3158" s="0" t="str">
        <f aca="false">"0.63 V"</f>
        <v>0.63 V</v>
      </c>
      <c r="M3158" s="0" t="str">
        <f aca="false">"9.92 mA cm^{-2}"</f>
        <v>9.92 mA cm^{-2}</v>
      </c>
      <c r="N3158" s="0" t="str">
        <f aca="false">"59.1 %"</f>
        <v>59.1 %</v>
      </c>
      <c r="O3158" s="0" t="s">
        <v>10775</v>
      </c>
    </row>
    <row r="3159" customFormat="false" ht="13.8" hidden="false" customHeight="false" outlineLevel="0" collapsed="false">
      <c r="A3159" s="0" t="s">
        <v>10776</v>
      </c>
      <c r="D3159" s="0" t="s">
        <v>10777</v>
      </c>
      <c r="F3159" s="0" t="s">
        <v>10778</v>
      </c>
      <c r="G3159" s="0" t="n">
        <v>0</v>
      </c>
      <c r="J3159" s="0" t="s">
        <v>40</v>
      </c>
      <c r="K3159" s="0" t="str">
        <f aca="false">"9.73 %"</f>
        <v>9.73 %</v>
      </c>
      <c r="L3159" s="0" t="str">
        <f aca="false">"0.93 V"</f>
        <v>0.93 V</v>
      </c>
      <c r="M3159" s="0" t="str">
        <f aca="false">"14.23 mA/cm^{2}"</f>
        <v>14.23 mA/cm^{2}</v>
      </c>
      <c r="N3159" s="0" t="str">
        <f aca="false">"0.735"</f>
        <v>0.735</v>
      </c>
      <c r="O3159" s="0" t="s">
        <v>10779</v>
      </c>
    </row>
    <row r="3160" customFormat="false" ht="13.8" hidden="false" customHeight="false" outlineLevel="0" collapsed="false">
      <c r="A3160" s="0" t="s">
        <v>10780</v>
      </c>
      <c r="D3160" s="0" t="s">
        <v>208</v>
      </c>
      <c r="E3160" s="0" t="s">
        <v>17</v>
      </c>
      <c r="F3160" s="0" t="s">
        <v>209</v>
      </c>
      <c r="G3160" s="0" t="n">
        <v>0</v>
      </c>
      <c r="J3160" s="0" t="s">
        <v>40</v>
      </c>
      <c r="K3160" s="0" t="str">
        <f aca="false">"3.52 %"</f>
        <v>3.52 %</v>
      </c>
      <c r="M3160" s="0" t="str">
        <f aca="false">"2.4 mA/cm^{2}"</f>
        <v>2.4 mA/cm^{2}</v>
      </c>
      <c r="O3160" s="0" t="s">
        <v>10781</v>
      </c>
    </row>
    <row r="3161" customFormat="false" ht="13.8" hidden="false" customHeight="false" outlineLevel="0" collapsed="false">
      <c r="A3161" s="0" t="s">
        <v>10782</v>
      </c>
      <c r="D3161" s="0" t="s">
        <v>16</v>
      </c>
      <c r="E3161" s="0" t="s">
        <v>17</v>
      </c>
      <c r="F3161" s="0" t="s">
        <v>10783</v>
      </c>
      <c r="G3161" s="0" t="n">
        <v>0</v>
      </c>
      <c r="J3161" s="0" t="s">
        <v>40</v>
      </c>
      <c r="O3161" s="0" t="s">
        <v>10784</v>
      </c>
    </row>
    <row r="3162" customFormat="false" ht="13.8" hidden="false" customHeight="false" outlineLevel="0" collapsed="false">
      <c r="A3162" s="0" t="s">
        <v>10782</v>
      </c>
      <c r="F3162" s="0" t="s">
        <v>40</v>
      </c>
      <c r="G3162" s="0" t="n">
        <v>0</v>
      </c>
      <c r="J3162" s="0" t="s">
        <v>40</v>
      </c>
      <c r="K3162" s="0" t="str">
        <f aca="false">"2.2 %"</f>
        <v>2.2 %</v>
      </c>
      <c r="O3162" s="0" t="s">
        <v>10785</v>
      </c>
    </row>
    <row r="3163" customFormat="false" ht="13.8" hidden="false" customHeight="false" outlineLevel="0" collapsed="false">
      <c r="A3163" s="0" t="s">
        <v>10786</v>
      </c>
      <c r="D3163" s="0" t="s">
        <v>10787</v>
      </c>
      <c r="F3163" s="0" t="s">
        <v>10788</v>
      </c>
      <c r="G3163" s="0" t="n">
        <v>0</v>
      </c>
      <c r="J3163" s="0" t="s">
        <v>40</v>
      </c>
      <c r="K3163" s="0" t="str">
        <f aca="false">"10.10 %"</f>
        <v>10.10 %</v>
      </c>
      <c r="L3163" s="0" t="str">
        <f aca="false">"0.97 V"</f>
        <v>0.97 V</v>
      </c>
      <c r="M3163" s="0" t="str">
        <f aca="false">"15.81 mA cm^{-2}"</f>
        <v>15.81 mA cm^{-2}</v>
      </c>
      <c r="N3163" s="0" t="str">
        <f aca="false">"65.9 %"</f>
        <v>65.9 %</v>
      </c>
      <c r="O3163" s="0" t="s">
        <v>10789</v>
      </c>
    </row>
    <row r="3164" customFormat="false" ht="13.8" hidden="false" customHeight="false" outlineLevel="0" collapsed="false">
      <c r="A3164" s="0" t="s">
        <v>10790</v>
      </c>
      <c r="D3164" s="0" t="s">
        <v>10791</v>
      </c>
      <c r="F3164" s="0" t="s">
        <v>10792</v>
      </c>
      <c r="G3164" s="0" t="n">
        <v>0</v>
      </c>
      <c r="J3164" s="0" t="s">
        <v>40</v>
      </c>
      <c r="K3164" s="0" t="str">
        <f aca="false">"8.77 %"</f>
        <v>8.77 %</v>
      </c>
      <c r="O3164" s="0" t="s">
        <v>10793</v>
      </c>
    </row>
    <row r="3165" customFormat="false" ht="13.8" hidden="false" customHeight="false" outlineLevel="0" collapsed="false">
      <c r="A3165" s="0" t="s">
        <v>10794</v>
      </c>
      <c r="D3165" s="0" t="s">
        <v>6362</v>
      </c>
      <c r="F3165" s="0" t="s">
        <v>8377</v>
      </c>
      <c r="G3165" s="0" t="n">
        <v>0</v>
      </c>
      <c r="J3165" s="0" t="s">
        <v>40</v>
      </c>
      <c r="K3165" s="0" t="str">
        <f aca="false">"2.1 %"</f>
        <v>2.1 %</v>
      </c>
      <c r="O3165" s="0" t="s">
        <v>10795</v>
      </c>
    </row>
    <row r="3166" customFormat="false" ht="13.8" hidden="false" customHeight="false" outlineLevel="0" collapsed="false">
      <c r="A3166" s="0" t="s">
        <v>10796</v>
      </c>
      <c r="D3166" s="0" t="s">
        <v>201</v>
      </c>
      <c r="E3166" s="0" t="s">
        <v>202</v>
      </c>
      <c r="F3166" s="0" t="s">
        <v>422</v>
      </c>
      <c r="G3166" s="0" t="n">
        <v>0</v>
      </c>
      <c r="J3166" s="0" t="s">
        <v>40</v>
      </c>
      <c r="K3166" s="0" t="str">
        <f aca="false">"10.42 %"</f>
        <v>10.42 %</v>
      </c>
      <c r="L3166" s="0" t="str">
        <f aca="false">"0.95 V"</f>
        <v>0.95 V</v>
      </c>
      <c r="M3166" s="0" t="str">
        <f aca="false">"15.13 mA cm^{-2}"</f>
        <v>15.13 mA cm^{-2}</v>
      </c>
      <c r="N3166" s="0" t="str">
        <f aca="false">"0.72"</f>
        <v>0.72</v>
      </c>
      <c r="O3166" s="0" t="s">
        <v>10797</v>
      </c>
    </row>
    <row r="3167" customFormat="false" ht="13.8" hidden="false" customHeight="false" outlineLevel="0" collapsed="false">
      <c r="A3167" s="0" t="s">
        <v>10798</v>
      </c>
      <c r="D3167" s="0" t="s">
        <v>9221</v>
      </c>
      <c r="F3167" s="0" t="s">
        <v>9222</v>
      </c>
      <c r="G3167" s="0" t="n">
        <v>0</v>
      </c>
      <c r="J3167" s="0" t="s">
        <v>40</v>
      </c>
      <c r="K3167" s="0" t="str">
        <f aca="false">"8 %"</f>
        <v>8 %</v>
      </c>
      <c r="O3167" s="0" t="s">
        <v>10799</v>
      </c>
    </row>
    <row r="3168" customFormat="false" ht="13.8" hidden="false" customHeight="false" outlineLevel="0" collapsed="false">
      <c r="A3168" s="0" t="s">
        <v>10800</v>
      </c>
      <c r="D3168" s="0" t="s">
        <v>10801</v>
      </c>
      <c r="F3168" s="0" t="s">
        <v>10802</v>
      </c>
      <c r="G3168" s="0" t="n">
        <v>0</v>
      </c>
      <c r="J3168" s="0" t="s">
        <v>40</v>
      </c>
      <c r="K3168" s="0" t="str">
        <f aca="false">"5 %"</f>
        <v>5 %</v>
      </c>
      <c r="O3168" s="0" t="s">
        <v>10803</v>
      </c>
    </row>
    <row r="3169" customFormat="false" ht="13.8" hidden="false" customHeight="false" outlineLevel="0" collapsed="false">
      <c r="A3169" s="0" t="s">
        <v>10804</v>
      </c>
      <c r="F3169" s="0" t="s">
        <v>40</v>
      </c>
      <c r="G3169" s="0" t="n">
        <v>1</v>
      </c>
      <c r="H3169" s="0" t="s">
        <v>27</v>
      </c>
      <c r="J3169" s="0" t="s">
        <v>28</v>
      </c>
      <c r="K3169" s="0" t="str">
        <f aca="false">"4.29 %"</f>
        <v>4.29 %</v>
      </c>
      <c r="L3169" s="0" t="str">
        <f aca="false">"0.98 V"</f>
        <v>0.98 V</v>
      </c>
      <c r="O3169" s="0" t="s">
        <v>10805</v>
      </c>
    </row>
    <row r="3170" customFormat="false" ht="13.8" hidden="false" customHeight="false" outlineLevel="0" collapsed="false">
      <c r="A3170" s="0" t="s">
        <v>10806</v>
      </c>
      <c r="D3170" s="0" t="s">
        <v>10322</v>
      </c>
      <c r="E3170" s="0" t="s">
        <v>10323</v>
      </c>
      <c r="F3170" s="0" t="s">
        <v>10324</v>
      </c>
      <c r="G3170" s="0" t="n">
        <v>0</v>
      </c>
      <c r="J3170" s="0" t="s">
        <v>40</v>
      </c>
      <c r="K3170" s="0" t="str">
        <f aca="false">"8.37 %"</f>
        <v>8.37 %</v>
      </c>
      <c r="O3170" s="0" t="s">
        <v>10807</v>
      </c>
    </row>
    <row r="3171" customFormat="false" ht="13.8" hidden="false" customHeight="false" outlineLevel="0" collapsed="false">
      <c r="A3171" s="0" t="s">
        <v>10808</v>
      </c>
      <c r="D3171" s="0" t="s">
        <v>10809</v>
      </c>
      <c r="F3171" s="0" t="s">
        <v>10810</v>
      </c>
      <c r="G3171" s="0" t="n">
        <v>0</v>
      </c>
      <c r="J3171" s="0" t="s">
        <v>40</v>
      </c>
      <c r="K3171" s="0" t="str">
        <f aca="false">"11.56 %"</f>
        <v>11.56 %</v>
      </c>
      <c r="O3171" s="0" t="s">
        <v>10811</v>
      </c>
    </row>
    <row r="3172" customFormat="false" ht="13.8" hidden="false" customHeight="false" outlineLevel="0" collapsed="false">
      <c r="A3172" s="0" t="s">
        <v>10812</v>
      </c>
      <c r="F3172" s="0" t="s">
        <v>40</v>
      </c>
      <c r="G3172" s="0" t="n">
        <v>1</v>
      </c>
      <c r="H3172" s="0" t="s">
        <v>27</v>
      </c>
      <c r="J3172" s="0" t="s">
        <v>28</v>
      </c>
      <c r="K3172" s="0" t="str">
        <f aca="false">"5.3 %"</f>
        <v>5.3 %</v>
      </c>
      <c r="O3172" s="0" t="s">
        <v>10813</v>
      </c>
    </row>
    <row r="3173" customFormat="false" ht="13.8" hidden="false" customHeight="false" outlineLevel="0" collapsed="false">
      <c r="A3173" s="0" t="s">
        <v>10814</v>
      </c>
      <c r="F3173" s="0" t="s">
        <v>40</v>
      </c>
      <c r="G3173" s="0" t="n">
        <v>0</v>
      </c>
      <c r="H3173" s="0" t="s">
        <v>163</v>
      </c>
      <c r="I3173" s="0" t="s">
        <v>164</v>
      </c>
      <c r="J3173" s="0" t="s">
        <v>10815</v>
      </c>
      <c r="K3173" s="0" t="str">
        <f aca="false">"8.5 %"</f>
        <v>8.5 %</v>
      </c>
      <c r="O3173" s="0" t="s">
        <v>10816</v>
      </c>
    </row>
    <row r="3174" customFormat="false" ht="13.8" hidden="false" customHeight="false" outlineLevel="0" collapsed="false">
      <c r="A3174" s="0" t="s">
        <v>10817</v>
      </c>
      <c r="D3174" s="0" t="s">
        <v>5344</v>
      </c>
      <c r="E3174" s="0" t="s">
        <v>5345</v>
      </c>
      <c r="F3174" s="0" t="s">
        <v>5346</v>
      </c>
      <c r="G3174" s="0" t="n">
        <v>0</v>
      </c>
      <c r="J3174" s="0" t="s">
        <v>40</v>
      </c>
      <c r="K3174" s="0" t="str">
        <f aca="false">"10.21 %"</f>
        <v>10.21 %</v>
      </c>
      <c r="O3174" s="0" t="s">
        <v>10818</v>
      </c>
    </row>
    <row r="3175" customFormat="false" ht="13.8" hidden="false" customHeight="false" outlineLevel="0" collapsed="false">
      <c r="A3175" s="0" t="s">
        <v>10819</v>
      </c>
      <c r="D3175" s="0" t="s">
        <v>2493</v>
      </c>
      <c r="E3175" s="0" t="s">
        <v>2494</v>
      </c>
      <c r="F3175" s="0" t="s">
        <v>2780</v>
      </c>
      <c r="G3175" s="0" t="n">
        <v>0</v>
      </c>
      <c r="J3175" s="0" t="s">
        <v>40</v>
      </c>
      <c r="K3175" s="0" t="str">
        <f aca="false">"10.5 %"</f>
        <v>10.5 %</v>
      </c>
      <c r="O3175" s="0" t="s">
        <v>10820</v>
      </c>
    </row>
    <row r="3176" customFormat="false" ht="13.8" hidden="false" customHeight="false" outlineLevel="0" collapsed="false">
      <c r="A3176" s="0" t="s">
        <v>10821</v>
      </c>
      <c r="D3176" s="0" t="s">
        <v>10822</v>
      </c>
      <c r="F3176" s="0" t="s">
        <v>10823</v>
      </c>
      <c r="G3176" s="0" t="n">
        <v>0</v>
      </c>
      <c r="J3176" s="0" t="s">
        <v>40</v>
      </c>
      <c r="K3176" s="0" t="str">
        <f aca="false">"10.2 %"</f>
        <v>10.2 %</v>
      </c>
      <c r="O3176" s="0" t="s">
        <v>10824</v>
      </c>
    </row>
    <row r="3177" customFormat="false" ht="13.8" hidden="false" customHeight="false" outlineLevel="0" collapsed="false">
      <c r="A3177" s="0" t="s">
        <v>10825</v>
      </c>
      <c r="D3177" s="0" t="s">
        <v>3889</v>
      </c>
      <c r="E3177" s="0" t="s">
        <v>2107</v>
      </c>
      <c r="F3177" s="0" t="s">
        <v>3890</v>
      </c>
      <c r="G3177" s="0" t="n">
        <v>0</v>
      </c>
      <c r="J3177" s="0" t="s">
        <v>40</v>
      </c>
      <c r="K3177" s="0" t="str">
        <f aca="false">"9.16 %"</f>
        <v>9.16 %</v>
      </c>
      <c r="O3177" s="0" t="s">
        <v>10826</v>
      </c>
    </row>
    <row r="3178" customFormat="false" ht="13.8" hidden="false" customHeight="false" outlineLevel="0" collapsed="false">
      <c r="A3178" s="0" t="s">
        <v>10825</v>
      </c>
      <c r="D3178" s="0" t="s">
        <v>1121</v>
      </c>
      <c r="E3178" s="0" t="s">
        <v>225</v>
      </c>
      <c r="F3178" s="0" t="s">
        <v>1122</v>
      </c>
      <c r="G3178" s="0" t="n">
        <v>0</v>
      </c>
      <c r="J3178" s="0" t="s">
        <v>40</v>
      </c>
      <c r="K3178" s="0" t="str">
        <f aca="false">"6.37 %"</f>
        <v>6.37 %</v>
      </c>
      <c r="O3178" s="0" t="s">
        <v>10827</v>
      </c>
    </row>
    <row r="3179" customFormat="false" ht="13.8" hidden="false" customHeight="false" outlineLevel="0" collapsed="false">
      <c r="A3179" s="0" t="s">
        <v>10828</v>
      </c>
      <c r="D3179" s="0" t="s">
        <v>10829</v>
      </c>
      <c r="F3179" s="0" t="s">
        <v>10830</v>
      </c>
      <c r="G3179" s="0" t="n">
        <v>0</v>
      </c>
      <c r="J3179" s="0" t="s">
        <v>40</v>
      </c>
      <c r="K3179" s="0" t="str">
        <f aca="false">"12.10 %"</f>
        <v>12.10 %</v>
      </c>
      <c r="O3179" s="0" t="s">
        <v>10831</v>
      </c>
    </row>
    <row r="3180" customFormat="false" ht="13.8" hidden="false" customHeight="false" outlineLevel="0" collapsed="false">
      <c r="A3180" s="0" t="s">
        <v>10832</v>
      </c>
      <c r="D3180" s="0" t="s">
        <v>208</v>
      </c>
      <c r="E3180" s="0" t="s">
        <v>17</v>
      </c>
      <c r="F3180" s="0" t="s">
        <v>209</v>
      </c>
      <c r="G3180" s="0" t="n">
        <v>0</v>
      </c>
      <c r="J3180" s="0" t="s">
        <v>40</v>
      </c>
      <c r="K3180" s="0" t="str">
        <f aca="false">"2.8 %"</f>
        <v>2.8 %</v>
      </c>
      <c r="O3180" s="0" t="s">
        <v>10833</v>
      </c>
    </row>
    <row r="3181" customFormat="false" ht="13.8" hidden="false" customHeight="false" outlineLevel="0" collapsed="false">
      <c r="A3181" s="0" t="s">
        <v>10834</v>
      </c>
      <c r="F3181" s="0" t="s">
        <v>40</v>
      </c>
      <c r="G3181" s="0" t="n">
        <v>1</v>
      </c>
      <c r="H3181" s="0" t="s">
        <v>33</v>
      </c>
      <c r="J3181" s="0" t="s">
        <v>34</v>
      </c>
      <c r="K3181" s="0" t="str">
        <f aca="false">"3.24 %"</f>
        <v>3.24 %</v>
      </c>
      <c r="O3181" s="0" t="s">
        <v>10835</v>
      </c>
    </row>
    <row r="3182" customFormat="false" ht="13.8" hidden="false" customHeight="false" outlineLevel="0" collapsed="false">
      <c r="A3182" s="0" t="s">
        <v>10836</v>
      </c>
      <c r="D3182" s="0" t="s">
        <v>9844</v>
      </c>
      <c r="E3182" s="0" t="s">
        <v>9845</v>
      </c>
      <c r="F3182" s="0" t="s">
        <v>9846</v>
      </c>
      <c r="G3182" s="0" t="n">
        <v>0</v>
      </c>
      <c r="J3182" s="0" t="s">
        <v>40</v>
      </c>
      <c r="L3182" s="0" t="str">
        <f aca="false">"0.83 V"</f>
        <v>0.83 V</v>
      </c>
      <c r="M3182" s="0" t="str">
        <f aca="false">"12.43 mA cm^{-2}"</f>
        <v>12.43 mA cm^{-2}</v>
      </c>
      <c r="O3182" s="0" t="s">
        <v>10837</v>
      </c>
    </row>
    <row r="3183" customFormat="false" ht="13.8" hidden="false" customHeight="false" outlineLevel="0" collapsed="false">
      <c r="A3183" s="0" t="s">
        <v>10836</v>
      </c>
      <c r="D3183" s="0" t="s">
        <v>10838</v>
      </c>
      <c r="F3183" s="0" t="s">
        <v>10839</v>
      </c>
      <c r="G3183" s="0" t="n">
        <v>0</v>
      </c>
      <c r="J3183" s="0" t="s">
        <v>40</v>
      </c>
      <c r="K3183" s="0" t="str">
        <f aca="false">"6.63 %"</f>
        <v>6.63 %</v>
      </c>
      <c r="O3183" s="0" t="s">
        <v>10840</v>
      </c>
    </row>
    <row r="3184" customFormat="false" ht="13.8" hidden="false" customHeight="false" outlineLevel="0" collapsed="false">
      <c r="A3184" s="0" t="s">
        <v>10841</v>
      </c>
      <c r="F3184" s="0" t="s">
        <v>40</v>
      </c>
      <c r="G3184" s="0" t="n">
        <v>1</v>
      </c>
      <c r="H3184" s="0" t="s">
        <v>27</v>
      </c>
      <c r="J3184" s="0" t="s">
        <v>28</v>
      </c>
      <c r="K3184" s="0" t="str">
        <f aca="false">"4.2 %"</f>
        <v>4.2 %</v>
      </c>
      <c r="O3184" s="0" t="s">
        <v>10842</v>
      </c>
    </row>
    <row r="3185" customFormat="false" ht="13.8" hidden="false" customHeight="false" outlineLevel="0" collapsed="false">
      <c r="A3185" s="0" t="s">
        <v>10843</v>
      </c>
      <c r="D3185" s="0" t="s">
        <v>10844</v>
      </c>
      <c r="F3185" s="0" t="s">
        <v>10845</v>
      </c>
      <c r="G3185" s="0" t="n">
        <v>0</v>
      </c>
      <c r="J3185" s="0" t="s">
        <v>40</v>
      </c>
      <c r="K3185" s="0" t="str">
        <f aca="false">"5.36 %"</f>
        <v>5.36 %</v>
      </c>
      <c r="L3185" s="0" t="str">
        <f aca="false">"0.76 V"</f>
        <v>0.76 V</v>
      </c>
      <c r="M3185" s="0" t="str">
        <f aca="false">"11.04 mA cm^{-2}"</f>
        <v>11.04 mA cm^{-2}</v>
      </c>
      <c r="N3185" s="0" t="str">
        <f aca="false">"63.65 %"</f>
        <v>63.65 %</v>
      </c>
      <c r="O3185" s="0" t="s">
        <v>10846</v>
      </c>
    </row>
    <row r="3186" customFormat="false" ht="13.8" hidden="false" customHeight="false" outlineLevel="0" collapsed="false">
      <c r="A3186" s="0" t="s">
        <v>10847</v>
      </c>
      <c r="F3186" s="0" t="s">
        <v>40</v>
      </c>
      <c r="G3186" s="0" t="n">
        <v>1</v>
      </c>
      <c r="H3186" s="0" t="s">
        <v>76</v>
      </c>
      <c r="J3186" s="0" t="s">
        <v>77</v>
      </c>
      <c r="K3186" s="0" t="str">
        <f aca="false">"6.51 %"</f>
        <v>6.51 %</v>
      </c>
      <c r="O3186" s="0" t="s">
        <v>10848</v>
      </c>
    </row>
    <row r="3187" customFormat="false" ht="13.8" hidden="false" customHeight="false" outlineLevel="0" collapsed="false">
      <c r="A3187" s="0" t="s">
        <v>10849</v>
      </c>
      <c r="D3187" s="0" t="s">
        <v>10850</v>
      </c>
      <c r="F3187" s="0" t="s">
        <v>10851</v>
      </c>
      <c r="G3187" s="0" t="n">
        <v>0</v>
      </c>
      <c r="J3187" s="0" t="s">
        <v>40</v>
      </c>
      <c r="K3187" s="0" t="str">
        <f aca="false">"11.9 %"</f>
        <v>11.9 %</v>
      </c>
      <c r="L3187" s="0" t="str">
        <f aca="false">"1.00 V"</f>
        <v>1.00 V</v>
      </c>
      <c r="M3187" s="0" t="str">
        <f aca="false">"18.8 mA cm^{-2}"</f>
        <v>18.8 mA cm^{-2}</v>
      </c>
      <c r="O3187" s="0" t="s">
        <v>10852</v>
      </c>
    </row>
    <row r="3188" customFormat="false" ht="13.8" hidden="false" customHeight="false" outlineLevel="0" collapsed="false">
      <c r="A3188" s="0" t="s">
        <v>10853</v>
      </c>
      <c r="D3188" s="0" t="s">
        <v>10854</v>
      </c>
      <c r="F3188" s="0" t="s">
        <v>40</v>
      </c>
      <c r="G3188" s="0" t="n">
        <v>0</v>
      </c>
      <c r="J3188" s="0" t="s">
        <v>40</v>
      </c>
      <c r="K3188" s="0" t="str">
        <f aca="false">"6.84 %"</f>
        <v>6.84 %</v>
      </c>
      <c r="L3188" s="0" t="str">
        <f aca="false">"0.96 V"</f>
        <v>0.96 V</v>
      </c>
      <c r="O3188" s="0" t="s">
        <v>10855</v>
      </c>
    </row>
    <row r="3189" customFormat="false" ht="13.8" hidden="false" customHeight="false" outlineLevel="0" collapsed="false">
      <c r="A3189" s="0" t="s">
        <v>10856</v>
      </c>
      <c r="F3189" s="0" t="s">
        <v>40</v>
      </c>
      <c r="G3189" s="0" t="n">
        <v>1</v>
      </c>
      <c r="H3189" s="0" t="s">
        <v>152</v>
      </c>
      <c r="J3189" s="0" t="s">
        <v>40</v>
      </c>
      <c r="K3189" s="0" t="str">
        <f aca="false">"8.11 %"</f>
        <v>8.11 %</v>
      </c>
      <c r="O3189" s="0" t="s">
        <v>10857</v>
      </c>
    </row>
    <row r="3190" customFormat="false" ht="13.8" hidden="false" customHeight="false" outlineLevel="0" collapsed="false">
      <c r="A3190" s="0" t="s">
        <v>10858</v>
      </c>
      <c r="D3190" s="0" t="s">
        <v>10859</v>
      </c>
      <c r="F3190" s="0" t="s">
        <v>10860</v>
      </c>
      <c r="G3190" s="0" t="n">
        <v>0</v>
      </c>
      <c r="J3190" s="0" t="s">
        <v>40</v>
      </c>
      <c r="K3190" s="0" t="str">
        <f aca="false">"3.25 %"</f>
        <v>3.25 %</v>
      </c>
      <c r="O3190" s="0" t="s">
        <v>10861</v>
      </c>
    </row>
    <row r="3191" customFormat="false" ht="13.8" hidden="false" customHeight="false" outlineLevel="0" collapsed="false">
      <c r="A3191" s="0" t="s">
        <v>10862</v>
      </c>
      <c r="D3191" s="0" t="s">
        <v>10863</v>
      </c>
      <c r="E3191" s="0" t="s">
        <v>8206</v>
      </c>
      <c r="F3191" s="0" t="s">
        <v>10864</v>
      </c>
      <c r="G3191" s="0" t="n">
        <v>0</v>
      </c>
      <c r="J3191" s="0" t="s">
        <v>40</v>
      </c>
      <c r="K3191" s="0" t="str">
        <f aca="false">"~3 %"</f>
        <v>~3 %</v>
      </c>
      <c r="O3191" s="0" t="s">
        <v>10865</v>
      </c>
    </row>
    <row r="3192" customFormat="false" ht="13.8" hidden="false" customHeight="false" outlineLevel="0" collapsed="false">
      <c r="A3192" s="0" t="s">
        <v>10866</v>
      </c>
      <c r="D3192" s="0" t="s">
        <v>1437</v>
      </c>
      <c r="E3192" s="0" t="s">
        <v>1438</v>
      </c>
      <c r="F3192" s="0" t="s">
        <v>2236</v>
      </c>
      <c r="G3192" s="0" t="n">
        <v>0</v>
      </c>
      <c r="J3192" s="0" t="s">
        <v>40</v>
      </c>
      <c r="K3192" s="0" t="str">
        <f aca="false">"6.51 %"</f>
        <v>6.51 %</v>
      </c>
      <c r="O3192" s="0" t="s">
        <v>10867</v>
      </c>
    </row>
    <row r="3193" customFormat="false" ht="13.8" hidden="false" customHeight="false" outlineLevel="0" collapsed="false">
      <c r="A3193" s="0" t="s">
        <v>10868</v>
      </c>
      <c r="D3193" s="0" t="s">
        <v>10869</v>
      </c>
      <c r="F3193" s="0" t="s">
        <v>40</v>
      </c>
      <c r="G3193" s="0" t="n">
        <v>0</v>
      </c>
      <c r="J3193" s="0" t="s">
        <v>40</v>
      </c>
      <c r="K3193" s="0" t="str">
        <f aca="false">"6 %"</f>
        <v>6 %</v>
      </c>
      <c r="O3193" s="0" t="s">
        <v>10870</v>
      </c>
    </row>
    <row r="3194" customFormat="false" ht="13.8" hidden="false" customHeight="false" outlineLevel="0" collapsed="false">
      <c r="A3194" s="0" t="s">
        <v>10871</v>
      </c>
      <c r="D3194" s="0" t="s">
        <v>9641</v>
      </c>
      <c r="E3194" s="0" t="s">
        <v>6621</v>
      </c>
      <c r="F3194" s="0" t="s">
        <v>10872</v>
      </c>
      <c r="G3194" s="0" t="n">
        <v>0</v>
      </c>
      <c r="J3194" s="0" t="s">
        <v>40</v>
      </c>
      <c r="K3194" s="0" t="str">
        <f aca="false">"1.85 %"</f>
        <v>1.85 %</v>
      </c>
      <c r="O3194" s="0" t="s">
        <v>10873</v>
      </c>
    </row>
    <row r="3195" customFormat="false" ht="13.8" hidden="false" customHeight="false" outlineLevel="0" collapsed="false">
      <c r="A3195" s="0" t="s">
        <v>10874</v>
      </c>
      <c r="F3195" s="0" t="s">
        <v>40</v>
      </c>
      <c r="G3195" s="0" t="n">
        <v>1</v>
      </c>
      <c r="H3195" s="0" t="s">
        <v>33</v>
      </c>
      <c r="J3195" s="0" t="s">
        <v>34</v>
      </c>
      <c r="K3195" s="0" t="str">
        <f aca="false">"3.80 %"</f>
        <v>3.80 %</v>
      </c>
      <c r="O3195" s="0" t="s">
        <v>10875</v>
      </c>
    </row>
    <row r="3196" customFormat="false" ht="13.8" hidden="false" customHeight="false" outlineLevel="0" collapsed="false">
      <c r="A3196" s="0" t="s">
        <v>10876</v>
      </c>
      <c r="D3196" s="0" t="s">
        <v>10877</v>
      </c>
      <c r="F3196" s="0" t="s">
        <v>40</v>
      </c>
      <c r="G3196" s="0" t="n">
        <v>0</v>
      </c>
      <c r="J3196" s="0" t="s">
        <v>40</v>
      </c>
      <c r="K3196" s="0" t="str">
        <f aca="false">"0.529 %"</f>
        <v>0.529 %</v>
      </c>
      <c r="L3196" s="0" t="str">
        <f aca="false">"0.965 V"</f>
        <v>0.965 V</v>
      </c>
      <c r="O3196" s="0" t="s">
        <v>10878</v>
      </c>
    </row>
    <row r="3197" customFormat="false" ht="13.8" hidden="false" customHeight="false" outlineLevel="0" collapsed="false">
      <c r="A3197" s="0" t="s">
        <v>10879</v>
      </c>
      <c r="D3197" s="0" t="s">
        <v>6253</v>
      </c>
      <c r="E3197" s="0" t="s">
        <v>1169</v>
      </c>
      <c r="F3197" s="0" t="s">
        <v>6254</v>
      </c>
      <c r="G3197" s="0" t="n">
        <v>0</v>
      </c>
      <c r="J3197" s="0" t="s">
        <v>40</v>
      </c>
      <c r="K3197" s="0" t="str">
        <f aca="false">"7.94 %"</f>
        <v>7.94 %</v>
      </c>
      <c r="O3197" s="0" t="s">
        <v>10880</v>
      </c>
    </row>
    <row r="3198" customFormat="false" ht="13.8" hidden="false" customHeight="false" outlineLevel="0" collapsed="false">
      <c r="A3198" s="0" t="s">
        <v>10881</v>
      </c>
      <c r="D3198" s="0" t="s">
        <v>10882</v>
      </c>
      <c r="F3198" s="0" t="s">
        <v>10883</v>
      </c>
      <c r="G3198" s="0" t="n">
        <v>0</v>
      </c>
      <c r="J3198" s="0" t="s">
        <v>40</v>
      </c>
      <c r="K3198" s="0" t="str">
        <f aca="false">"8.64 %"</f>
        <v>8.64 %</v>
      </c>
      <c r="L3198" s="0" t="str">
        <f aca="false">"1.05 V"</f>
        <v>1.05 V</v>
      </c>
      <c r="O3198" s="0" t="s">
        <v>10884</v>
      </c>
    </row>
    <row r="3199" customFormat="false" ht="13.8" hidden="false" customHeight="false" outlineLevel="0" collapsed="false">
      <c r="A3199" s="0" t="s">
        <v>10885</v>
      </c>
      <c r="D3199" s="0" t="s">
        <v>16</v>
      </c>
      <c r="E3199" s="0" t="s">
        <v>17</v>
      </c>
      <c r="F3199" s="0" t="s">
        <v>10886</v>
      </c>
      <c r="G3199" s="0" t="n">
        <v>0</v>
      </c>
      <c r="J3199" s="0" t="s">
        <v>40</v>
      </c>
      <c r="K3199" s="0" t="str">
        <f aca="false">"3.4 %"</f>
        <v>3.4 %</v>
      </c>
      <c r="O3199" s="0" t="s">
        <v>10887</v>
      </c>
    </row>
    <row r="3200" customFormat="false" ht="13.8" hidden="false" customHeight="false" outlineLevel="0" collapsed="false">
      <c r="A3200" s="0" t="s">
        <v>10888</v>
      </c>
      <c r="F3200" s="0" t="s">
        <v>40</v>
      </c>
      <c r="G3200" s="0" t="n">
        <v>0</v>
      </c>
      <c r="H3200" s="0" t="s">
        <v>1823</v>
      </c>
      <c r="J3200" s="0" t="s">
        <v>40</v>
      </c>
      <c r="K3200" s="0" t="str">
        <f aca="false">"5.1 %"</f>
        <v>5.1 %</v>
      </c>
      <c r="O3200" s="0" t="s">
        <v>10889</v>
      </c>
    </row>
    <row r="3201" customFormat="false" ht="13.8" hidden="false" customHeight="false" outlineLevel="0" collapsed="false">
      <c r="A3201" s="0" t="s">
        <v>10890</v>
      </c>
      <c r="D3201" s="0" t="s">
        <v>10891</v>
      </c>
      <c r="F3201" s="0" t="s">
        <v>10892</v>
      </c>
      <c r="G3201" s="0" t="n">
        <v>0</v>
      </c>
      <c r="J3201" s="0" t="s">
        <v>40</v>
      </c>
      <c r="K3201" s="0" t="str">
        <f aca="false">"10.54 %"</f>
        <v>10.54 %</v>
      </c>
      <c r="N3201" s="0" t="str">
        <f aca="false">"70 %"</f>
        <v>70 %</v>
      </c>
      <c r="O3201" s="0" t="s">
        <v>10893</v>
      </c>
    </row>
    <row r="3202" customFormat="false" ht="13.8" hidden="false" customHeight="false" outlineLevel="0" collapsed="false">
      <c r="A3202" s="0" t="s">
        <v>10890</v>
      </c>
      <c r="D3202" s="0" t="s">
        <v>1924</v>
      </c>
      <c r="E3202" s="0" t="s">
        <v>1925</v>
      </c>
      <c r="F3202" s="0" t="s">
        <v>1926</v>
      </c>
      <c r="G3202" s="0" t="n">
        <v>0</v>
      </c>
      <c r="J3202" s="0" t="s">
        <v>40</v>
      </c>
      <c r="K3202" s="0" t="str">
        <f aca="false">"9.53 %"</f>
        <v>9.53 %</v>
      </c>
      <c r="O3202" s="0" t="s">
        <v>10894</v>
      </c>
    </row>
    <row r="3203" customFormat="false" ht="13.8" hidden="false" customHeight="false" outlineLevel="0" collapsed="false">
      <c r="A3203" s="0" t="s">
        <v>10895</v>
      </c>
      <c r="D3203" s="0" t="s">
        <v>10896</v>
      </c>
      <c r="F3203" s="0" t="s">
        <v>10897</v>
      </c>
      <c r="G3203" s="0" t="n">
        <v>0</v>
      </c>
      <c r="J3203" s="0" t="s">
        <v>40</v>
      </c>
      <c r="K3203" s="0" t="str">
        <f aca="false">"5.8 %"</f>
        <v>5.8 %</v>
      </c>
      <c r="O3203" s="0" t="s">
        <v>10898</v>
      </c>
    </row>
    <row r="3204" customFormat="false" ht="13.8" hidden="false" customHeight="false" outlineLevel="0" collapsed="false">
      <c r="A3204" s="0" t="s">
        <v>10899</v>
      </c>
      <c r="D3204" s="0" t="s">
        <v>10900</v>
      </c>
      <c r="F3204" s="0" t="s">
        <v>10901</v>
      </c>
      <c r="G3204" s="0" t="n">
        <v>0</v>
      </c>
      <c r="J3204" s="0" t="s">
        <v>40</v>
      </c>
      <c r="K3204" s="0" t="str">
        <f aca="false">"5.63 %"</f>
        <v>5.63 %</v>
      </c>
      <c r="O3204" s="0" t="s">
        <v>10902</v>
      </c>
    </row>
    <row r="3205" customFormat="false" ht="13.8" hidden="false" customHeight="false" outlineLevel="0" collapsed="false">
      <c r="A3205" s="0" t="s">
        <v>10899</v>
      </c>
      <c r="D3205" s="0" t="s">
        <v>10903</v>
      </c>
      <c r="F3205" s="0" t="s">
        <v>10904</v>
      </c>
      <c r="G3205" s="0" t="n">
        <v>0</v>
      </c>
      <c r="J3205" s="0" t="s">
        <v>40</v>
      </c>
      <c r="K3205" s="0" t="str">
        <f aca="false">"5.03 %"</f>
        <v>5.03 %</v>
      </c>
      <c r="O3205" s="0" t="s">
        <v>10905</v>
      </c>
    </row>
    <row r="3206" customFormat="false" ht="13.8" hidden="false" customHeight="false" outlineLevel="0" collapsed="false">
      <c r="A3206" s="0" t="s">
        <v>10906</v>
      </c>
      <c r="D3206" s="0" t="s">
        <v>10907</v>
      </c>
      <c r="F3206" s="0" t="s">
        <v>10908</v>
      </c>
      <c r="G3206" s="0" t="n">
        <v>0</v>
      </c>
      <c r="J3206" s="0" t="s">
        <v>40</v>
      </c>
      <c r="K3206" s="0" t="str">
        <f aca="false">"14.44 %"</f>
        <v>14.44 %</v>
      </c>
      <c r="M3206" s="0" t="str">
        <f aca="false">"24.07 mA cm^{-2}"</f>
        <v>24.07 mA cm^{-2}</v>
      </c>
      <c r="N3206" s="0" t="str">
        <f aca="false">"73.16 %"</f>
        <v>73.16 %</v>
      </c>
      <c r="O3206" s="0" t="s">
        <v>10909</v>
      </c>
    </row>
    <row r="3207" customFormat="false" ht="13.8" hidden="false" customHeight="false" outlineLevel="0" collapsed="false">
      <c r="A3207" s="0" t="s">
        <v>10910</v>
      </c>
      <c r="F3207" s="0" t="s">
        <v>40</v>
      </c>
      <c r="G3207" s="0" t="n">
        <v>1</v>
      </c>
      <c r="H3207" s="0" t="s">
        <v>152</v>
      </c>
      <c r="J3207" s="0" t="s">
        <v>40</v>
      </c>
      <c r="K3207" s="0" t="str">
        <f aca="false">"0.10 %"</f>
        <v>0.10 %</v>
      </c>
      <c r="O3207" s="0" t="s">
        <v>10911</v>
      </c>
    </row>
    <row r="3208" customFormat="false" ht="13.8" hidden="false" customHeight="false" outlineLevel="0" collapsed="false">
      <c r="A3208" s="0" t="s">
        <v>10912</v>
      </c>
      <c r="D3208" s="0" t="s">
        <v>10913</v>
      </c>
      <c r="F3208" s="0" t="s">
        <v>10914</v>
      </c>
      <c r="G3208" s="0" t="n">
        <v>0</v>
      </c>
      <c r="J3208" s="0" t="s">
        <v>40</v>
      </c>
      <c r="K3208" s="0" t="str">
        <f aca="false">"1.19 %"</f>
        <v>1.19 %</v>
      </c>
      <c r="O3208" s="0" t="s">
        <v>10915</v>
      </c>
    </row>
    <row r="3209" customFormat="false" ht="13.8" hidden="false" customHeight="false" outlineLevel="0" collapsed="false">
      <c r="A3209" s="0" t="s">
        <v>10916</v>
      </c>
      <c r="D3209" s="0" t="s">
        <v>10917</v>
      </c>
      <c r="F3209" s="0" t="s">
        <v>10918</v>
      </c>
      <c r="G3209" s="0" t="n">
        <v>0</v>
      </c>
      <c r="J3209" s="0" t="s">
        <v>40</v>
      </c>
      <c r="K3209" s="0" t="str">
        <f aca="false">"6.4 %"</f>
        <v>6.4 %</v>
      </c>
      <c r="O3209" s="0" t="s">
        <v>10919</v>
      </c>
    </row>
    <row r="3210" customFormat="false" ht="13.8" hidden="false" customHeight="false" outlineLevel="0" collapsed="false">
      <c r="A3210" s="0" t="s">
        <v>10920</v>
      </c>
      <c r="D3210" s="0" t="s">
        <v>10921</v>
      </c>
      <c r="E3210" s="0" t="s">
        <v>17</v>
      </c>
      <c r="F3210" s="0" t="s">
        <v>10922</v>
      </c>
      <c r="G3210" s="0" t="n">
        <v>0</v>
      </c>
      <c r="J3210" s="0" t="s">
        <v>40</v>
      </c>
      <c r="K3210" s="0" t="str">
        <f aca="false">"5.58 %"</f>
        <v>5.58 %</v>
      </c>
      <c r="O3210" s="0" t="s">
        <v>10923</v>
      </c>
    </row>
    <row r="3211" customFormat="false" ht="13.8" hidden="false" customHeight="false" outlineLevel="0" collapsed="false">
      <c r="A3211" s="0" t="s">
        <v>10924</v>
      </c>
      <c r="D3211" s="0" t="s">
        <v>10925</v>
      </c>
      <c r="F3211" s="0" t="s">
        <v>10926</v>
      </c>
      <c r="G3211" s="0" t="n">
        <v>0</v>
      </c>
      <c r="J3211" s="0" t="s">
        <v>40</v>
      </c>
      <c r="K3211" s="0" t="str">
        <f aca="false">"7.5 %"</f>
        <v>7.5 %</v>
      </c>
      <c r="O3211" s="0" t="s">
        <v>10927</v>
      </c>
    </row>
    <row r="3212" customFormat="false" ht="13.8" hidden="false" customHeight="false" outlineLevel="0" collapsed="false">
      <c r="A3212" s="0" t="s">
        <v>10928</v>
      </c>
      <c r="D3212" s="0" t="s">
        <v>10929</v>
      </c>
      <c r="F3212" s="0" t="s">
        <v>10930</v>
      </c>
      <c r="G3212" s="0" t="n">
        <v>0</v>
      </c>
      <c r="J3212" s="0" t="s">
        <v>40</v>
      </c>
      <c r="K3212" s="0" t="str">
        <f aca="false">"7.15 %"</f>
        <v>7.15 %</v>
      </c>
      <c r="O3212" s="0" t="s">
        <v>10931</v>
      </c>
    </row>
    <row r="3213" customFormat="false" ht="13.8" hidden="false" customHeight="false" outlineLevel="0" collapsed="false">
      <c r="A3213" s="0" t="s">
        <v>10932</v>
      </c>
      <c r="D3213" s="0" t="s">
        <v>10933</v>
      </c>
      <c r="F3213" s="0" t="s">
        <v>10934</v>
      </c>
      <c r="G3213" s="0" t="n">
        <v>0</v>
      </c>
      <c r="J3213" s="0" t="s">
        <v>40</v>
      </c>
      <c r="K3213" s="0" t="str">
        <f aca="false">"6.28 %"</f>
        <v>6.28 %</v>
      </c>
      <c r="L3213" s="0" t="str">
        <f aca="false">"0.88 V"</f>
        <v>0.88 V</v>
      </c>
      <c r="O3213" s="0" t="s">
        <v>10935</v>
      </c>
    </row>
    <row r="3214" customFormat="false" ht="13.8" hidden="false" customHeight="false" outlineLevel="0" collapsed="false">
      <c r="A3214" s="0" t="s">
        <v>10932</v>
      </c>
      <c r="D3214" s="0" t="s">
        <v>10936</v>
      </c>
      <c r="F3214" s="0" t="s">
        <v>10937</v>
      </c>
      <c r="G3214" s="0" t="n">
        <v>0</v>
      </c>
      <c r="J3214" s="0" t="s">
        <v>40</v>
      </c>
      <c r="M3214" s="0" t="str">
        <f aca="false">"17.62 mA/cm^{2}"</f>
        <v>17.62 mA/cm^{2}</v>
      </c>
      <c r="N3214" s="0" t="str">
        <f aca="false">"68 %"</f>
        <v>68 %</v>
      </c>
      <c r="O3214" s="0" t="s">
        <v>10938</v>
      </c>
    </row>
    <row r="3215" customFormat="false" ht="13.8" hidden="false" customHeight="false" outlineLevel="0" collapsed="false">
      <c r="A3215" s="0" t="s">
        <v>10939</v>
      </c>
      <c r="D3215" s="0" t="s">
        <v>10940</v>
      </c>
      <c r="F3215" s="0" t="s">
        <v>10941</v>
      </c>
      <c r="G3215" s="0" t="n">
        <v>0</v>
      </c>
      <c r="J3215" s="0" t="s">
        <v>40</v>
      </c>
      <c r="K3215" s="0" t="str">
        <f aca="false">"11.18 %"</f>
        <v>11.18 %</v>
      </c>
      <c r="L3215" s="0" t="str">
        <f aca="false">"0.96 V"</f>
        <v>0.96 V</v>
      </c>
      <c r="M3215" s="0" t="str">
        <f aca="false">"16.89 mA cm^{-2}"</f>
        <v>16.89 mA cm^{-2}</v>
      </c>
      <c r="N3215" s="0" t="str">
        <f aca="false">"0.69"</f>
        <v>0.69</v>
      </c>
      <c r="O3215" s="0" t="s">
        <v>10942</v>
      </c>
    </row>
    <row r="3216" customFormat="false" ht="13.8" hidden="false" customHeight="false" outlineLevel="0" collapsed="false">
      <c r="A3216" s="0" t="s">
        <v>10943</v>
      </c>
      <c r="D3216" s="0" t="s">
        <v>10944</v>
      </c>
      <c r="F3216" s="0" t="s">
        <v>10945</v>
      </c>
      <c r="G3216" s="0" t="n">
        <v>0</v>
      </c>
      <c r="J3216" s="0" t="s">
        <v>40</v>
      </c>
      <c r="K3216" s="0" t="str">
        <f aca="false">"2.05 %"</f>
        <v>2.05 %</v>
      </c>
      <c r="L3216" s="0" t="str">
        <f aca="false">"0.99 V"</f>
        <v>0.99 V</v>
      </c>
      <c r="M3216" s="0" t="str">
        <f aca="false">"3.53 mA cm^{-2}"</f>
        <v>3.53 mA cm^{-2}</v>
      </c>
      <c r="O3216" s="0" t="s">
        <v>10946</v>
      </c>
    </row>
    <row r="3217" customFormat="false" ht="13.8" hidden="false" customHeight="false" outlineLevel="0" collapsed="false">
      <c r="A3217" s="0" t="s">
        <v>10943</v>
      </c>
      <c r="D3217" s="0" t="s">
        <v>5466</v>
      </c>
      <c r="F3217" s="0" t="s">
        <v>5468</v>
      </c>
      <c r="G3217" s="0" t="n">
        <v>0</v>
      </c>
      <c r="J3217" s="0" t="s">
        <v>40</v>
      </c>
      <c r="K3217" s="0" t="str">
        <f aca="false">"2.92 %"</f>
        <v>2.92 %</v>
      </c>
      <c r="L3217" s="0" t="str">
        <f aca="false">"0.89 V"</f>
        <v>0.89 V</v>
      </c>
      <c r="M3217" s="0" t="str">
        <f aca="false">"6.76 mA cm^{-2}"</f>
        <v>6.76 mA cm^{-2}</v>
      </c>
      <c r="O3217" s="0" t="s">
        <v>10947</v>
      </c>
    </row>
    <row r="3218" customFormat="false" ht="13.8" hidden="false" customHeight="false" outlineLevel="0" collapsed="false">
      <c r="A3218" s="0" t="s">
        <v>10948</v>
      </c>
      <c r="D3218" s="0" t="s">
        <v>10949</v>
      </c>
      <c r="F3218" s="0" t="s">
        <v>10950</v>
      </c>
      <c r="G3218" s="0" t="n">
        <v>0</v>
      </c>
      <c r="J3218" s="0" t="s">
        <v>40</v>
      </c>
      <c r="K3218" s="0" t="str">
        <f aca="false">"10.6 %"</f>
        <v>10.6 %</v>
      </c>
      <c r="L3218" s="0" t="str">
        <f aca="false">"0.84 V"</f>
        <v>0.84 V</v>
      </c>
      <c r="O3218" s="0" t="s">
        <v>10951</v>
      </c>
    </row>
    <row r="3219" customFormat="false" ht="13.8" hidden="false" customHeight="false" outlineLevel="0" collapsed="false">
      <c r="A3219" s="0" t="s">
        <v>10952</v>
      </c>
      <c r="D3219" s="0" t="s">
        <v>10953</v>
      </c>
      <c r="F3219" s="0" t="s">
        <v>10954</v>
      </c>
      <c r="G3219" s="0" t="n">
        <v>0</v>
      </c>
      <c r="J3219" s="0" t="s">
        <v>40</v>
      </c>
      <c r="K3219" s="0" t="str">
        <f aca="false">"5.44 ± 0.07 %"</f>
        <v>5.44 ± 0.07 %</v>
      </c>
      <c r="L3219" s="0" t="str">
        <f aca="false">"569 ± 3 mV"</f>
        <v>569 ± 3 mV</v>
      </c>
      <c r="M3219" s="0" t="str">
        <f aca="false">"14.6 ± 0.1 mA cm^{-2}"</f>
        <v>14.6 ± 0.1 mA cm^{-2}</v>
      </c>
      <c r="N3219" s="0" t="str">
        <f aca="false">"65.7 ± 0.3 %"</f>
        <v>65.7 ± 0.3 %</v>
      </c>
      <c r="O3219" s="0" t="s">
        <v>10955</v>
      </c>
    </row>
    <row r="3220" customFormat="false" ht="13.8" hidden="false" customHeight="false" outlineLevel="0" collapsed="false">
      <c r="A3220" s="0" t="s">
        <v>10956</v>
      </c>
      <c r="D3220" s="0" t="s">
        <v>878</v>
      </c>
      <c r="E3220" s="0" t="s">
        <v>879</v>
      </c>
      <c r="F3220" s="0" t="s">
        <v>10957</v>
      </c>
      <c r="G3220" s="0" t="n">
        <v>0</v>
      </c>
      <c r="J3220" s="0" t="s">
        <v>40</v>
      </c>
      <c r="K3220" s="0" t="str">
        <f aca="false">"6.51 %"</f>
        <v>6.51 %</v>
      </c>
      <c r="M3220" s="0" t="str">
        <f aca="false">"19.5 mA cm^{-2}"</f>
        <v>19.5 mA cm^{-2}</v>
      </c>
      <c r="O3220" s="0" t="s">
        <v>10958</v>
      </c>
    </row>
    <row r="3221" customFormat="false" ht="13.8" hidden="false" customHeight="false" outlineLevel="0" collapsed="false">
      <c r="A3221" s="0" t="s">
        <v>10959</v>
      </c>
      <c r="D3221" s="0" t="s">
        <v>5940</v>
      </c>
      <c r="F3221" s="0" t="s">
        <v>10960</v>
      </c>
      <c r="G3221" s="0" t="n">
        <v>0</v>
      </c>
      <c r="J3221" s="0" t="s">
        <v>40</v>
      </c>
      <c r="K3221" s="0" t="str">
        <f aca="false">"15.12 %"</f>
        <v>15.12 %</v>
      </c>
      <c r="O3221" s="0" t="s">
        <v>10961</v>
      </c>
    </row>
    <row r="3222" customFormat="false" ht="13.8" hidden="false" customHeight="false" outlineLevel="0" collapsed="false">
      <c r="A3222" s="0" t="s">
        <v>10962</v>
      </c>
      <c r="D3222" s="0" t="s">
        <v>10963</v>
      </c>
      <c r="F3222" s="0" t="s">
        <v>10964</v>
      </c>
      <c r="G3222" s="0" t="n">
        <v>0</v>
      </c>
      <c r="J3222" s="0" t="s">
        <v>40</v>
      </c>
      <c r="K3222" s="0" t="str">
        <f aca="false">"5.25 %"</f>
        <v>5.25 %</v>
      </c>
      <c r="O3222" s="0" t="s">
        <v>10965</v>
      </c>
    </row>
    <row r="3223" customFormat="false" ht="13.8" hidden="false" customHeight="false" outlineLevel="0" collapsed="false">
      <c r="A3223" s="0" t="s">
        <v>10966</v>
      </c>
      <c r="D3223" s="0" t="s">
        <v>208</v>
      </c>
      <c r="E3223" s="0" t="s">
        <v>17</v>
      </c>
      <c r="F3223" s="0" t="s">
        <v>18</v>
      </c>
      <c r="G3223" s="0" t="n">
        <v>0</v>
      </c>
      <c r="J3223" s="0" t="s">
        <v>40</v>
      </c>
      <c r="K3223" s="0" t="str">
        <f aca="false">"0.19 %"</f>
        <v>0.19 %</v>
      </c>
      <c r="O3223" s="0" t="s">
        <v>10967</v>
      </c>
    </row>
    <row r="3224" customFormat="false" ht="13.8" hidden="false" customHeight="false" outlineLevel="0" collapsed="false">
      <c r="A3224" s="0" t="s">
        <v>10968</v>
      </c>
      <c r="F3224" s="0" t="s">
        <v>40</v>
      </c>
      <c r="G3224" s="0" t="n">
        <v>1</v>
      </c>
      <c r="H3224" s="0" t="s">
        <v>66</v>
      </c>
      <c r="J3224" s="0" t="s">
        <v>67</v>
      </c>
      <c r="K3224" s="0" t="str">
        <f aca="false">"4.2 %"</f>
        <v>4.2 %</v>
      </c>
      <c r="O3224" s="0" t="s">
        <v>10969</v>
      </c>
    </row>
    <row r="3225" customFormat="false" ht="13.8" hidden="false" customHeight="false" outlineLevel="0" collapsed="false">
      <c r="A3225" s="0" t="s">
        <v>10970</v>
      </c>
      <c r="F3225" s="0" t="s">
        <v>40</v>
      </c>
      <c r="G3225" s="0" t="n">
        <v>1</v>
      </c>
      <c r="H3225" s="0" t="s">
        <v>33</v>
      </c>
      <c r="J3225" s="0" t="s">
        <v>60</v>
      </c>
      <c r="K3225" s="0" t="str">
        <f aca="false">"4.1 %"</f>
        <v>4.1 %</v>
      </c>
      <c r="O3225" s="0" t="s">
        <v>10971</v>
      </c>
    </row>
    <row r="3226" customFormat="false" ht="13.8" hidden="false" customHeight="false" outlineLevel="0" collapsed="false">
      <c r="A3226" s="0" t="s">
        <v>10972</v>
      </c>
      <c r="D3226" s="0" t="s">
        <v>10973</v>
      </c>
      <c r="F3226" s="0" t="s">
        <v>40</v>
      </c>
      <c r="G3226" s="0" t="n">
        <v>0</v>
      </c>
      <c r="J3226" s="0" t="s">
        <v>40</v>
      </c>
      <c r="O3226" s="0" t="s">
        <v>10974</v>
      </c>
    </row>
    <row r="3227" customFormat="false" ht="13.8" hidden="false" customHeight="false" outlineLevel="0" collapsed="false">
      <c r="A3227" s="0" t="s">
        <v>10975</v>
      </c>
      <c r="F3227" s="0" t="s">
        <v>40</v>
      </c>
      <c r="G3227" s="0" t="n">
        <v>0</v>
      </c>
      <c r="H3227" s="0" t="s">
        <v>3502</v>
      </c>
      <c r="I3227" s="0" t="s">
        <v>3503</v>
      </c>
      <c r="J3227" s="0" t="s">
        <v>3504</v>
      </c>
      <c r="K3227" s="0" t="str">
        <f aca="false">"8.25 %"</f>
        <v>8.25 %</v>
      </c>
      <c r="L3227" s="0" t="str">
        <f aca="false">"1.15 V"</f>
        <v>1.15 V</v>
      </c>
      <c r="O3227" s="0" t="s">
        <v>10976</v>
      </c>
    </row>
    <row r="3228" customFormat="false" ht="13.8" hidden="false" customHeight="false" outlineLevel="0" collapsed="false">
      <c r="A3228" s="0" t="s">
        <v>10977</v>
      </c>
      <c r="D3228" s="0" t="s">
        <v>10978</v>
      </c>
      <c r="F3228" s="0" t="s">
        <v>10979</v>
      </c>
      <c r="G3228" s="0" t="n">
        <v>0</v>
      </c>
      <c r="J3228" s="0" t="s">
        <v>40</v>
      </c>
      <c r="K3228" s="0" t="str">
        <f aca="false">"16 %"</f>
        <v>16 %</v>
      </c>
      <c r="O3228" s="0" t="s">
        <v>10980</v>
      </c>
    </row>
    <row r="3229" customFormat="false" ht="13.8" hidden="false" customHeight="false" outlineLevel="0" collapsed="false">
      <c r="A3229" s="0" t="s">
        <v>10981</v>
      </c>
      <c r="F3229" s="0" t="s">
        <v>40</v>
      </c>
      <c r="G3229" s="0" t="n">
        <v>0</v>
      </c>
      <c r="H3229" s="0" t="s">
        <v>208</v>
      </c>
      <c r="I3229" s="0" t="s">
        <v>17</v>
      </c>
      <c r="J3229" s="0" t="s">
        <v>18</v>
      </c>
      <c r="K3229" s="0" t="str">
        <f aca="false">"1.47 %"</f>
        <v>1.47 %</v>
      </c>
      <c r="O3229" s="0" t="s">
        <v>10982</v>
      </c>
    </row>
    <row r="3230" customFormat="false" ht="13.8" hidden="false" customHeight="false" outlineLevel="0" collapsed="false">
      <c r="A3230" s="0" t="s">
        <v>10983</v>
      </c>
      <c r="D3230" s="0" t="s">
        <v>16</v>
      </c>
      <c r="E3230" s="0" t="s">
        <v>17</v>
      </c>
      <c r="F3230" s="0" t="s">
        <v>709</v>
      </c>
      <c r="G3230" s="0" t="n">
        <v>0</v>
      </c>
      <c r="J3230" s="0" t="s">
        <v>40</v>
      </c>
      <c r="K3230" s="0" t="str">
        <f aca="false">"7.18 %"</f>
        <v>7.18 %</v>
      </c>
      <c r="O3230" s="0" t="s">
        <v>10984</v>
      </c>
    </row>
    <row r="3231" customFormat="false" ht="13.8" hidden="false" customHeight="false" outlineLevel="0" collapsed="false">
      <c r="A3231" s="0" t="s">
        <v>10985</v>
      </c>
      <c r="D3231" s="0" t="s">
        <v>10986</v>
      </c>
      <c r="F3231" s="0" t="s">
        <v>40</v>
      </c>
      <c r="G3231" s="0" t="n">
        <v>0</v>
      </c>
      <c r="J3231" s="0" t="s">
        <v>40</v>
      </c>
      <c r="K3231" s="0" t="str">
        <f aca="false">"16.96 %"</f>
        <v>16.96 %</v>
      </c>
      <c r="O3231" s="0" t="s">
        <v>10987</v>
      </c>
    </row>
    <row r="3232" customFormat="false" ht="13.8" hidden="false" customHeight="false" outlineLevel="0" collapsed="false">
      <c r="A3232" s="0" t="s">
        <v>10988</v>
      </c>
      <c r="D3232" s="0" t="s">
        <v>10989</v>
      </c>
      <c r="F3232" s="0" t="s">
        <v>10990</v>
      </c>
      <c r="G3232" s="0" t="n">
        <v>0</v>
      </c>
      <c r="J3232" s="0" t="s">
        <v>40</v>
      </c>
      <c r="K3232" s="0" t="str">
        <f aca="false">"9.1 %"</f>
        <v>9.1 %</v>
      </c>
      <c r="O3232" s="0" t="s">
        <v>10991</v>
      </c>
    </row>
    <row r="3233" customFormat="false" ht="13.8" hidden="false" customHeight="false" outlineLevel="0" collapsed="false">
      <c r="A3233" s="0" t="s">
        <v>10992</v>
      </c>
      <c r="D3233" s="0" t="s">
        <v>5940</v>
      </c>
      <c r="F3233" s="0" t="s">
        <v>10993</v>
      </c>
      <c r="G3233" s="0" t="n">
        <v>0</v>
      </c>
      <c r="J3233" s="0" t="s">
        <v>40</v>
      </c>
      <c r="K3233" s="0" t="str">
        <f aca="false">"90 %"</f>
        <v>90 %</v>
      </c>
      <c r="O3233" s="0" t="s">
        <v>10994</v>
      </c>
    </row>
    <row r="3234" customFormat="false" ht="13.8" hidden="false" customHeight="false" outlineLevel="0" collapsed="false">
      <c r="A3234" s="0" t="s">
        <v>10995</v>
      </c>
      <c r="D3234" s="0" t="s">
        <v>10996</v>
      </c>
      <c r="F3234" s="0" t="s">
        <v>10997</v>
      </c>
      <c r="G3234" s="0" t="n">
        <v>0</v>
      </c>
      <c r="J3234" s="0" t="s">
        <v>40</v>
      </c>
      <c r="K3234" s="0" t="str">
        <f aca="false">"15 %"</f>
        <v>15 %</v>
      </c>
      <c r="O3234" s="0" t="s">
        <v>10998</v>
      </c>
    </row>
    <row r="3235" customFormat="false" ht="13.8" hidden="false" customHeight="false" outlineLevel="0" collapsed="false">
      <c r="A3235" s="0" t="s">
        <v>10999</v>
      </c>
      <c r="D3235" s="0" t="s">
        <v>11000</v>
      </c>
      <c r="F3235" s="0" t="s">
        <v>11001</v>
      </c>
      <c r="G3235" s="0" t="n">
        <v>0</v>
      </c>
      <c r="J3235" s="0" t="s">
        <v>40</v>
      </c>
      <c r="K3235" s="0" t="str">
        <f aca="false">"8.1 %"</f>
        <v>8.1 %</v>
      </c>
      <c r="O3235" s="0" t="s">
        <v>11002</v>
      </c>
    </row>
    <row r="3236" customFormat="false" ht="13.8" hidden="false" customHeight="false" outlineLevel="0" collapsed="false">
      <c r="A3236" s="0" t="s">
        <v>11003</v>
      </c>
      <c r="F3236" s="0" t="s">
        <v>40</v>
      </c>
      <c r="G3236" s="0" t="n">
        <v>0</v>
      </c>
      <c r="H3236" s="0" t="s">
        <v>5180</v>
      </c>
      <c r="J3236" s="0" t="s">
        <v>11004</v>
      </c>
      <c r="K3236" s="0" t="str">
        <f aca="false">"11 %"</f>
        <v>11 %</v>
      </c>
      <c r="O3236" s="0" t="s">
        <v>11005</v>
      </c>
    </row>
    <row r="3237" customFormat="false" ht="13.8" hidden="false" customHeight="false" outlineLevel="0" collapsed="false">
      <c r="A3237" s="0" t="s">
        <v>11006</v>
      </c>
      <c r="D3237" s="0" t="s">
        <v>7592</v>
      </c>
      <c r="F3237" s="0" t="s">
        <v>7593</v>
      </c>
      <c r="G3237" s="0" t="n">
        <v>0</v>
      </c>
      <c r="J3237" s="0" t="s">
        <v>40</v>
      </c>
      <c r="K3237" s="0" t="str">
        <f aca="false">"14.1 %"</f>
        <v>14.1 %</v>
      </c>
      <c r="M3237" s="0" t="str">
        <f aca="false">"20 mA cm^{-2}"</f>
        <v>20 mA cm^{-2}</v>
      </c>
      <c r="O3237" s="0" t="s">
        <v>11007</v>
      </c>
    </row>
    <row r="3238" customFormat="false" ht="13.8" hidden="false" customHeight="false" outlineLevel="0" collapsed="false">
      <c r="A3238" s="0" t="s">
        <v>11008</v>
      </c>
      <c r="F3238" s="0" t="s">
        <v>40</v>
      </c>
      <c r="G3238" s="0" t="n">
        <v>1</v>
      </c>
      <c r="H3238" s="0" t="s">
        <v>27</v>
      </c>
      <c r="J3238" s="0" t="s">
        <v>28</v>
      </c>
      <c r="K3238" s="0" t="str">
        <f aca="false">"7.4 %"</f>
        <v>7.4 %</v>
      </c>
      <c r="O3238" s="0" t="s">
        <v>11009</v>
      </c>
    </row>
    <row r="3239" customFormat="false" ht="13.8" hidden="false" customHeight="false" outlineLevel="0" collapsed="false">
      <c r="A3239" s="0" t="s">
        <v>11010</v>
      </c>
      <c r="D3239" s="0" t="s">
        <v>11011</v>
      </c>
      <c r="F3239" s="0" t="s">
        <v>11012</v>
      </c>
      <c r="G3239" s="0" t="n">
        <v>0</v>
      </c>
      <c r="J3239" s="0" t="s">
        <v>40</v>
      </c>
      <c r="K3239" s="0" t="str">
        <f aca="false">"8.32 %"</f>
        <v>8.32 %</v>
      </c>
      <c r="O3239" s="0" t="s">
        <v>11013</v>
      </c>
    </row>
    <row r="3240" customFormat="false" ht="13.8" hidden="false" customHeight="false" outlineLevel="0" collapsed="false">
      <c r="A3240" s="0" t="s">
        <v>11014</v>
      </c>
      <c r="D3240" s="0" t="s">
        <v>9423</v>
      </c>
      <c r="E3240" s="0" t="s">
        <v>9424</v>
      </c>
      <c r="F3240" s="0" t="s">
        <v>9425</v>
      </c>
      <c r="G3240" s="0" t="n">
        <v>0</v>
      </c>
      <c r="J3240" s="0" t="s">
        <v>40</v>
      </c>
      <c r="K3240" s="0" t="str">
        <f aca="false">"15.21 %"</f>
        <v>15.21 %</v>
      </c>
      <c r="O3240" s="0" t="s">
        <v>11015</v>
      </c>
    </row>
    <row r="3241" customFormat="false" ht="13.8" hidden="false" customHeight="false" outlineLevel="0" collapsed="false">
      <c r="A3241" s="0" t="s">
        <v>11016</v>
      </c>
      <c r="D3241" s="0" t="s">
        <v>6253</v>
      </c>
      <c r="E3241" s="0" t="s">
        <v>1169</v>
      </c>
      <c r="F3241" s="0" t="s">
        <v>6254</v>
      </c>
      <c r="G3241" s="0" t="n">
        <v>0</v>
      </c>
      <c r="J3241" s="0" t="s">
        <v>40</v>
      </c>
      <c r="K3241" s="0" t="str">
        <f aca="false">"93.8 %"</f>
        <v>93.8 %</v>
      </c>
      <c r="O3241" s="0" t="s">
        <v>11017</v>
      </c>
    </row>
    <row r="3242" customFormat="false" ht="13.8" hidden="false" customHeight="false" outlineLevel="0" collapsed="false">
      <c r="A3242" s="0" t="s">
        <v>11018</v>
      </c>
      <c r="D3242" s="0" t="s">
        <v>11019</v>
      </c>
      <c r="F3242" s="0" t="s">
        <v>11020</v>
      </c>
      <c r="G3242" s="0" t="n">
        <v>0</v>
      </c>
      <c r="J3242" s="0" t="s">
        <v>40</v>
      </c>
      <c r="K3242" s="0" t="str">
        <f aca="false">"â‰ˆ14.8 %"</f>
        <v>â‰ˆ14.8 %</v>
      </c>
      <c r="N3242" s="0" t="str">
        <f aca="false">"77.1 %"</f>
        <v>77.1 %</v>
      </c>
      <c r="O3242" s="0" t="s">
        <v>11021</v>
      </c>
    </row>
    <row r="3243" customFormat="false" ht="13.8" hidden="false" customHeight="false" outlineLevel="0" collapsed="false">
      <c r="A3243" s="0" t="s">
        <v>11022</v>
      </c>
      <c r="F3243" s="0" t="s">
        <v>40</v>
      </c>
      <c r="G3243" s="0" t="n">
        <v>1</v>
      </c>
      <c r="H3243" s="0" t="s">
        <v>27</v>
      </c>
      <c r="J3243" s="0" t="s">
        <v>40</v>
      </c>
      <c r="K3243" s="0" t="str">
        <f aca="false">"17 %"</f>
        <v>17 %</v>
      </c>
      <c r="L3243" s="0" t="str">
        <f aca="false">"0.84 V"</f>
        <v>0.84 V</v>
      </c>
      <c r="M3243" s="0" t="str">
        <f aca="false">"26 mA cm^{-2}"</f>
        <v>26 mA cm^{-2}</v>
      </c>
      <c r="N3243" s="0" t="str">
        <f aca="false">"78 %"</f>
        <v>78 %</v>
      </c>
      <c r="O3243" s="0" t="s">
        <v>11023</v>
      </c>
    </row>
    <row r="3244" customFormat="false" ht="13.8" hidden="false" customHeight="false" outlineLevel="0" collapsed="false">
      <c r="A3244" s="0" t="s">
        <v>11024</v>
      </c>
      <c r="F3244" s="0" t="s">
        <v>40</v>
      </c>
      <c r="G3244" s="0" t="n">
        <v>1</v>
      </c>
      <c r="H3244" s="0" t="s">
        <v>66</v>
      </c>
      <c r="J3244" s="0" t="s">
        <v>11025</v>
      </c>
      <c r="K3244" s="0" t="str">
        <f aca="false">"5.4 %"</f>
        <v>5.4 %</v>
      </c>
      <c r="L3244" s="0" t="str">
        <f aca="false">"â‰ˆ0.93 V"</f>
        <v>â‰ˆ0.93 V</v>
      </c>
      <c r="O3244" s="0" t="s">
        <v>11026</v>
      </c>
    </row>
    <row r="3245" customFormat="false" ht="13.8" hidden="false" customHeight="false" outlineLevel="0" collapsed="false">
      <c r="A3245" s="0" t="s">
        <v>11027</v>
      </c>
      <c r="D3245" s="0" t="s">
        <v>11028</v>
      </c>
      <c r="F3245" s="0" t="s">
        <v>11029</v>
      </c>
      <c r="G3245" s="0" t="n">
        <v>0</v>
      </c>
      <c r="J3245" s="0" t="s">
        <v>40</v>
      </c>
      <c r="K3245" s="0" t="str">
        <f aca="false">"12.74 %"</f>
        <v>12.74 %</v>
      </c>
      <c r="O3245" s="0" t="s">
        <v>11030</v>
      </c>
    </row>
    <row r="3246" customFormat="false" ht="13.8" hidden="false" customHeight="false" outlineLevel="0" collapsed="false">
      <c r="A3246" s="0" t="s">
        <v>11027</v>
      </c>
      <c r="F3246" s="0" t="s">
        <v>40</v>
      </c>
      <c r="G3246" s="0" t="n">
        <v>0</v>
      </c>
      <c r="J3246" s="0" t="s">
        <v>40</v>
      </c>
      <c r="L3246" s="0" t="str">
        <f aca="false">"0.94 V"</f>
        <v>0.94 V</v>
      </c>
      <c r="O3246" s="0" t="s">
        <v>11031</v>
      </c>
    </row>
    <row r="3247" customFormat="false" ht="13.8" hidden="false" customHeight="false" outlineLevel="0" collapsed="false">
      <c r="A3247" s="0" t="s">
        <v>11027</v>
      </c>
      <c r="D3247" s="0" t="s">
        <v>11032</v>
      </c>
      <c r="F3247" s="0" t="s">
        <v>11033</v>
      </c>
      <c r="G3247" s="0" t="n">
        <v>0</v>
      </c>
      <c r="J3247" s="0" t="s">
        <v>40</v>
      </c>
      <c r="K3247" s="0" t="str">
        <f aca="false">"13.31 %"</f>
        <v>13.31 %</v>
      </c>
      <c r="M3247" s="0" t="str">
        <f aca="false">"19.41 mA cm^{-2}"</f>
        <v>19.41 mA cm^{-2}</v>
      </c>
      <c r="N3247" s="0" t="str">
        <f aca="false">"0.76"</f>
        <v>0.76</v>
      </c>
      <c r="O3247" s="0" t="s">
        <v>11034</v>
      </c>
    </row>
    <row r="3248" customFormat="false" ht="13.8" hidden="false" customHeight="false" outlineLevel="0" collapsed="false">
      <c r="A3248" s="0" t="s">
        <v>11035</v>
      </c>
      <c r="F3248" s="0" t="s">
        <v>40</v>
      </c>
      <c r="G3248" s="0" t="n">
        <v>0</v>
      </c>
      <c r="H3248" s="0" t="s">
        <v>11036</v>
      </c>
      <c r="J3248" s="0" t="s">
        <v>11037</v>
      </c>
      <c r="K3248" s="0" t="str">
        <f aca="false">"6.36 %"</f>
        <v>6.36 %</v>
      </c>
      <c r="O3248" s="0" t="s">
        <v>11038</v>
      </c>
    </row>
    <row r="3249" customFormat="false" ht="13.8" hidden="false" customHeight="false" outlineLevel="0" collapsed="false">
      <c r="A3249" s="0" t="s">
        <v>11035</v>
      </c>
      <c r="D3249" s="0" t="s">
        <v>11039</v>
      </c>
      <c r="F3249" s="0" t="s">
        <v>11040</v>
      </c>
      <c r="G3249" s="0" t="n">
        <v>0</v>
      </c>
      <c r="H3249" s="0" t="s">
        <v>11036</v>
      </c>
      <c r="J3249" s="0" t="s">
        <v>11037</v>
      </c>
      <c r="K3249" s="0" t="str">
        <f aca="false">"9.3 %"</f>
        <v>9.3 %</v>
      </c>
      <c r="O3249" s="0" t="s">
        <v>11041</v>
      </c>
    </row>
    <row r="3250" customFormat="false" ht="13.8" hidden="false" customHeight="false" outlineLevel="0" collapsed="false">
      <c r="A3250" s="0" t="s">
        <v>11042</v>
      </c>
      <c r="D3250" s="0" t="s">
        <v>11043</v>
      </c>
      <c r="F3250" s="0" t="s">
        <v>11044</v>
      </c>
      <c r="G3250" s="0" t="n">
        <v>0</v>
      </c>
      <c r="J3250" s="0" t="s">
        <v>40</v>
      </c>
      <c r="K3250" s="0" t="str">
        <f aca="false">"2.42 %"</f>
        <v>2.42 %</v>
      </c>
      <c r="O3250" s="0" t="s">
        <v>11045</v>
      </c>
    </row>
    <row r="3251" customFormat="false" ht="13.8" hidden="false" customHeight="false" outlineLevel="0" collapsed="false">
      <c r="A3251" s="0" t="s">
        <v>11046</v>
      </c>
      <c r="D3251" s="0" t="s">
        <v>11043</v>
      </c>
      <c r="F3251" s="0" t="s">
        <v>10572</v>
      </c>
      <c r="G3251" s="0" t="n">
        <v>0</v>
      </c>
      <c r="J3251" s="0" t="s">
        <v>40</v>
      </c>
      <c r="K3251" s="0" t="str">
        <f aca="false">"15.95 %"</f>
        <v>15.95 %</v>
      </c>
      <c r="O3251" s="0" t="s">
        <v>11047</v>
      </c>
    </row>
    <row r="3252" customFormat="false" ht="13.8" hidden="false" customHeight="false" outlineLevel="0" collapsed="false">
      <c r="A3252" s="0" t="s">
        <v>11048</v>
      </c>
      <c r="D3252" s="0" t="s">
        <v>541</v>
      </c>
      <c r="E3252" s="0" t="s">
        <v>17</v>
      </c>
      <c r="F3252" s="0" t="s">
        <v>5653</v>
      </c>
      <c r="G3252" s="0" t="n">
        <v>0</v>
      </c>
      <c r="J3252" s="0" t="s">
        <v>40</v>
      </c>
      <c r="K3252" s="0" t="str">
        <f aca="false">"1.62 %"</f>
        <v>1.62 %</v>
      </c>
      <c r="O3252" s="0" t="s">
        <v>11049</v>
      </c>
    </row>
    <row r="3253" customFormat="false" ht="13.8" hidden="false" customHeight="false" outlineLevel="0" collapsed="false">
      <c r="A3253" s="0" t="s">
        <v>11050</v>
      </c>
      <c r="F3253" s="0" t="s">
        <v>40</v>
      </c>
      <c r="G3253" s="0" t="n">
        <v>1</v>
      </c>
      <c r="H3253" s="0" t="s">
        <v>27</v>
      </c>
      <c r="J3253" s="0" t="s">
        <v>28</v>
      </c>
      <c r="K3253" s="0" t="str">
        <f aca="false">"4.54 %"</f>
        <v>4.54 %</v>
      </c>
      <c r="O3253" s="0" t="s">
        <v>11051</v>
      </c>
    </row>
    <row r="3254" customFormat="false" ht="13.8" hidden="false" customHeight="false" outlineLevel="0" collapsed="false">
      <c r="A3254" s="0" t="s">
        <v>11052</v>
      </c>
      <c r="D3254" s="0" t="s">
        <v>11053</v>
      </c>
      <c r="F3254" s="0" t="s">
        <v>11054</v>
      </c>
      <c r="G3254" s="0" t="n">
        <v>0</v>
      </c>
      <c r="J3254" s="0" t="s">
        <v>40</v>
      </c>
      <c r="K3254" s="0" t="str">
        <f aca="false">"11.63 %"</f>
        <v>11.63 %</v>
      </c>
      <c r="L3254" s="0" t="str">
        <f aca="false">"0.877 V"</f>
        <v>0.877 V</v>
      </c>
      <c r="O3254" s="0" t="s">
        <v>11055</v>
      </c>
    </row>
    <row r="3255" customFormat="false" ht="13.8" hidden="false" customHeight="false" outlineLevel="0" collapsed="false">
      <c r="A3255" s="0" t="s">
        <v>11056</v>
      </c>
      <c r="D3255" s="0" t="s">
        <v>11057</v>
      </c>
      <c r="F3255" s="0" t="s">
        <v>11058</v>
      </c>
      <c r="G3255" s="0" t="n">
        <v>0</v>
      </c>
      <c r="J3255" s="0" t="s">
        <v>40</v>
      </c>
      <c r="K3255" s="0" t="str">
        <f aca="false">"11.07 %"</f>
        <v>11.07 %</v>
      </c>
      <c r="O3255" s="0" t="s">
        <v>11059</v>
      </c>
    </row>
    <row r="3256" customFormat="false" ht="13.8" hidden="false" customHeight="false" outlineLevel="0" collapsed="false">
      <c r="A3256" s="0" t="s">
        <v>11056</v>
      </c>
      <c r="D3256" s="0" t="s">
        <v>9275</v>
      </c>
      <c r="F3256" s="0" t="s">
        <v>11058</v>
      </c>
      <c r="G3256" s="0" t="n">
        <v>0</v>
      </c>
      <c r="H3256" s="0" t="s">
        <v>11057</v>
      </c>
      <c r="J3256" s="0" t="s">
        <v>11058</v>
      </c>
      <c r="L3256" s="0" t="str">
        <f aca="false">"0.94 V"</f>
        <v>0.94 V</v>
      </c>
      <c r="M3256" s="0" t="str">
        <f aca="false">"16.99 mA cm^{-2}"</f>
        <v>16.99 mA cm^{-2}</v>
      </c>
      <c r="N3256" s="0" t="str">
        <f aca="false">"69.29 %"</f>
        <v>69.29 %</v>
      </c>
      <c r="O3256" s="0" t="s">
        <v>11060</v>
      </c>
    </row>
    <row r="3257" customFormat="false" ht="13.8" hidden="false" customHeight="false" outlineLevel="0" collapsed="false">
      <c r="A3257" s="0" t="s">
        <v>11061</v>
      </c>
      <c r="D3257" s="0" t="s">
        <v>11062</v>
      </c>
      <c r="F3257" s="0" t="s">
        <v>40</v>
      </c>
      <c r="G3257" s="0" t="n">
        <v>0</v>
      </c>
      <c r="J3257" s="0" t="s">
        <v>40</v>
      </c>
      <c r="K3257" s="0" t="str">
        <f aca="false">"2.34 %"</f>
        <v>2.34 %</v>
      </c>
      <c r="M3257" s="0" t="str">
        <f aca="false">"7.46 mA cm^{-2}"</f>
        <v>7.46 mA cm^{-2}</v>
      </c>
      <c r="O3257" s="0" t="s">
        <v>11063</v>
      </c>
    </row>
    <row r="3258" customFormat="false" ht="13.8" hidden="false" customHeight="false" outlineLevel="0" collapsed="false">
      <c r="A3258" s="0" t="s">
        <v>11061</v>
      </c>
      <c r="D3258" s="0" t="s">
        <v>11064</v>
      </c>
      <c r="F3258" s="0" t="s">
        <v>11065</v>
      </c>
      <c r="G3258" s="0" t="n">
        <v>0</v>
      </c>
      <c r="J3258" s="0" t="s">
        <v>40</v>
      </c>
      <c r="L3258" s="0" t="str">
        <f aca="false">"0.75 V"</f>
        <v>0.75 V</v>
      </c>
      <c r="N3258" s="0" t="str">
        <f aca="false">"58.3 %"</f>
        <v>58.3 %</v>
      </c>
      <c r="O3258" s="0" t="s">
        <v>11066</v>
      </c>
    </row>
    <row r="3259" customFormat="false" ht="13.8" hidden="false" customHeight="false" outlineLevel="0" collapsed="false">
      <c r="A3259" s="0" t="s">
        <v>11061</v>
      </c>
      <c r="D3259" s="0" t="s">
        <v>11067</v>
      </c>
      <c r="F3259" s="0" t="s">
        <v>11068</v>
      </c>
      <c r="G3259" s="0" t="n">
        <v>0</v>
      </c>
      <c r="J3259" s="0" t="s">
        <v>40</v>
      </c>
      <c r="K3259" s="0" t="str">
        <f aca="false">"6.60 %"</f>
        <v>6.60 %</v>
      </c>
      <c r="M3259" s="0" t="str">
        <f aca="false">"15.09 mA cm^{-2}"</f>
        <v>15.09 mA cm^{-2}</v>
      </c>
      <c r="N3259" s="0" t="str">
        <f aca="false">"34.0 %"</f>
        <v>34.0 %</v>
      </c>
      <c r="O3259" s="0" t="s">
        <v>11069</v>
      </c>
    </row>
    <row r="3260" customFormat="false" ht="13.8" hidden="false" customHeight="false" outlineLevel="0" collapsed="false">
      <c r="A3260" s="0" t="s">
        <v>11070</v>
      </c>
      <c r="D3260" s="0" t="s">
        <v>6362</v>
      </c>
      <c r="F3260" s="0" t="s">
        <v>8377</v>
      </c>
      <c r="G3260" s="0" t="n">
        <v>0</v>
      </c>
      <c r="J3260" s="0" t="s">
        <v>40</v>
      </c>
      <c r="K3260" s="0" t="str">
        <f aca="false">"6.31 %"</f>
        <v>6.31 %</v>
      </c>
      <c r="O3260" s="0" t="s">
        <v>11071</v>
      </c>
    </row>
    <row r="3261" customFormat="false" ht="13.8" hidden="false" customHeight="false" outlineLevel="0" collapsed="false">
      <c r="A3261" s="0" t="s">
        <v>11072</v>
      </c>
      <c r="D3261" s="0" t="s">
        <v>6756</v>
      </c>
      <c r="E3261" s="0" t="s">
        <v>6757</v>
      </c>
      <c r="F3261" s="0" t="s">
        <v>6758</v>
      </c>
      <c r="G3261" s="0" t="n">
        <v>0</v>
      </c>
      <c r="J3261" s="0" t="s">
        <v>40</v>
      </c>
      <c r="K3261" s="0" t="str">
        <f aca="false">"10.12 %"</f>
        <v>10.12 %</v>
      </c>
      <c r="O3261" s="0" t="s">
        <v>11073</v>
      </c>
    </row>
    <row r="3262" customFormat="false" ht="13.8" hidden="false" customHeight="false" outlineLevel="0" collapsed="false">
      <c r="A3262" s="0" t="s">
        <v>11074</v>
      </c>
      <c r="D3262" s="0" t="s">
        <v>11075</v>
      </c>
      <c r="E3262" s="0" t="s">
        <v>11076</v>
      </c>
      <c r="F3262" s="0" t="s">
        <v>11077</v>
      </c>
      <c r="G3262" s="0" t="n">
        <v>0</v>
      </c>
      <c r="J3262" s="0" t="s">
        <v>40</v>
      </c>
      <c r="K3262" s="0" t="str">
        <f aca="false">"9.74 %"</f>
        <v>9.74 %</v>
      </c>
      <c r="O3262" s="0" t="s">
        <v>11078</v>
      </c>
    </row>
    <row r="3263" customFormat="false" ht="13.8" hidden="false" customHeight="false" outlineLevel="0" collapsed="false">
      <c r="A3263" s="0" t="s">
        <v>11079</v>
      </c>
      <c r="F3263" s="0" t="s">
        <v>40</v>
      </c>
      <c r="G3263" s="0" t="n">
        <v>1</v>
      </c>
      <c r="H3263" s="0" t="s">
        <v>27</v>
      </c>
      <c r="J3263" s="0" t="s">
        <v>28</v>
      </c>
      <c r="K3263" s="0" t="str">
        <f aca="false">"6.47 %"</f>
        <v>6.47 %</v>
      </c>
      <c r="L3263" s="0" t="str">
        <f aca="false">"0.99 V"</f>
        <v>0.99 V</v>
      </c>
      <c r="M3263" s="0" t="str">
        <f aca="false">"10.03 mA/cm^{2}"</f>
        <v>10.03 mA/cm^{2}</v>
      </c>
      <c r="N3263" s="0" t="str">
        <f aca="false">"65.1 %"</f>
        <v>65.1 %</v>
      </c>
      <c r="O3263" s="0" t="s">
        <v>11080</v>
      </c>
    </row>
    <row r="3264" customFormat="false" ht="13.8" hidden="false" customHeight="false" outlineLevel="0" collapsed="false">
      <c r="A3264" s="0" t="s">
        <v>11081</v>
      </c>
      <c r="D3264" s="0" t="s">
        <v>201</v>
      </c>
      <c r="E3264" s="0" t="s">
        <v>202</v>
      </c>
      <c r="F3264" s="0" t="s">
        <v>422</v>
      </c>
      <c r="G3264" s="0" t="n">
        <v>0</v>
      </c>
      <c r="J3264" s="0" t="s">
        <v>40</v>
      </c>
      <c r="L3264" s="0" t="str">
        <f aca="false">"&gt; 0.5 V"</f>
        <v>&gt; 0.5 V</v>
      </c>
      <c r="O3264" s="0" t="s">
        <v>11082</v>
      </c>
    </row>
    <row r="3265" customFormat="false" ht="13.8" hidden="false" customHeight="false" outlineLevel="0" collapsed="false">
      <c r="A3265" s="0" t="s">
        <v>11081</v>
      </c>
      <c r="D3265" s="0" t="s">
        <v>11083</v>
      </c>
      <c r="F3265" s="0" t="s">
        <v>11084</v>
      </c>
      <c r="G3265" s="0" t="n">
        <v>0</v>
      </c>
      <c r="J3265" s="0" t="s">
        <v>40</v>
      </c>
      <c r="K3265" s="0" t="str">
        <f aca="false">"4.43 %"</f>
        <v>4.43 %</v>
      </c>
      <c r="L3265" s="0" t="str">
        <f aca="false">"0.561 V"</f>
        <v>0.561 V</v>
      </c>
      <c r="M3265" s="0" t="str">
        <f aca="false">"14.47 mA/cm^{2}"</f>
        <v>14.47 mA/cm^{2}</v>
      </c>
      <c r="N3265" s="0" t="str">
        <f aca="false">"54.6 %"</f>
        <v>54.6 %</v>
      </c>
      <c r="O3265" s="0" t="s">
        <v>11085</v>
      </c>
    </row>
    <row r="3266" customFormat="false" ht="13.8" hidden="false" customHeight="false" outlineLevel="0" collapsed="false">
      <c r="A3266" s="0" t="s">
        <v>11086</v>
      </c>
      <c r="D3266" s="0" t="s">
        <v>11087</v>
      </c>
      <c r="E3266" s="0" t="s">
        <v>11088</v>
      </c>
      <c r="F3266" s="0" t="s">
        <v>11089</v>
      </c>
      <c r="G3266" s="0" t="n">
        <v>0</v>
      </c>
      <c r="J3266" s="0" t="s">
        <v>40</v>
      </c>
      <c r="K3266" s="0" t="str">
        <f aca="false">"12.50 %"</f>
        <v>12.50 %</v>
      </c>
      <c r="O3266" s="0" t="s">
        <v>11090</v>
      </c>
    </row>
    <row r="3267" customFormat="false" ht="13.8" hidden="false" customHeight="false" outlineLevel="0" collapsed="false">
      <c r="A3267" s="0" t="s">
        <v>11091</v>
      </c>
      <c r="D3267" s="0" t="s">
        <v>6362</v>
      </c>
      <c r="F3267" s="0" t="s">
        <v>6776</v>
      </c>
      <c r="G3267" s="0" t="n">
        <v>0</v>
      </c>
      <c r="J3267" s="0" t="s">
        <v>40</v>
      </c>
      <c r="K3267" s="0" t="str">
        <f aca="false">"1.6-2.6 %"</f>
        <v>1.6-2.6 %</v>
      </c>
      <c r="O3267" s="0" t="s">
        <v>11092</v>
      </c>
    </row>
    <row r="3268" customFormat="false" ht="13.8" hidden="false" customHeight="false" outlineLevel="0" collapsed="false">
      <c r="A3268" s="0" t="s">
        <v>11093</v>
      </c>
      <c r="D3268" s="0" t="s">
        <v>16</v>
      </c>
      <c r="E3268" s="0" t="s">
        <v>17</v>
      </c>
      <c r="F3268" s="0" t="s">
        <v>18</v>
      </c>
      <c r="G3268" s="0" t="n">
        <v>0</v>
      </c>
      <c r="J3268" s="0" t="s">
        <v>40</v>
      </c>
      <c r="K3268" s="0" t="str">
        <f aca="false">"5.1 %"</f>
        <v>5.1 %</v>
      </c>
      <c r="N3268" s="0" t="str">
        <f aca="false">"0.45"</f>
        <v>0.45</v>
      </c>
      <c r="O3268" s="0" t="s">
        <v>11094</v>
      </c>
    </row>
    <row r="3269" customFormat="false" ht="13.8" hidden="false" customHeight="false" outlineLevel="0" collapsed="false">
      <c r="A3269" s="0" t="s">
        <v>11095</v>
      </c>
      <c r="D3269" s="0" t="s">
        <v>11096</v>
      </c>
      <c r="F3269" s="0" t="s">
        <v>11097</v>
      </c>
      <c r="G3269" s="0" t="n">
        <v>0</v>
      </c>
      <c r="J3269" s="0" t="s">
        <v>40</v>
      </c>
      <c r="K3269" s="0" t="str">
        <f aca="false">"6.48 %"</f>
        <v>6.48 %</v>
      </c>
      <c r="L3269" s="0" t="str">
        <f aca="false">"0.89 V"</f>
        <v>0.89 V</v>
      </c>
      <c r="O3269" s="0" t="s">
        <v>11098</v>
      </c>
    </row>
    <row r="3270" customFormat="false" ht="13.8" hidden="false" customHeight="false" outlineLevel="0" collapsed="false">
      <c r="A3270" s="0" t="s">
        <v>11099</v>
      </c>
      <c r="F3270" s="0" t="s">
        <v>40</v>
      </c>
      <c r="G3270" s="0" t="n">
        <v>1</v>
      </c>
      <c r="H3270" s="0" t="s">
        <v>27</v>
      </c>
      <c r="J3270" s="0" t="s">
        <v>40</v>
      </c>
      <c r="K3270" s="0" t="str">
        <f aca="false">"0.2 %"</f>
        <v>0.2 %</v>
      </c>
      <c r="O3270" s="0" t="s">
        <v>11100</v>
      </c>
    </row>
    <row r="3271" customFormat="false" ht="13.8" hidden="false" customHeight="false" outlineLevel="0" collapsed="false">
      <c r="A3271" s="0" t="s">
        <v>11101</v>
      </c>
      <c r="D3271" s="0" t="s">
        <v>11102</v>
      </c>
      <c r="E3271" s="0" t="s">
        <v>11103</v>
      </c>
      <c r="F3271" s="0" t="s">
        <v>11104</v>
      </c>
      <c r="G3271" s="0" t="n">
        <v>0</v>
      </c>
      <c r="J3271" s="0" t="s">
        <v>40</v>
      </c>
      <c r="K3271" s="0" t="str">
        <f aca="false">"5.61 %"</f>
        <v>5.61 %</v>
      </c>
      <c r="O3271" s="0" t="s">
        <v>11105</v>
      </c>
    </row>
    <row r="3272" customFormat="false" ht="13.8" hidden="false" customHeight="false" outlineLevel="0" collapsed="false">
      <c r="A3272" s="0" t="s">
        <v>11106</v>
      </c>
      <c r="F3272" s="0" t="s">
        <v>40</v>
      </c>
      <c r="G3272" s="0" t="n">
        <v>1</v>
      </c>
      <c r="H3272" s="0" t="s">
        <v>33</v>
      </c>
      <c r="J3272" s="0" t="s">
        <v>34</v>
      </c>
      <c r="K3272" s="0" t="str">
        <f aca="false">"3.55 %"</f>
        <v>3.55 %</v>
      </c>
      <c r="O3272" s="0" t="s">
        <v>11107</v>
      </c>
    </row>
    <row r="3273" customFormat="false" ht="13.8" hidden="false" customHeight="false" outlineLevel="0" collapsed="false">
      <c r="A3273" s="0" t="s">
        <v>11108</v>
      </c>
      <c r="D3273" s="0" t="s">
        <v>11109</v>
      </c>
      <c r="F3273" s="0" t="s">
        <v>11110</v>
      </c>
      <c r="G3273" s="0" t="n">
        <v>0</v>
      </c>
      <c r="J3273" s="0" t="s">
        <v>40</v>
      </c>
      <c r="K3273" s="0" t="str">
        <f aca="false">"0.9 %"</f>
        <v>0.9 %</v>
      </c>
      <c r="O3273" s="0" t="s">
        <v>11111</v>
      </c>
    </row>
    <row r="3274" customFormat="false" ht="13.8" hidden="false" customHeight="false" outlineLevel="0" collapsed="false">
      <c r="A3274" s="0" t="s">
        <v>11112</v>
      </c>
      <c r="D3274" s="0" t="s">
        <v>1924</v>
      </c>
      <c r="E3274" s="0" t="s">
        <v>1925</v>
      </c>
      <c r="F3274" s="0" t="s">
        <v>1926</v>
      </c>
      <c r="G3274" s="0" t="n">
        <v>0</v>
      </c>
      <c r="J3274" s="0" t="s">
        <v>40</v>
      </c>
      <c r="N3274" s="0" t="str">
        <f aca="false">"0.60"</f>
        <v>0.60</v>
      </c>
      <c r="O3274" s="0" t="s">
        <v>11113</v>
      </c>
    </row>
    <row r="3275" customFormat="false" ht="13.8" hidden="false" customHeight="false" outlineLevel="0" collapsed="false">
      <c r="A3275" s="0" t="s">
        <v>11112</v>
      </c>
      <c r="D3275" s="0" t="s">
        <v>6620</v>
      </c>
      <c r="E3275" s="0" t="s">
        <v>6621</v>
      </c>
      <c r="F3275" s="0" t="s">
        <v>7269</v>
      </c>
      <c r="G3275" s="0" t="n">
        <v>0</v>
      </c>
      <c r="J3275" s="0" t="s">
        <v>40</v>
      </c>
      <c r="K3275" s="0" t="str">
        <f aca="false">"4.0 %"</f>
        <v>4.0 %</v>
      </c>
      <c r="O3275" s="0" t="s">
        <v>11114</v>
      </c>
    </row>
    <row r="3276" customFormat="false" ht="13.8" hidden="false" customHeight="false" outlineLevel="0" collapsed="false">
      <c r="A3276" s="0" t="s">
        <v>11115</v>
      </c>
      <c r="F3276" s="0" t="s">
        <v>40</v>
      </c>
      <c r="G3276" s="0" t="n">
        <v>0</v>
      </c>
      <c r="H3276" s="0" t="s">
        <v>11116</v>
      </c>
      <c r="J3276" s="0" t="s">
        <v>40</v>
      </c>
      <c r="K3276" s="0" t="str">
        <f aca="false">"0.4 %"</f>
        <v>0.4 %</v>
      </c>
      <c r="O3276" s="0" t="s">
        <v>11117</v>
      </c>
    </row>
    <row r="3277" customFormat="false" ht="13.8" hidden="false" customHeight="false" outlineLevel="0" collapsed="false">
      <c r="A3277" s="0" t="s">
        <v>11118</v>
      </c>
      <c r="F3277" s="0" t="s">
        <v>40</v>
      </c>
      <c r="G3277" s="0" t="n">
        <v>1</v>
      </c>
      <c r="H3277" s="0" t="s">
        <v>33</v>
      </c>
      <c r="J3277" s="0" t="s">
        <v>34</v>
      </c>
      <c r="K3277" s="0" t="str">
        <f aca="false">"3.77 %"</f>
        <v>3.77 %</v>
      </c>
      <c r="O3277" s="0" t="s">
        <v>11119</v>
      </c>
    </row>
    <row r="3278" customFormat="false" ht="13.8" hidden="false" customHeight="false" outlineLevel="0" collapsed="false">
      <c r="A3278" s="0" t="s">
        <v>11120</v>
      </c>
      <c r="F3278" s="0" t="s">
        <v>40</v>
      </c>
      <c r="G3278" s="0" t="n">
        <v>1</v>
      </c>
      <c r="H3278" s="0" t="s">
        <v>33</v>
      </c>
      <c r="J3278" s="0" t="s">
        <v>34</v>
      </c>
      <c r="K3278" s="0" t="str">
        <f aca="false">"2.80 %"</f>
        <v>2.80 %</v>
      </c>
      <c r="O3278" s="0" t="s">
        <v>11121</v>
      </c>
    </row>
    <row r="3279" customFormat="false" ht="13.8" hidden="false" customHeight="false" outlineLevel="0" collapsed="false">
      <c r="A3279" s="0" t="s">
        <v>11122</v>
      </c>
      <c r="F3279" s="0" t="s">
        <v>40</v>
      </c>
      <c r="G3279" s="0" t="n">
        <v>1</v>
      </c>
      <c r="H3279" s="0" t="s">
        <v>152</v>
      </c>
      <c r="J3279" s="0" t="s">
        <v>153</v>
      </c>
      <c r="K3279" s="0" t="str">
        <f aca="false">"1.4 %"</f>
        <v>1.4 %</v>
      </c>
      <c r="O3279" s="0" t="s">
        <v>11123</v>
      </c>
    </row>
    <row r="3280" customFormat="false" ht="13.8" hidden="false" customHeight="false" outlineLevel="0" collapsed="false">
      <c r="A3280" s="0" t="s">
        <v>11124</v>
      </c>
      <c r="F3280" s="0" t="s">
        <v>40</v>
      </c>
      <c r="G3280" s="0" t="n">
        <v>1</v>
      </c>
      <c r="H3280" s="0" t="s">
        <v>27</v>
      </c>
      <c r="J3280" s="0" t="s">
        <v>4482</v>
      </c>
      <c r="K3280" s="0" t="str">
        <f aca="false">"5.4 %"</f>
        <v>5.4 %</v>
      </c>
      <c r="O3280" s="0" t="s">
        <v>11125</v>
      </c>
    </row>
    <row r="3281" customFormat="false" ht="13.8" hidden="false" customHeight="false" outlineLevel="0" collapsed="false">
      <c r="A3281" s="0" t="s">
        <v>11126</v>
      </c>
      <c r="D3281" s="0" t="s">
        <v>11127</v>
      </c>
      <c r="F3281" s="0" t="s">
        <v>11128</v>
      </c>
      <c r="G3281" s="0" t="n">
        <v>0</v>
      </c>
      <c r="J3281" s="0" t="s">
        <v>40</v>
      </c>
      <c r="K3281" s="0" t="str">
        <f aca="false">"10.04 %"</f>
        <v>10.04 %</v>
      </c>
      <c r="O3281" s="0" t="s">
        <v>11129</v>
      </c>
    </row>
    <row r="3282" customFormat="false" ht="13.8" hidden="false" customHeight="false" outlineLevel="0" collapsed="false">
      <c r="A3282" s="0" t="s">
        <v>11130</v>
      </c>
      <c r="D3282" s="0" t="s">
        <v>11131</v>
      </c>
      <c r="F3282" s="0" t="s">
        <v>11132</v>
      </c>
      <c r="G3282" s="0" t="n">
        <v>0</v>
      </c>
      <c r="J3282" s="0" t="s">
        <v>40</v>
      </c>
      <c r="O3282" s="0" t="s">
        <v>11133</v>
      </c>
    </row>
    <row r="3283" customFormat="false" ht="13.8" hidden="false" customHeight="false" outlineLevel="0" collapsed="false">
      <c r="A3283" s="0" t="s">
        <v>11130</v>
      </c>
      <c r="D3283" s="0" t="s">
        <v>16</v>
      </c>
      <c r="E3283" s="0" t="s">
        <v>17</v>
      </c>
      <c r="F3283" s="0" t="s">
        <v>116</v>
      </c>
      <c r="G3283" s="0" t="n">
        <v>0</v>
      </c>
      <c r="J3283" s="0" t="s">
        <v>40</v>
      </c>
      <c r="K3283" s="0" t="str">
        <f aca="false">"3.6 %"</f>
        <v>3.6 %</v>
      </c>
      <c r="O3283" s="0" t="s">
        <v>11134</v>
      </c>
    </row>
    <row r="3284" customFormat="false" ht="13.8" hidden="false" customHeight="false" outlineLevel="0" collapsed="false">
      <c r="A3284" s="0" t="s">
        <v>11135</v>
      </c>
      <c r="D3284" s="0" t="s">
        <v>201</v>
      </c>
      <c r="E3284" s="0" t="s">
        <v>202</v>
      </c>
      <c r="F3284" s="0" t="s">
        <v>422</v>
      </c>
      <c r="G3284" s="0" t="n">
        <v>0</v>
      </c>
      <c r="J3284" s="0" t="s">
        <v>40</v>
      </c>
      <c r="K3284" s="0" t="str">
        <f aca="false">"7.74 %"</f>
        <v>7.74 %</v>
      </c>
      <c r="O3284" s="0" t="s">
        <v>11136</v>
      </c>
    </row>
    <row r="3285" customFormat="false" ht="13.8" hidden="false" customHeight="false" outlineLevel="0" collapsed="false">
      <c r="A3285" s="0" t="s">
        <v>11137</v>
      </c>
      <c r="D3285" s="0" t="s">
        <v>11138</v>
      </c>
      <c r="F3285" s="0" t="s">
        <v>40</v>
      </c>
      <c r="G3285" s="0" t="n">
        <v>0</v>
      </c>
      <c r="J3285" s="0" t="s">
        <v>40</v>
      </c>
      <c r="O3285" s="0" t="s">
        <v>11139</v>
      </c>
    </row>
    <row r="3286" customFormat="false" ht="13.8" hidden="false" customHeight="false" outlineLevel="0" collapsed="false">
      <c r="A3286" s="0" t="s">
        <v>11137</v>
      </c>
      <c r="D3286" s="0" t="s">
        <v>11140</v>
      </c>
      <c r="F3286" s="0" t="s">
        <v>40</v>
      </c>
      <c r="G3286" s="0" t="n">
        <v>0</v>
      </c>
      <c r="J3286" s="0" t="s">
        <v>40</v>
      </c>
      <c r="K3286" s="0" t="str">
        <f aca="false">"4.44 %"</f>
        <v>4.44 %</v>
      </c>
      <c r="O3286" s="0" t="s">
        <v>11141</v>
      </c>
    </row>
    <row r="3287" customFormat="false" ht="13.8" hidden="false" customHeight="false" outlineLevel="0" collapsed="false">
      <c r="A3287" s="0" t="s">
        <v>11142</v>
      </c>
      <c r="F3287" s="0" t="s">
        <v>40</v>
      </c>
      <c r="G3287" s="0" t="n">
        <v>0</v>
      </c>
      <c r="H3287" s="0" t="s">
        <v>208</v>
      </c>
      <c r="I3287" s="0" t="s">
        <v>17</v>
      </c>
      <c r="J3287" s="0" t="s">
        <v>209</v>
      </c>
      <c r="K3287" s="0" t="str">
        <f aca="false">"0.57 %"</f>
        <v>0.57 %</v>
      </c>
      <c r="L3287" s="0" t="str">
        <f aca="false">"0.87 V"</f>
        <v>0.87 V</v>
      </c>
      <c r="O3287" s="0" t="s">
        <v>11143</v>
      </c>
    </row>
    <row r="3288" customFormat="false" ht="13.8" hidden="false" customHeight="false" outlineLevel="0" collapsed="false">
      <c r="A3288" s="0" t="s">
        <v>11144</v>
      </c>
      <c r="F3288" s="0" t="s">
        <v>40</v>
      </c>
      <c r="G3288" s="0" t="n">
        <v>0</v>
      </c>
      <c r="H3288" s="0" t="s">
        <v>16</v>
      </c>
      <c r="I3288" s="0" t="s">
        <v>17</v>
      </c>
      <c r="J3288" s="0" t="s">
        <v>116</v>
      </c>
      <c r="K3288" s="0" t="str">
        <f aca="false">"1.6 %"</f>
        <v>1.6 %</v>
      </c>
      <c r="O3288" s="0" t="s">
        <v>11145</v>
      </c>
    </row>
    <row r="3289" customFormat="false" ht="13.8" hidden="false" customHeight="false" outlineLevel="0" collapsed="false">
      <c r="A3289" s="0" t="s">
        <v>11146</v>
      </c>
      <c r="D3289" s="0" t="s">
        <v>11147</v>
      </c>
      <c r="F3289" s="0" t="s">
        <v>11148</v>
      </c>
      <c r="G3289" s="0" t="n">
        <v>0</v>
      </c>
      <c r="J3289" s="0" t="s">
        <v>40</v>
      </c>
      <c r="K3289" s="0" t="str">
        <f aca="false">"6.0 %"</f>
        <v>6.0 %</v>
      </c>
      <c r="O3289" s="0" t="s">
        <v>11149</v>
      </c>
    </row>
    <row r="3290" customFormat="false" ht="13.8" hidden="false" customHeight="false" outlineLevel="0" collapsed="false">
      <c r="A3290" s="0" t="s">
        <v>11150</v>
      </c>
      <c r="D3290" s="0" t="s">
        <v>11151</v>
      </c>
      <c r="E3290" s="0" t="s">
        <v>1915</v>
      </c>
      <c r="F3290" s="0" t="s">
        <v>11152</v>
      </c>
      <c r="G3290" s="0" t="n">
        <v>0</v>
      </c>
      <c r="J3290" s="0" t="s">
        <v>40</v>
      </c>
      <c r="K3290" s="0" t="str">
        <f aca="false">"6.81 %"</f>
        <v>6.81 %</v>
      </c>
      <c r="O3290" s="0" t="s">
        <v>11153</v>
      </c>
    </row>
    <row r="3291" customFormat="false" ht="13.8" hidden="false" customHeight="false" outlineLevel="0" collapsed="false">
      <c r="A3291" s="0" t="s">
        <v>11154</v>
      </c>
      <c r="D3291" s="0" t="s">
        <v>11155</v>
      </c>
      <c r="E3291" s="0" t="s">
        <v>1169</v>
      </c>
      <c r="F3291" s="0" t="s">
        <v>11156</v>
      </c>
      <c r="G3291" s="0" t="n">
        <v>0</v>
      </c>
      <c r="J3291" s="0" t="s">
        <v>40</v>
      </c>
      <c r="K3291" s="0" t="str">
        <f aca="false">"3.11 %"</f>
        <v>3.11 %</v>
      </c>
      <c r="O3291" s="0" t="s">
        <v>11157</v>
      </c>
    </row>
    <row r="3292" customFormat="false" ht="13.8" hidden="false" customHeight="false" outlineLevel="0" collapsed="false">
      <c r="A3292" s="0" t="s">
        <v>11158</v>
      </c>
      <c r="F3292" s="0" t="s">
        <v>40</v>
      </c>
      <c r="G3292" s="0" t="n">
        <v>1</v>
      </c>
      <c r="H3292" s="0" t="s">
        <v>33</v>
      </c>
      <c r="J3292" s="0" t="s">
        <v>34</v>
      </c>
      <c r="K3292" s="0" t="str">
        <f aca="false">"3.68 %"</f>
        <v>3.68 %</v>
      </c>
      <c r="O3292" s="0" t="s">
        <v>11159</v>
      </c>
    </row>
    <row r="3293" customFormat="false" ht="13.8" hidden="false" customHeight="false" outlineLevel="0" collapsed="false">
      <c r="A3293" s="0" t="s">
        <v>11160</v>
      </c>
      <c r="D3293" s="0" t="s">
        <v>10553</v>
      </c>
      <c r="E3293" s="0" t="s">
        <v>1925</v>
      </c>
      <c r="F3293" s="0" t="s">
        <v>10554</v>
      </c>
      <c r="G3293" s="0" t="n">
        <v>0</v>
      </c>
      <c r="J3293" s="0" t="s">
        <v>40</v>
      </c>
      <c r="K3293" s="0" t="str">
        <f aca="false">"11 %"</f>
        <v>11 %</v>
      </c>
      <c r="O3293" s="0" t="s">
        <v>11161</v>
      </c>
    </row>
    <row r="3294" customFormat="false" ht="13.8" hidden="false" customHeight="false" outlineLevel="0" collapsed="false">
      <c r="A3294" s="0" t="s">
        <v>11160</v>
      </c>
      <c r="F3294" s="0" t="s">
        <v>40</v>
      </c>
      <c r="G3294" s="0" t="n">
        <v>0</v>
      </c>
      <c r="J3294" s="0" t="s">
        <v>40</v>
      </c>
      <c r="K3294" s="0" t="str">
        <f aca="false">"14.5 %"</f>
        <v>14.5 %</v>
      </c>
      <c r="O3294" s="0" t="s">
        <v>11162</v>
      </c>
    </row>
    <row r="3295" customFormat="false" ht="13.8" hidden="false" customHeight="false" outlineLevel="0" collapsed="false">
      <c r="A3295" s="0" t="s">
        <v>11163</v>
      </c>
      <c r="F3295" s="0" t="s">
        <v>40</v>
      </c>
      <c r="G3295" s="0" t="n">
        <v>0</v>
      </c>
      <c r="H3295" s="0" t="s">
        <v>201</v>
      </c>
      <c r="I3295" s="0" t="s">
        <v>202</v>
      </c>
      <c r="J3295" s="0" t="s">
        <v>422</v>
      </c>
      <c r="K3295" s="0" t="str">
        <f aca="false">"2.1 %"</f>
        <v>2.1 %</v>
      </c>
      <c r="L3295" s="0" t="str">
        <f aca="false">"1.02 V"</f>
        <v>1.02 V</v>
      </c>
      <c r="O3295" s="0" t="s">
        <v>11164</v>
      </c>
    </row>
    <row r="3296" customFormat="false" ht="13.8" hidden="false" customHeight="false" outlineLevel="0" collapsed="false">
      <c r="A3296" s="0" t="s">
        <v>11165</v>
      </c>
      <c r="D3296" s="0" t="s">
        <v>6222</v>
      </c>
      <c r="E3296" s="0" t="s">
        <v>600</v>
      </c>
      <c r="F3296" s="0" t="s">
        <v>6223</v>
      </c>
      <c r="G3296" s="0" t="n">
        <v>0</v>
      </c>
      <c r="J3296" s="0" t="s">
        <v>40</v>
      </c>
      <c r="K3296" s="0" t="str">
        <f aca="false">"11.65 %"</f>
        <v>11.65 %</v>
      </c>
      <c r="O3296" s="0" t="s">
        <v>11166</v>
      </c>
    </row>
    <row r="3297" customFormat="false" ht="13.8" hidden="false" customHeight="false" outlineLevel="0" collapsed="false">
      <c r="A3297" s="0" t="s">
        <v>11167</v>
      </c>
      <c r="D3297" s="0" t="s">
        <v>11168</v>
      </c>
      <c r="F3297" s="0" t="s">
        <v>11169</v>
      </c>
      <c r="G3297" s="0" t="n">
        <v>0</v>
      </c>
      <c r="J3297" s="0" t="s">
        <v>40</v>
      </c>
      <c r="K3297" s="0" t="str">
        <f aca="false">"11.6 %"</f>
        <v>11.6 %</v>
      </c>
      <c r="O3297" s="0" t="s">
        <v>11170</v>
      </c>
    </row>
    <row r="3298" customFormat="false" ht="13.8" hidden="false" customHeight="false" outlineLevel="0" collapsed="false">
      <c r="A3298" s="0" t="s">
        <v>11171</v>
      </c>
      <c r="D3298" s="0" t="s">
        <v>6253</v>
      </c>
      <c r="E3298" s="0" t="s">
        <v>1169</v>
      </c>
      <c r="F3298" s="0" t="s">
        <v>6254</v>
      </c>
      <c r="G3298" s="0" t="n">
        <v>0</v>
      </c>
      <c r="J3298" s="0" t="s">
        <v>40</v>
      </c>
      <c r="L3298" s="0" t="str">
        <f aca="false">"0.61 V"</f>
        <v>0.61 V</v>
      </c>
      <c r="O3298" s="0" t="s">
        <v>11172</v>
      </c>
    </row>
    <row r="3299" customFormat="false" ht="13.8" hidden="false" customHeight="false" outlineLevel="0" collapsed="false">
      <c r="A3299" s="0" t="s">
        <v>11171</v>
      </c>
      <c r="D3299" s="0" t="s">
        <v>11173</v>
      </c>
      <c r="E3299" s="0" t="s">
        <v>1169</v>
      </c>
      <c r="F3299" s="0" t="s">
        <v>11174</v>
      </c>
      <c r="G3299" s="0" t="n">
        <v>0</v>
      </c>
      <c r="J3299" s="0" t="s">
        <v>40</v>
      </c>
      <c r="K3299" s="0" t="str">
        <f aca="false">"8.5 %"</f>
        <v>8.5 %</v>
      </c>
      <c r="O3299" s="0" t="s">
        <v>11175</v>
      </c>
    </row>
    <row r="3300" customFormat="false" ht="13.8" hidden="false" customHeight="false" outlineLevel="0" collapsed="false">
      <c r="A3300" s="0" t="s">
        <v>11171</v>
      </c>
      <c r="F3300" s="0" t="s">
        <v>40</v>
      </c>
      <c r="G3300" s="0" t="n">
        <v>0</v>
      </c>
      <c r="J3300" s="0" t="s">
        <v>40</v>
      </c>
      <c r="L3300" s="0" t="str">
        <f aca="false">"0.56 V"</f>
        <v>0.56 V</v>
      </c>
      <c r="M3300" s="0" t="str">
        <f aca="false">"29.7 mA/cm^{2}"</f>
        <v>29.7 mA/cm^{2}</v>
      </c>
      <c r="N3300" s="0" t="str">
        <f aca="false">"49.7 %"</f>
        <v>49.7 %</v>
      </c>
      <c r="O3300" s="0" t="s">
        <v>11176</v>
      </c>
    </row>
    <row r="3301" customFormat="false" ht="13.8" hidden="false" customHeight="false" outlineLevel="0" collapsed="false">
      <c r="A3301" s="0" t="s">
        <v>11177</v>
      </c>
      <c r="F3301" s="0" t="s">
        <v>40</v>
      </c>
      <c r="G3301" s="0" t="n">
        <v>1</v>
      </c>
      <c r="H3301" s="0" t="s">
        <v>33</v>
      </c>
      <c r="J3301" s="0" t="s">
        <v>40</v>
      </c>
      <c r="K3301" s="0" t="str">
        <f aca="false">"3.08 %"</f>
        <v>3.08 %</v>
      </c>
      <c r="O3301" s="0" t="s">
        <v>11178</v>
      </c>
    </row>
    <row r="3302" customFormat="false" ht="13.8" hidden="false" customHeight="false" outlineLevel="0" collapsed="false">
      <c r="A3302" s="0" t="s">
        <v>11179</v>
      </c>
      <c r="D3302" s="0" t="s">
        <v>16</v>
      </c>
      <c r="E3302" s="0" t="s">
        <v>17</v>
      </c>
      <c r="F3302" s="0" t="s">
        <v>116</v>
      </c>
      <c r="G3302" s="0" t="n">
        <v>0</v>
      </c>
      <c r="J3302" s="0" t="s">
        <v>40</v>
      </c>
      <c r="K3302" s="0" t="str">
        <f aca="false">"1.41 %"</f>
        <v>1.41 %</v>
      </c>
      <c r="O3302" s="0" t="s">
        <v>11180</v>
      </c>
    </row>
    <row r="3303" customFormat="false" ht="13.8" hidden="false" customHeight="false" outlineLevel="0" collapsed="false">
      <c r="A3303" s="0" t="s">
        <v>11181</v>
      </c>
      <c r="F3303" s="0" t="s">
        <v>40</v>
      </c>
      <c r="G3303" s="0" t="n">
        <v>1</v>
      </c>
      <c r="H3303" s="0" t="s">
        <v>575</v>
      </c>
      <c r="J3303" s="0" t="s">
        <v>576</v>
      </c>
      <c r="K3303" s="0" t="str">
        <f aca="false">"1.56 %"</f>
        <v>1.56 %</v>
      </c>
      <c r="O3303" s="0" t="s">
        <v>11182</v>
      </c>
    </row>
    <row r="3304" customFormat="false" ht="13.8" hidden="false" customHeight="false" outlineLevel="0" collapsed="false">
      <c r="A3304" s="0" t="s">
        <v>11183</v>
      </c>
      <c r="F3304" s="0" t="s">
        <v>40</v>
      </c>
      <c r="G3304" s="0" t="n">
        <v>1</v>
      </c>
      <c r="H3304" s="0" t="s">
        <v>27</v>
      </c>
      <c r="J3304" s="0" t="s">
        <v>28</v>
      </c>
      <c r="K3304" s="0" t="str">
        <f aca="false">"6.75 %"</f>
        <v>6.75 %</v>
      </c>
      <c r="O3304" s="0" t="s">
        <v>11184</v>
      </c>
    </row>
    <row r="3305" customFormat="false" ht="13.8" hidden="false" customHeight="false" outlineLevel="0" collapsed="false">
      <c r="A3305" s="0" t="s">
        <v>11185</v>
      </c>
      <c r="F3305" s="0" t="s">
        <v>40</v>
      </c>
      <c r="G3305" s="0" t="n">
        <v>0</v>
      </c>
      <c r="H3305" s="0" t="s">
        <v>11186</v>
      </c>
      <c r="I3305" s="0" t="s">
        <v>1169</v>
      </c>
      <c r="J3305" s="0" t="s">
        <v>11187</v>
      </c>
      <c r="K3305" s="0" t="str">
        <f aca="false">"13.60 %"</f>
        <v>13.60 %</v>
      </c>
      <c r="O3305" s="0" t="s">
        <v>11188</v>
      </c>
    </row>
    <row r="3306" customFormat="false" ht="13.8" hidden="false" customHeight="false" outlineLevel="0" collapsed="false">
      <c r="A3306" s="0" t="s">
        <v>11189</v>
      </c>
      <c r="D3306" s="0" t="s">
        <v>5180</v>
      </c>
      <c r="F3306" s="0" t="s">
        <v>11004</v>
      </c>
      <c r="G3306" s="0" t="n">
        <v>0</v>
      </c>
      <c r="J3306" s="0" t="s">
        <v>40</v>
      </c>
      <c r="K3306" s="0" t="str">
        <f aca="false">"~13.2 %"</f>
        <v>~13.2 %</v>
      </c>
      <c r="O3306" s="0" t="s">
        <v>11190</v>
      </c>
    </row>
    <row r="3307" customFormat="false" ht="13.8" hidden="false" customHeight="false" outlineLevel="0" collapsed="false">
      <c r="A3307" s="0" t="s">
        <v>11191</v>
      </c>
      <c r="F3307" s="0" t="s">
        <v>40</v>
      </c>
      <c r="G3307" s="0" t="n">
        <v>1</v>
      </c>
      <c r="H3307" s="0" t="s">
        <v>27</v>
      </c>
      <c r="J3307" s="0" t="s">
        <v>28</v>
      </c>
      <c r="K3307" s="0" t="str">
        <f aca="false">"11 %"</f>
        <v>11 %</v>
      </c>
      <c r="O3307" s="0" t="s">
        <v>11192</v>
      </c>
    </row>
    <row r="3308" customFormat="false" ht="13.8" hidden="false" customHeight="false" outlineLevel="0" collapsed="false">
      <c r="A3308" s="0" t="s">
        <v>11193</v>
      </c>
      <c r="D3308" s="0" t="s">
        <v>11194</v>
      </c>
      <c r="F3308" s="0" t="s">
        <v>11195</v>
      </c>
      <c r="G3308" s="0" t="n">
        <v>0</v>
      </c>
      <c r="J3308" s="0" t="s">
        <v>40</v>
      </c>
      <c r="K3308" s="0" t="str">
        <f aca="false">"5.18 %"</f>
        <v>5.18 %</v>
      </c>
      <c r="L3308" s="0" t="str">
        <f aca="false">"0.91 V"</f>
        <v>0.91 V</v>
      </c>
      <c r="M3308" s="0" t="str">
        <f aca="false">"10.1 mA/cm^{2}"</f>
        <v>10.1 mA/cm^{2}</v>
      </c>
      <c r="N3308" s="0" t="str">
        <f aca="false">"52.4 %"</f>
        <v>52.4 %</v>
      </c>
      <c r="O3308" s="0" t="s">
        <v>11196</v>
      </c>
    </row>
    <row r="3309" customFormat="false" ht="13.8" hidden="false" customHeight="false" outlineLevel="0" collapsed="false">
      <c r="A3309" s="0" t="s">
        <v>11197</v>
      </c>
      <c r="D3309" s="0" t="s">
        <v>11198</v>
      </c>
      <c r="E3309" s="0" t="s">
        <v>6621</v>
      </c>
      <c r="F3309" s="0" t="s">
        <v>11199</v>
      </c>
      <c r="G3309" s="0" t="n">
        <v>0</v>
      </c>
      <c r="J3309" s="0" t="s">
        <v>40</v>
      </c>
      <c r="K3309" s="0" t="str">
        <f aca="false">"1.71 %"</f>
        <v>1.71 %</v>
      </c>
      <c r="O3309" s="0" t="s">
        <v>11200</v>
      </c>
    </row>
    <row r="3310" customFormat="false" ht="13.8" hidden="false" customHeight="false" outlineLevel="0" collapsed="false">
      <c r="A3310" s="0" t="s">
        <v>11201</v>
      </c>
      <c r="D3310" s="0" t="s">
        <v>11202</v>
      </c>
      <c r="F3310" s="0" t="s">
        <v>11203</v>
      </c>
      <c r="G3310" s="0" t="n">
        <v>0</v>
      </c>
      <c r="J3310" s="0" t="s">
        <v>40</v>
      </c>
      <c r="K3310" s="0" t="str">
        <f aca="false">"8.25 %"</f>
        <v>8.25 %</v>
      </c>
      <c r="O3310" s="0" t="s">
        <v>11204</v>
      </c>
    </row>
    <row r="3311" customFormat="false" ht="13.8" hidden="false" customHeight="false" outlineLevel="0" collapsed="false">
      <c r="A3311" s="0" t="s">
        <v>11205</v>
      </c>
      <c r="D3311" s="0" t="s">
        <v>11206</v>
      </c>
      <c r="E3311" s="0" t="s">
        <v>222</v>
      </c>
      <c r="F3311" s="0" t="s">
        <v>11207</v>
      </c>
      <c r="G3311" s="0" t="n">
        <v>0</v>
      </c>
      <c r="J3311" s="0" t="s">
        <v>40</v>
      </c>
      <c r="K3311" s="0" t="str">
        <f aca="false">"7 %"</f>
        <v>7 %</v>
      </c>
      <c r="O3311" s="0" t="s">
        <v>11208</v>
      </c>
    </row>
    <row r="3312" customFormat="false" ht="13.8" hidden="false" customHeight="false" outlineLevel="0" collapsed="false">
      <c r="A3312" s="0" t="s">
        <v>11209</v>
      </c>
      <c r="D3312" s="0" t="s">
        <v>1924</v>
      </c>
      <c r="E3312" s="0" t="s">
        <v>1925</v>
      </c>
      <c r="F3312" s="0" t="s">
        <v>1926</v>
      </c>
      <c r="G3312" s="0" t="n">
        <v>0</v>
      </c>
      <c r="J3312" s="0" t="s">
        <v>40</v>
      </c>
      <c r="K3312" s="0" t="str">
        <f aca="false">"8.54 %"</f>
        <v>8.54 %</v>
      </c>
      <c r="O3312" s="0" t="s">
        <v>11210</v>
      </c>
    </row>
    <row r="3313" customFormat="false" ht="13.8" hidden="false" customHeight="false" outlineLevel="0" collapsed="false">
      <c r="A3313" s="0" t="s">
        <v>11211</v>
      </c>
      <c r="D3313" s="0" t="s">
        <v>11212</v>
      </c>
      <c r="F3313" s="0" t="s">
        <v>11213</v>
      </c>
      <c r="G3313" s="0" t="n">
        <v>0</v>
      </c>
      <c r="J3313" s="0" t="s">
        <v>40</v>
      </c>
      <c r="O3313" s="0" t="s">
        <v>11214</v>
      </c>
    </row>
    <row r="3314" customFormat="false" ht="13.8" hidden="false" customHeight="false" outlineLevel="0" collapsed="false">
      <c r="A3314" s="0" t="s">
        <v>11211</v>
      </c>
      <c r="D3314" s="0" t="s">
        <v>11215</v>
      </c>
      <c r="F3314" s="0" t="s">
        <v>11216</v>
      </c>
      <c r="G3314" s="0" t="n">
        <v>0</v>
      </c>
      <c r="J3314" s="0" t="s">
        <v>40</v>
      </c>
      <c r="K3314" s="0" t="str">
        <f aca="false">"2.12 %"</f>
        <v>2.12 %</v>
      </c>
      <c r="O3314" s="0" t="s">
        <v>11217</v>
      </c>
    </row>
    <row r="3315" customFormat="false" ht="13.8" hidden="false" customHeight="false" outlineLevel="0" collapsed="false">
      <c r="A3315" s="0" t="s">
        <v>11218</v>
      </c>
      <c r="F3315" s="0" t="s">
        <v>40</v>
      </c>
      <c r="G3315" s="0" t="n">
        <v>1</v>
      </c>
      <c r="H3315" s="0" t="s">
        <v>27</v>
      </c>
      <c r="J3315" s="0" t="s">
        <v>40</v>
      </c>
      <c r="K3315" s="0" t="str">
        <f aca="false">"1.45 %"</f>
        <v>1.45 %</v>
      </c>
      <c r="O3315" s="0" t="s">
        <v>11219</v>
      </c>
    </row>
    <row r="3316" customFormat="false" ht="13.8" hidden="false" customHeight="false" outlineLevel="0" collapsed="false">
      <c r="A3316" s="0" t="s">
        <v>11220</v>
      </c>
      <c r="D3316" s="0" t="s">
        <v>11221</v>
      </c>
      <c r="F3316" s="0" t="s">
        <v>11222</v>
      </c>
      <c r="G3316" s="0" t="n">
        <v>0</v>
      </c>
      <c r="J3316" s="0" t="s">
        <v>40</v>
      </c>
      <c r="O3316" s="0" t="s">
        <v>11223</v>
      </c>
    </row>
    <row r="3317" customFormat="false" ht="13.8" hidden="false" customHeight="false" outlineLevel="0" collapsed="false">
      <c r="A3317" s="0" t="s">
        <v>11220</v>
      </c>
      <c r="D3317" s="0" t="s">
        <v>11224</v>
      </c>
      <c r="F3317" s="0" t="s">
        <v>11225</v>
      </c>
      <c r="G3317" s="0" t="n">
        <v>0</v>
      </c>
      <c r="J3317" s="0" t="s">
        <v>40</v>
      </c>
      <c r="L3317" s="0" t="str">
        <f aca="false">"0.95 V"</f>
        <v>0.95 V</v>
      </c>
      <c r="O3317" s="0" t="s">
        <v>11226</v>
      </c>
    </row>
    <row r="3318" customFormat="false" ht="13.8" hidden="false" customHeight="false" outlineLevel="0" collapsed="false">
      <c r="A3318" s="0" t="s">
        <v>11227</v>
      </c>
      <c r="F3318" s="0" t="s">
        <v>40</v>
      </c>
      <c r="G3318" s="0" t="n">
        <v>1</v>
      </c>
      <c r="H3318" s="0" t="s">
        <v>1829</v>
      </c>
      <c r="J3318" s="0" t="s">
        <v>11228</v>
      </c>
      <c r="K3318" s="0" t="str">
        <f aca="false">"5.48 %"</f>
        <v>5.48 %</v>
      </c>
      <c r="O3318" s="0" t="s">
        <v>11229</v>
      </c>
    </row>
    <row r="3319" customFormat="false" ht="13.8" hidden="false" customHeight="false" outlineLevel="0" collapsed="false">
      <c r="A3319" s="0" t="s">
        <v>11230</v>
      </c>
      <c r="F3319" s="0" t="s">
        <v>40</v>
      </c>
      <c r="G3319" s="0" t="n">
        <v>1</v>
      </c>
      <c r="H3319" s="0" t="s">
        <v>27</v>
      </c>
      <c r="J3319" s="0" t="s">
        <v>28</v>
      </c>
      <c r="K3319" s="0" t="str">
        <f aca="false">"6.07 %"</f>
        <v>6.07 %</v>
      </c>
      <c r="O3319" s="0" t="s">
        <v>11231</v>
      </c>
    </row>
    <row r="3320" customFormat="false" ht="13.8" hidden="false" customHeight="false" outlineLevel="0" collapsed="false">
      <c r="A3320" s="0" t="s">
        <v>11232</v>
      </c>
      <c r="D3320" s="0" t="s">
        <v>2069</v>
      </c>
      <c r="F3320" s="0" t="s">
        <v>40</v>
      </c>
      <c r="G3320" s="0" t="n">
        <v>0</v>
      </c>
      <c r="J3320" s="0" t="s">
        <v>40</v>
      </c>
      <c r="K3320" s="0" t="str">
        <f aca="false">"4.74 %"</f>
        <v>4.74 %</v>
      </c>
      <c r="L3320" s="0" t="str">
        <f aca="false">"0.88 V"</f>
        <v>0.88 V</v>
      </c>
      <c r="M3320" s="0" t="str">
        <f aca="false">"10.63 mA cm^{-2}"</f>
        <v>10.63 mA cm^{-2}</v>
      </c>
      <c r="N3320" s="0" t="str">
        <f aca="false">"51.0 %"</f>
        <v>51.0 %</v>
      </c>
      <c r="O3320" s="0" t="s">
        <v>11233</v>
      </c>
    </row>
    <row r="3321" customFormat="false" ht="13.8" hidden="false" customHeight="false" outlineLevel="0" collapsed="false">
      <c r="A3321" s="0" t="s">
        <v>11234</v>
      </c>
      <c r="F3321" s="0" t="s">
        <v>40</v>
      </c>
      <c r="G3321" s="0" t="n">
        <v>1</v>
      </c>
      <c r="H3321" s="0" t="s">
        <v>27</v>
      </c>
      <c r="J3321" s="0" t="s">
        <v>28</v>
      </c>
      <c r="K3321" s="0" t="str">
        <f aca="false">"3 %"</f>
        <v>3 %</v>
      </c>
      <c r="L3321" s="0" t="str">
        <f aca="false">"0.72 V"</f>
        <v>0.72 V</v>
      </c>
      <c r="M3321" s="0" t="str">
        <f aca="false">"7.70 mA/cm^{2}"</f>
        <v>7.70 mA/cm^{2}</v>
      </c>
      <c r="O3321" s="0" t="s">
        <v>11235</v>
      </c>
    </row>
    <row r="3322" customFormat="false" ht="13.8" hidden="false" customHeight="false" outlineLevel="0" collapsed="false">
      <c r="A3322" s="0" t="s">
        <v>11236</v>
      </c>
      <c r="D3322" s="0" t="s">
        <v>6222</v>
      </c>
      <c r="E3322" s="0" t="s">
        <v>600</v>
      </c>
      <c r="F3322" s="0" t="s">
        <v>6223</v>
      </c>
      <c r="G3322" s="0" t="n">
        <v>0</v>
      </c>
      <c r="J3322" s="0" t="s">
        <v>40</v>
      </c>
      <c r="K3322" s="0" t="str">
        <f aca="false">"6.23 %"</f>
        <v>6.23 %</v>
      </c>
      <c r="L3322" s="0" t="str">
        <f aca="false">"0.96 V"</f>
        <v>0.96 V</v>
      </c>
      <c r="M3322" s="0" t="str">
        <f aca="false">"11.26 mA cm^{-2}"</f>
        <v>11.26 mA cm^{-2}</v>
      </c>
      <c r="N3322" s="0" t="str">
        <f aca="false">"57.58 %"</f>
        <v>57.58 %</v>
      </c>
      <c r="O3322" s="0" t="s">
        <v>11237</v>
      </c>
    </row>
    <row r="3323" customFormat="false" ht="13.8" hidden="false" customHeight="false" outlineLevel="0" collapsed="false">
      <c r="A3323" s="0" t="s">
        <v>11238</v>
      </c>
      <c r="D3323" s="0" t="s">
        <v>11239</v>
      </c>
      <c r="F3323" s="0" t="s">
        <v>40</v>
      </c>
      <c r="G3323" s="0" t="n">
        <v>0</v>
      </c>
      <c r="J3323" s="0" t="s">
        <v>40</v>
      </c>
      <c r="K3323" s="0" t="str">
        <f aca="false">"3.05 %"</f>
        <v>3.05 %</v>
      </c>
      <c r="O3323" s="0" t="s">
        <v>11240</v>
      </c>
    </row>
    <row r="3324" customFormat="false" ht="13.8" hidden="false" customHeight="false" outlineLevel="0" collapsed="false">
      <c r="A3324" s="0" t="s">
        <v>11241</v>
      </c>
      <c r="F3324" s="0" t="s">
        <v>40</v>
      </c>
      <c r="G3324" s="0" t="n">
        <v>1</v>
      </c>
      <c r="H3324" s="0" t="s">
        <v>27</v>
      </c>
      <c r="J3324" s="0" t="s">
        <v>28</v>
      </c>
      <c r="K3324" s="0" t="str">
        <f aca="false">"2.88 %"</f>
        <v>2.88 %</v>
      </c>
      <c r="L3324" s="0" t="str">
        <f aca="false">"0.92 V"</f>
        <v>0.92 V</v>
      </c>
      <c r="M3324" s="0" t="str">
        <f aca="false">"6.75 mA/cm^{2}"</f>
        <v>6.75 mA/cm^{2}</v>
      </c>
      <c r="N3324" s="0" t="str">
        <f aca="false">"0.46"</f>
        <v>0.46</v>
      </c>
      <c r="O3324" s="0" t="s">
        <v>11242</v>
      </c>
    </row>
    <row r="3325" customFormat="false" ht="13.8" hidden="false" customHeight="false" outlineLevel="0" collapsed="false">
      <c r="A3325" s="0" t="s">
        <v>11243</v>
      </c>
      <c r="F3325" s="0" t="s">
        <v>40</v>
      </c>
      <c r="G3325" s="0" t="n">
        <v>0</v>
      </c>
      <c r="H3325" s="0" t="s">
        <v>11244</v>
      </c>
      <c r="J3325" s="0" t="s">
        <v>11245</v>
      </c>
      <c r="K3325" s="0" t="str">
        <f aca="false">"1.91 %"</f>
        <v>1.91 %</v>
      </c>
      <c r="O3325" s="0" t="s">
        <v>11246</v>
      </c>
    </row>
    <row r="3326" customFormat="false" ht="13.8" hidden="false" customHeight="false" outlineLevel="0" collapsed="false">
      <c r="A3326" s="0" t="s">
        <v>11243</v>
      </c>
      <c r="D3326" s="0" t="s">
        <v>11247</v>
      </c>
      <c r="F3326" s="0" t="s">
        <v>11248</v>
      </c>
      <c r="G3326" s="0" t="n">
        <v>0</v>
      </c>
      <c r="H3326" s="0" t="s">
        <v>11244</v>
      </c>
      <c r="J3326" s="0" t="s">
        <v>11245</v>
      </c>
      <c r="K3326" s="0" t="str">
        <f aca="false">"3.50 %"</f>
        <v>3.50 %</v>
      </c>
      <c r="O3326" s="0" t="s">
        <v>11249</v>
      </c>
    </row>
    <row r="3327" customFormat="false" ht="13.8" hidden="false" customHeight="false" outlineLevel="0" collapsed="false">
      <c r="A3327" s="0" t="s">
        <v>11250</v>
      </c>
      <c r="D3327" s="0" t="s">
        <v>5180</v>
      </c>
      <c r="F3327" s="0" t="s">
        <v>11004</v>
      </c>
      <c r="G3327" s="0" t="n">
        <v>0</v>
      </c>
      <c r="J3327" s="0" t="s">
        <v>40</v>
      </c>
      <c r="K3327" s="0" t="str">
        <f aca="false">"0.77 %"</f>
        <v>0.77 %</v>
      </c>
      <c r="L3327" s="0" t="str">
        <f aca="false">"0.63 V"</f>
        <v>0.63 V</v>
      </c>
      <c r="M3327" s="0" t="str">
        <f aca="false">"1.93 mA cm^{-2}"</f>
        <v>1.93 mA cm^{-2}</v>
      </c>
      <c r="N3327" s="0" t="str">
        <f aca="false">"0.63"</f>
        <v>0.63</v>
      </c>
      <c r="O3327" s="0" t="s">
        <v>11251</v>
      </c>
    </row>
    <row r="3328" customFormat="false" ht="13.8" hidden="false" customHeight="false" outlineLevel="0" collapsed="false">
      <c r="A3328" s="0" t="s">
        <v>11252</v>
      </c>
      <c r="D3328" s="0" t="s">
        <v>11253</v>
      </c>
      <c r="F3328" s="0" t="s">
        <v>11254</v>
      </c>
      <c r="G3328" s="0" t="n">
        <v>0</v>
      </c>
      <c r="J3328" s="0" t="s">
        <v>40</v>
      </c>
      <c r="K3328" s="0" t="str">
        <f aca="false">"2.51 %"</f>
        <v>2.51 %</v>
      </c>
      <c r="O3328" s="0" t="s">
        <v>11255</v>
      </c>
    </row>
    <row r="3329" customFormat="false" ht="13.8" hidden="false" customHeight="false" outlineLevel="0" collapsed="false">
      <c r="A3329" s="0" t="s">
        <v>11256</v>
      </c>
      <c r="F3329" s="0" t="s">
        <v>40</v>
      </c>
      <c r="G3329" s="0" t="n">
        <v>0</v>
      </c>
      <c r="H3329" s="0" t="s">
        <v>201</v>
      </c>
      <c r="I3329" s="0" t="s">
        <v>202</v>
      </c>
      <c r="J3329" s="0" t="s">
        <v>422</v>
      </c>
      <c r="K3329" s="0" t="str">
        <f aca="false">"6.47 %"</f>
        <v>6.47 %</v>
      </c>
      <c r="O3329" s="0" t="s">
        <v>11257</v>
      </c>
    </row>
    <row r="3330" customFormat="false" ht="13.8" hidden="false" customHeight="false" outlineLevel="0" collapsed="false">
      <c r="A3330" s="0" t="s">
        <v>11258</v>
      </c>
      <c r="D3330" s="0" t="s">
        <v>11259</v>
      </c>
      <c r="F3330" s="0" t="s">
        <v>11260</v>
      </c>
      <c r="G3330" s="0" t="n">
        <v>0</v>
      </c>
      <c r="J3330" s="0" t="s">
        <v>40</v>
      </c>
      <c r="K3330" s="0" t="str">
        <f aca="false">"~7.9 %"</f>
        <v>~7.9 %</v>
      </c>
      <c r="O3330" s="0" t="s">
        <v>11261</v>
      </c>
    </row>
    <row r="3331" customFormat="false" ht="13.8" hidden="false" customHeight="false" outlineLevel="0" collapsed="false">
      <c r="A3331" s="0" t="s">
        <v>11262</v>
      </c>
      <c r="F3331" s="0" t="s">
        <v>40</v>
      </c>
      <c r="G3331" s="0" t="n">
        <v>1</v>
      </c>
      <c r="H3331" s="0" t="s">
        <v>33</v>
      </c>
      <c r="J3331" s="0" t="s">
        <v>504</v>
      </c>
      <c r="K3331" s="0" t="str">
        <f aca="false">"1.51 %"</f>
        <v>1.51 %</v>
      </c>
      <c r="O3331" s="0" t="s">
        <v>11263</v>
      </c>
    </row>
    <row r="3332" customFormat="false" ht="13.8" hidden="false" customHeight="false" outlineLevel="0" collapsed="false">
      <c r="A3332" s="0" t="s">
        <v>11264</v>
      </c>
      <c r="D3332" s="0" t="s">
        <v>5289</v>
      </c>
      <c r="E3332" s="0" t="s">
        <v>1169</v>
      </c>
      <c r="F3332" s="0" t="s">
        <v>5290</v>
      </c>
      <c r="G3332" s="0" t="n">
        <v>0</v>
      </c>
      <c r="J3332" s="0" t="s">
        <v>40</v>
      </c>
      <c r="K3332" s="0" t="str">
        <f aca="false">"12.85 %"</f>
        <v>12.85 %</v>
      </c>
      <c r="O3332" s="0" t="s">
        <v>11265</v>
      </c>
    </row>
    <row r="3333" customFormat="false" ht="13.8" hidden="false" customHeight="false" outlineLevel="0" collapsed="false">
      <c r="A3333" s="0" t="s">
        <v>11266</v>
      </c>
      <c r="D3333" s="0" t="s">
        <v>6984</v>
      </c>
      <c r="E3333" s="0" t="s">
        <v>925</v>
      </c>
      <c r="F3333" s="0" t="s">
        <v>11267</v>
      </c>
      <c r="G3333" s="0" t="n">
        <v>0</v>
      </c>
      <c r="J3333" s="0" t="s">
        <v>40</v>
      </c>
      <c r="K3333" s="0" t="str">
        <f aca="false">"0.45 %"</f>
        <v>0.45 %</v>
      </c>
      <c r="N3333" s="0" t="str">
        <f aca="false">"3.78 %"</f>
        <v>3.78 %</v>
      </c>
      <c r="O3333" s="0" t="s">
        <v>11268</v>
      </c>
    </row>
    <row r="3334" customFormat="false" ht="13.8" hidden="false" customHeight="false" outlineLevel="0" collapsed="false">
      <c r="A3334" s="0" t="s">
        <v>11269</v>
      </c>
      <c r="D3334" s="0" t="s">
        <v>6253</v>
      </c>
      <c r="E3334" s="0" t="s">
        <v>1169</v>
      </c>
      <c r="F3334" s="0" t="s">
        <v>6254</v>
      </c>
      <c r="G3334" s="0" t="n">
        <v>0</v>
      </c>
      <c r="J3334" s="0" t="s">
        <v>40</v>
      </c>
      <c r="K3334" s="0" t="str">
        <f aca="false">"12.1 %"</f>
        <v>12.1 %</v>
      </c>
      <c r="N3334" s="0" t="str">
        <f aca="false">"0.74"</f>
        <v>0.74</v>
      </c>
      <c r="O3334" s="0" t="s">
        <v>11270</v>
      </c>
    </row>
    <row r="3335" customFormat="false" ht="13.8" hidden="false" customHeight="false" outlineLevel="0" collapsed="false">
      <c r="A3335" s="0" t="s">
        <v>11271</v>
      </c>
      <c r="D3335" s="0" t="s">
        <v>6253</v>
      </c>
      <c r="E3335" s="0" t="s">
        <v>1169</v>
      </c>
      <c r="F3335" s="0" t="s">
        <v>6254</v>
      </c>
      <c r="G3335" s="0" t="n">
        <v>0</v>
      </c>
      <c r="J3335" s="0" t="s">
        <v>40</v>
      </c>
      <c r="K3335" s="0" t="str">
        <f aca="false">"3.03 %"</f>
        <v>3.03 %</v>
      </c>
      <c r="O3335" s="0" t="s">
        <v>11272</v>
      </c>
    </row>
    <row r="3336" customFormat="false" ht="13.8" hidden="false" customHeight="false" outlineLevel="0" collapsed="false">
      <c r="A3336" s="0" t="s">
        <v>11273</v>
      </c>
      <c r="D3336" s="0" t="s">
        <v>6253</v>
      </c>
      <c r="E3336" s="0" t="s">
        <v>1169</v>
      </c>
      <c r="F3336" s="0" t="s">
        <v>6254</v>
      </c>
      <c r="G3336" s="0" t="n">
        <v>0</v>
      </c>
      <c r="J3336" s="0" t="s">
        <v>40</v>
      </c>
      <c r="K3336" s="0" t="str">
        <f aca="false">"3.74 %"</f>
        <v>3.74 %</v>
      </c>
      <c r="O3336" s="0" t="s">
        <v>11274</v>
      </c>
    </row>
    <row r="3337" customFormat="false" ht="13.8" hidden="false" customHeight="false" outlineLevel="0" collapsed="false">
      <c r="A3337" s="0" t="s">
        <v>11275</v>
      </c>
      <c r="F3337" s="0" t="s">
        <v>40</v>
      </c>
      <c r="G3337" s="0" t="n">
        <v>1</v>
      </c>
      <c r="H3337" s="0" t="s">
        <v>27</v>
      </c>
      <c r="J3337" s="0" t="s">
        <v>28</v>
      </c>
      <c r="K3337" s="0" t="str">
        <f aca="false">"8.9 %"</f>
        <v>8.9 %</v>
      </c>
      <c r="O3337" s="0" t="s">
        <v>11276</v>
      </c>
    </row>
    <row r="3338" customFormat="false" ht="13.8" hidden="false" customHeight="false" outlineLevel="0" collapsed="false">
      <c r="A3338" s="0" t="s">
        <v>11277</v>
      </c>
      <c r="D3338" s="0" t="s">
        <v>510</v>
      </c>
      <c r="E3338" s="0" t="s">
        <v>511</v>
      </c>
      <c r="F3338" s="0" t="s">
        <v>512</v>
      </c>
      <c r="G3338" s="0" t="n">
        <v>0</v>
      </c>
      <c r="J3338" s="0" t="s">
        <v>40</v>
      </c>
      <c r="K3338" s="0" t="str">
        <f aca="false">"0.287 %"</f>
        <v>0.287 %</v>
      </c>
      <c r="L3338" s="0" t="str">
        <f aca="false">"195 mV"</f>
        <v>195 mV</v>
      </c>
      <c r="M3338" s="0" t="str">
        <f aca="false">"5.320 mA/cm^{2}"</f>
        <v>5.320 mA/cm^{2}</v>
      </c>
      <c r="N3338" s="0" t="str">
        <f aca="false">"27.71 %"</f>
        <v>27.71 %</v>
      </c>
      <c r="O3338" s="0" t="s">
        <v>11278</v>
      </c>
    </row>
    <row r="3339" customFormat="false" ht="13.8" hidden="false" customHeight="false" outlineLevel="0" collapsed="false">
      <c r="A3339" s="0" t="s">
        <v>11279</v>
      </c>
      <c r="D3339" s="0" t="s">
        <v>11280</v>
      </c>
      <c r="E3339" s="0" t="s">
        <v>1169</v>
      </c>
      <c r="F3339" s="0" t="s">
        <v>11281</v>
      </c>
      <c r="G3339" s="0" t="n">
        <v>0</v>
      </c>
      <c r="J3339" s="0" t="s">
        <v>40</v>
      </c>
      <c r="K3339" s="0" t="str">
        <f aca="false">"11 %"</f>
        <v>11 %</v>
      </c>
      <c r="L3339" s="0" t="str">
        <f aca="false">"600 mV"</f>
        <v>600 mV</v>
      </c>
      <c r="M3339" s="0" t="str">
        <f aca="false">"30 mA/cm^{2}"</f>
        <v>30 mA/cm^{2}</v>
      </c>
      <c r="N3339" s="0" t="str">
        <f aca="false">"59.4 %"</f>
        <v>59.4 %</v>
      </c>
      <c r="O3339" s="0" t="s">
        <v>11282</v>
      </c>
    </row>
    <row r="3340" customFormat="false" ht="13.8" hidden="false" customHeight="false" outlineLevel="0" collapsed="false">
      <c r="A3340" s="0" t="s">
        <v>11283</v>
      </c>
      <c r="D3340" s="0" t="s">
        <v>11284</v>
      </c>
      <c r="F3340" s="0" t="s">
        <v>11285</v>
      </c>
      <c r="G3340" s="0" t="n">
        <v>0</v>
      </c>
      <c r="J3340" s="0" t="s">
        <v>40</v>
      </c>
      <c r="K3340" s="0" t="str">
        <f aca="false">"3 %"</f>
        <v>3 %</v>
      </c>
      <c r="O3340" s="0" t="s">
        <v>11286</v>
      </c>
    </row>
    <row r="3341" customFormat="false" ht="13.8" hidden="false" customHeight="false" outlineLevel="0" collapsed="false">
      <c r="A3341" s="0" t="s">
        <v>11287</v>
      </c>
      <c r="F3341" s="0" t="s">
        <v>40</v>
      </c>
      <c r="G3341" s="0" t="n">
        <v>1</v>
      </c>
      <c r="H3341" s="0" t="s">
        <v>152</v>
      </c>
      <c r="J3341" s="0" t="s">
        <v>153</v>
      </c>
      <c r="K3341" s="0" t="str">
        <f aca="false">"2.1 %"</f>
        <v>2.1 %</v>
      </c>
      <c r="O3341" s="0" t="s">
        <v>11288</v>
      </c>
    </row>
    <row r="3342" customFormat="false" ht="13.8" hidden="false" customHeight="false" outlineLevel="0" collapsed="false">
      <c r="A3342" s="0" t="s">
        <v>11289</v>
      </c>
      <c r="F3342" s="0" t="s">
        <v>40</v>
      </c>
      <c r="G3342" s="0" t="n">
        <v>1</v>
      </c>
      <c r="H3342" s="0" t="s">
        <v>5022</v>
      </c>
      <c r="J3342" s="0" t="s">
        <v>11290</v>
      </c>
      <c r="K3342" s="0" t="str">
        <f aca="false">"6.85 %"</f>
        <v>6.85 %</v>
      </c>
      <c r="O3342" s="0" t="s">
        <v>11291</v>
      </c>
    </row>
    <row r="3343" customFormat="false" ht="13.8" hidden="false" customHeight="false" outlineLevel="0" collapsed="false">
      <c r="A3343" s="0" t="s">
        <v>11292</v>
      </c>
      <c r="F3343" s="0" t="s">
        <v>40</v>
      </c>
      <c r="G3343" s="0" t="n">
        <v>1</v>
      </c>
      <c r="H3343" s="0" t="s">
        <v>33</v>
      </c>
      <c r="J3343" s="0" t="s">
        <v>34</v>
      </c>
      <c r="K3343" s="0" t="str">
        <f aca="false">"0.55 %"</f>
        <v>0.55 %</v>
      </c>
      <c r="L3343" s="0" t="str">
        <f aca="false">"0.88 V"</f>
        <v>0.88 V</v>
      </c>
      <c r="M3343" s="0" t="str">
        <f aca="false">"2.11 mA/cm^{2}"</f>
        <v>2.11 mA/cm^{2}</v>
      </c>
      <c r="N3343" s="0" t="str">
        <f aca="false">"29.4 %"</f>
        <v>29.4 %</v>
      </c>
      <c r="O3343" s="0" t="s">
        <v>11293</v>
      </c>
    </row>
    <row r="3344" customFormat="false" ht="13.8" hidden="false" customHeight="false" outlineLevel="0" collapsed="false">
      <c r="A3344" s="0" t="s">
        <v>11294</v>
      </c>
      <c r="D3344" s="0" t="s">
        <v>208</v>
      </c>
      <c r="E3344" s="0" t="s">
        <v>17</v>
      </c>
      <c r="F3344" s="0" t="s">
        <v>209</v>
      </c>
      <c r="G3344" s="0" t="n">
        <v>0</v>
      </c>
      <c r="J3344" s="0" t="s">
        <v>40</v>
      </c>
      <c r="K3344" s="0" t="str">
        <f aca="false">"1.32 %"</f>
        <v>1.32 %</v>
      </c>
      <c r="O3344" s="0" t="s">
        <v>11295</v>
      </c>
    </row>
    <row r="3345" customFormat="false" ht="13.8" hidden="false" customHeight="false" outlineLevel="0" collapsed="false">
      <c r="A3345" s="0" t="s">
        <v>11296</v>
      </c>
      <c r="D3345" s="0" t="s">
        <v>11297</v>
      </c>
      <c r="E3345" s="0" t="s">
        <v>17</v>
      </c>
      <c r="F3345" s="0" t="s">
        <v>11298</v>
      </c>
      <c r="G3345" s="0" t="n">
        <v>0</v>
      </c>
      <c r="J3345" s="0" t="s">
        <v>40</v>
      </c>
      <c r="K3345" s="0" t="str">
        <f aca="false">"0.15 %"</f>
        <v>0.15 %</v>
      </c>
      <c r="L3345" s="0" t="str">
        <f aca="false">"343 mV"</f>
        <v>343 mV</v>
      </c>
      <c r="M3345" s="0" t="str">
        <f aca="false">"1.54 mA/cm^{2}"</f>
        <v>1.54 mA/cm^{2}</v>
      </c>
      <c r="O3345" s="0" t="s">
        <v>11299</v>
      </c>
    </row>
    <row r="3346" customFormat="false" ht="13.8" hidden="false" customHeight="false" outlineLevel="0" collapsed="false">
      <c r="A3346" s="0" t="s">
        <v>11300</v>
      </c>
      <c r="D3346" s="0" t="s">
        <v>2267</v>
      </c>
      <c r="E3346" s="0" t="s">
        <v>2268</v>
      </c>
      <c r="F3346" s="0" t="s">
        <v>11301</v>
      </c>
      <c r="G3346" s="0" t="n">
        <v>0</v>
      </c>
      <c r="J3346" s="0" t="s">
        <v>40</v>
      </c>
      <c r="K3346" s="0" t="str">
        <f aca="false">"6.3 %"</f>
        <v>6.3 %</v>
      </c>
      <c r="L3346" s="0" t="str">
        <f aca="false">"0.95 V"</f>
        <v>0.95 V</v>
      </c>
      <c r="O3346" s="0" t="s">
        <v>11302</v>
      </c>
    </row>
    <row r="3347" customFormat="false" ht="13.8" hidden="false" customHeight="false" outlineLevel="0" collapsed="false">
      <c r="A3347" s="0" t="s">
        <v>11303</v>
      </c>
      <c r="F3347" s="0" t="s">
        <v>40</v>
      </c>
      <c r="G3347" s="0" t="n">
        <v>1</v>
      </c>
      <c r="H3347" s="0" t="s">
        <v>27</v>
      </c>
      <c r="J3347" s="0" t="s">
        <v>28</v>
      </c>
      <c r="K3347" s="0" t="str">
        <f aca="false">"5.53 %"</f>
        <v>5.53 %</v>
      </c>
      <c r="O3347" s="0" t="s">
        <v>11304</v>
      </c>
    </row>
    <row r="3348" customFormat="false" ht="13.8" hidden="false" customHeight="false" outlineLevel="0" collapsed="false">
      <c r="A3348" s="0" t="s">
        <v>11305</v>
      </c>
      <c r="F3348" s="0" t="s">
        <v>40</v>
      </c>
      <c r="G3348" s="0" t="n">
        <v>0</v>
      </c>
      <c r="H3348" s="0" t="s">
        <v>11306</v>
      </c>
      <c r="I3348" s="0" t="s">
        <v>1647</v>
      </c>
      <c r="J3348" s="0" t="s">
        <v>11307</v>
      </c>
      <c r="K3348" s="0" t="str">
        <f aca="false">"7.2 %"</f>
        <v>7.2 %</v>
      </c>
      <c r="O3348" s="0" t="s">
        <v>11308</v>
      </c>
    </row>
    <row r="3349" customFormat="false" ht="13.8" hidden="false" customHeight="false" outlineLevel="0" collapsed="false">
      <c r="A3349" s="0" t="s">
        <v>11309</v>
      </c>
      <c r="D3349" s="0" t="s">
        <v>11310</v>
      </c>
      <c r="F3349" s="0" t="s">
        <v>11311</v>
      </c>
      <c r="G3349" s="0" t="n">
        <v>0</v>
      </c>
      <c r="J3349" s="0" t="s">
        <v>40</v>
      </c>
      <c r="K3349" s="0" t="str">
        <f aca="false">"12.8 %"</f>
        <v>12.8 %</v>
      </c>
      <c r="O3349" s="0" t="s">
        <v>11312</v>
      </c>
    </row>
    <row r="3350" customFormat="false" ht="13.8" hidden="false" customHeight="false" outlineLevel="0" collapsed="false">
      <c r="A3350" s="0" t="s">
        <v>11313</v>
      </c>
      <c r="D3350" s="0" t="s">
        <v>16</v>
      </c>
      <c r="E3350" s="0" t="s">
        <v>17</v>
      </c>
      <c r="F3350" s="0" t="s">
        <v>18</v>
      </c>
      <c r="G3350" s="0" t="n">
        <v>0</v>
      </c>
      <c r="J3350" s="0" t="s">
        <v>40</v>
      </c>
      <c r="K3350" s="0" t="str">
        <f aca="false">"4.48 %"</f>
        <v>4.48 %</v>
      </c>
      <c r="O3350" s="0" t="s">
        <v>11314</v>
      </c>
    </row>
    <row r="3351" customFormat="false" ht="13.8" hidden="false" customHeight="false" outlineLevel="0" collapsed="false">
      <c r="A3351" s="0" t="s">
        <v>11315</v>
      </c>
      <c r="D3351" s="0" t="s">
        <v>11316</v>
      </c>
      <c r="F3351" s="0" t="s">
        <v>11317</v>
      </c>
      <c r="G3351" s="0" t="n">
        <v>0</v>
      </c>
      <c r="J3351" s="0" t="s">
        <v>40</v>
      </c>
      <c r="L3351" s="0" t="str">
        <f aca="false">"0.72 V"</f>
        <v>0.72 V</v>
      </c>
      <c r="N3351" s="0" t="str">
        <f aca="false">"0.35"</f>
        <v>0.35</v>
      </c>
      <c r="O3351" s="0" t="s">
        <v>11318</v>
      </c>
    </row>
    <row r="3352" customFormat="false" ht="13.8" hidden="false" customHeight="false" outlineLevel="0" collapsed="false">
      <c r="A3352" s="0" t="s">
        <v>11319</v>
      </c>
      <c r="D3352" s="0" t="s">
        <v>11320</v>
      </c>
      <c r="F3352" s="0" t="s">
        <v>5793</v>
      </c>
      <c r="G3352" s="0" t="n">
        <v>0</v>
      </c>
      <c r="J3352" s="0" t="s">
        <v>40</v>
      </c>
      <c r="K3352" s="0" t="str">
        <f aca="false">"0.75 %"</f>
        <v>0.75 %</v>
      </c>
      <c r="O3352" s="0" t="s">
        <v>11321</v>
      </c>
    </row>
    <row r="3353" customFormat="false" ht="13.8" hidden="false" customHeight="false" outlineLevel="0" collapsed="false">
      <c r="A3353" s="0" t="s">
        <v>11322</v>
      </c>
      <c r="D3353" s="0" t="s">
        <v>11323</v>
      </c>
      <c r="F3353" s="0" t="s">
        <v>11324</v>
      </c>
      <c r="G3353" s="0" t="n">
        <v>0</v>
      </c>
      <c r="J3353" s="0" t="s">
        <v>40</v>
      </c>
      <c r="K3353" s="0" t="str">
        <f aca="false">"4.8 %"</f>
        <v>4.8 %</v>
      </c>
      <c r="O3353" s="0" t="s">
        <v>11325</v>
      </c>
    </row>
    <row r="3354" customFormat="false" ht="13.8" hidden="false" customHeight="false" outlineLevel="0" collapsed="false">
      <c r="A3354" s="0" t="s">
        <v>11326</v>
      </c>
      <c r="D3354" s="0" t="s">
        <v>11327</v>
      </c>
      <c r="F3354" s="0" t="s">
        <v>11328</v>
      </c>
      <c r="G3354" s="0" t="n">
        <v>0</v>
      </c>
      <c r="J3354" s="0" t="s">
        <v>40</v>
      </c>
      <c r="K3354" s="0" t="str">
        <f aca="false">"6.4 %"</f>
        <v>6.4 %</v>
      </c>
      <c r="O3354" s="0" t="s">
        <v>11329</v>
      </c>
    </row>
    <row r="3355" customFormat="false" ht="13.8" hidden="false" customHeight="false" outlineLevel="0" collapsed="false">
      <c r="A3355" s="0" t="s">
        <v>11330</v>
      </c>
      <c r="F3355" s="0" t="s">
        <v>40</v>
      </c>
      <c r="G3355" s="0" t="n">
        <v>1</v>
      </c>
      <c r="H3355" s="0" t="s">
        <v>33</v>
      </c>
      <c r="J3355" s="0" t="s">
        <v>34</v>
      </c>
      <c r="K3355" s="0" t="str">
        <f aca="false">"0.4-0.6 %"</f>
        <v>0.4-0.6 %</v>
      </c>
      <c r="L3355" s="0" t="str">
        <f aca="false">"400-600 mV"</f>
        <v>400-600 mV</v>
      </c>
      <c r="M3355" s="0" t="str">
        <f aca="false">"3-5 mA/cm^{2}"</f>
        <v>3-5 mA/cm^{2}</v>
      </c>
      <c r="N3355" s="0" t="str">
        <f aca="false">"40-50 %"</f>
        <v>40-50 %</v>
      </c>
      <c r="O3355" s="0" t="s">
        <v>11331</v>
      </c>
    </row>
    <row r="3356" customFormat="false" ht="13.8" hidden="false" customHeight="false" outlineLevel="0" collapsed="false">
      <c r="A3356" s="0" t="s">
        <v>11330</v>
      </c>
      <c r="D3356" s="0" t="s">
        <v>11332</v>
      </c>
      <c r="F3356" s="0" t="s">
        <v>11333</v>
      </c>
      <c r="G3356" s="0" t="n">
        <v>1</v>
      </c>
      <c r="H3356" s="0" t="s">
        <v>33</v>
      </c>
      <c r="J3356" s="0" t="s">
        <v>34</v>
      </c>
      <c r="K3356" s="0" t="str">
        <f aca="false">"2 %"</f>
        <v>2 %</v>
      </c>
      <c r="O3356" s="0" t="s">
        <v>11334</v>
      </c>
    </row>
    <row r="3357" customFormat="false" ht="13.8" hidden="false" customHeight="false" outlineLevel="0" collapsed="false">
      <c r="A3357" s="0" t="s">
        <v>11335</v>
      </c>
      <c r="D3357" s="0" t="s">
        <v>11336</v>
      </c>
      <c r="F3357" s="0" t="s">
        <v>11337</v>
      </c>
      <c r="G3357" s="0" t="n">
        <v>0</v>
      </c>
      <c r="J3357" s="0" t="s">
        <v>40</v>
      </c>
      <c r="K3357" s="0" t="str">
        <f aca="false">"4.3 %"</f>
        <v>4.3 %</v>
      </c>
      <c r="O3357" s="0" t="s">
        <v>11338</v>
      </c>
    </row>
    <row r="3358" customFormat="false" ht="13.8" hidden="false" customHeight="false" outlineLevel="0" collapsed="false">
      <c r="A3358" s="0" t="s">
        <v>11339</v>
      </c>
      <c r="D3358" s="0" t="s">
        <v>11340</v>
      </c>
      <c r="F3358" s="0" t="s">
        <v>11341</v>
      </c>
      <c r="G3358" s="0" t="n">
        <v>0</v>
      </c>
      <c r="J3358" s="0" t="s">
        <v>40</v>
      </c>
      <c r="K3358" s="0" t="str">
        <f aca="false">"~12.1 %"</f>
        <v>~12.1 %</v>
      </c>
      <c r="O3358" s="0" t="s">
        <v>11342</v>
      </c>
    </row>
    <row r="3359" customFormat="false" ht="13.8" hidden="false" customHeight="false" outlineLevel="0" collapsed="false">
      <c r="A3359" s="0" t="s">
        <v>11343</v>
      </c>
      <c r="F3359" s="0" t="s">
        <v>40</v>
      </c>
      <c r="G3359" s="0" t="n">
        <v>1</v>
      </c>
      <c r="H3359" s="0" t="s">
        <v>27</v>
      </c>
      <c r="J3359" s="0" t="s">
        <v>1274</v>
      </c>
      <c r="K3359" s="0" t="str">
        <f aca="false">"3.0 %"</f>
        <v>3.0 %</v>
      </c>
      <c r="O3359" s="0" t="s">
        <v>11344</v>
      </c>
    </row>
    <row r="3360" customFormat="false" ht="13.8" hidden="false" customHeight="false" outlineLevel="0" collapsed="false">
      <c r="A3360" s="0" t="s">
        <v>11345</v>
      </c>
      <c r="D3360" s="0" t="s">
        <v>11297</v>
      </c>
      <c r="E3360" s="0" t="s">
        <v>17</v>
      </c>
      <c r="F3360" s="0" t="s">
        <v>11298</v>
      </c>
      <c r="G3360" s="0" t="n">
        <v>0</v>
      </c>
      <c r="J3360" s="0" t="s">
        <v>40</v>
      </c>
      <c r="K3360" s="0" t="str">
        <f aca="false">"2.05 %"</f>
        <v>2.05 %</v>
      </c>
      <c r="O3360" s="0" t="s">
        <v>11346</v>
      </c>
    </row>
    <row r="3361" customFormat="false" ht="13.8" hidden="false" customHeight="false" outlineLevel="0" collapsed="false">
      <c r="A3361" s="0" t="s">
        <v>11347</v>
      </c>
      <c r="D3361" s="0" t="s">
        <v>2023</v>
      </c>
      <c r="E3361" s="0" t="s">
        <v>2024</v>
      </c>
      <c r="F3361" s="0" t="s">
        <v>2025</v>
      </c>
      <c r="G3361" s="0" t="n">
        <v>0</v>
      </c>
      <c r="J3361" s="0" t="s">
        <v>40</v>
      </c>
      <c r="K3361" s="0" t="str">
        <f aca="false">"10.92 %"</f>
        <v>10.92 %</v>
      </c>
      <c r="M3361" s="0" t="str">
        <f aca="false">"20.34 mA cm^{-2}"</f>
        <v>20.34 mA cm^{-2}</v>
      </c>
      <c r="O3361" s="0" t="s">
        <v>11348</v>
      </c>
    </row>
    <row r="3362" customFormat="false" ht="13.8" hidden="false" customHeight="false" outlineLevel="0" collapsed="false">
      <c r="A3362" s="0" t="s">
        <v>11349</v>
      </c>
      <c r="D3362" s="0" t="s">
        <v>4467</v>
      </c>
      <c r="E3362" s="0" t="s">
        <v>4468</v>
      </c>
      <c r="F3362" s="0" t="s">
        <v>11350</v>
      </c>
      <c r="G3362" s="0" t="n">
        <v>0</v>
      </c>
      <c r="J3362" s="0" t="s">
        <v>40</v>
      </c>
      <c r="K3362" s="0" t="str">
        <f aca="false">"0.7 %"</f>
        <v>0.7 %</v>
      </c>
      <c r="O3362" s="0" t="s">
        <v>11351</v>
      </c>
    </row>
    <row r="3363" customFormat="false" ht="13.8" hidden="false" customHeight="false" outlineLevel="0" collapsed="false">
      <c r="A3363" s="0" t="s">
        <v>11352</v>
      </c>
      <c r="D3363" s="0" t="s">
        <v>678</v>
      </c>
      <c r="E3363" s="0" t="s">
        <v>679</v>
      </c>
      <c r="F3363" s="0" t="s">
        <v>680</v>
      </c>
      <c r="G3363" s="0" t="n">
        <v>0</v>
      </c>
      <c r="J3363" s="0" t="s">
        <v>40</v>
      </c>
      <c r="K3363" s="0" t="str">
        <f aca="false">"13.3 %"</f>
        <v>13.3 %</v>
      </c>
      <c r="L3363" s="0" t="str">
        <f aca="false">"0.97 V"</f>
        <v>0.97 V</v>
      </c>
      <c r="N3363" s="0" t="str">
        <f aca="false">"78 %"</f>
        <v>78 %</v>
      </c>
      <c r="O3363" s="0" t="s">
        <v>11353</v>
      </c>
    </row>
    <row r="3364" customFormat="false" ht="13.8" hidden="false" customHeight="false" outlineLevel="0" collapsed="false">
      <c r="A3364" s="0" t="s">
        <v>11354</v>
      </c>
      <c r="F3364" s="0" t="s">
        <v>40</v>
      </c>
      <c r="G3364" s="0" t="n">
        <v>0</v>
      </c>
      <c r="H3364" s="0" t="s">
        <v>11355</v>
      </c>
      <c r="J3364" s="0" t="s">
        <v>11356</v>
      </c>
      <c r="K3364" s="0" t="str">
        <f aca="false">"4.25 %"</f>
        <v>4.25 %</v>
      </c>
      <c r="O3364" s="0" t="s">
        <v>11357</v>
      </c>
    </row>
    <row r="3365" customFormat="false" ht="13.8" hidden="false" customHeight="false" outlineLevel="0" collapsed="false">
      <c r="A3365" s="0" t="s">
        <v>11358</v>
      </c>
      <c r="D3365" s="0" t="s">
        <v>599</v>
      </c>
      <c r="E3365" s="0" t="s">
        <v>600</v>
      </c>
      <c r="F3365" s="0" t="s">
        <v>601</v>
      </c>
      <c r="G3365" s="0" t="n">
        <v>0</v>
      </c>
      <c r="J3365" s="0" t="s">
        <v>40</v>
      </c>
      <c r="K3365" s="0" t="str">
        <f aca="false">"13.2 %"</f>
        <v>13.2 %</v>
      </c>
      <c r="O3365" s="0" t="s">
        <v>11359</v>
      </c>
    </row>
    <row r="3366" customFormat="false" ht="13.8" hidden="false" customHeight="false" outlineLevel="0" collapsed="false">
      <c r="A3366" s="0" t="s">
        <v>11360</v>
      </c>
      <c r="D3366" s="0" t="s">
        <v>11361</v>
      </c>
      <c r="F3366" s="0" t="s">
        <v>40</v>
      </c>
      <c r="G3366" s="0" t="n">
        <v>0</v>
      </c>
      <c r="J3366" s="0" t="s">
        <v>40</v>
      </c>
      <c r="K3366" s="0" t="str">
        <f aca="false">"9.11 %"</f>
        <v>9.11 %</v>
      </c>
      <c r="O3366" s="0" t="s">
        <v>11362</v>
      </c>
    </row>
    <row r="3367" customFormat="false" ht="13.8" hidden="false" customHeight="false" outlineLevel="0" collapsed="false">
      <c r="A3367" s="0" t="s">
        <v>11363</v>
      </c>
      <c r="D3367" s="0" t="s">
        <v>11364</v>
      </c>
      <c r="F3367" s="0" t="s">
        <v>40</v>
      </c>
      <c r="G3367" s="0" t="n">
        <v>0</v>
      </c>
      <c r="J3367" s="0" t="s">
        <v>40</v>
      </c>
      <c r="K3367" s="0" t="str">
        <f aca="false">"8.84 %"</f>
        <v>8.84 %</v>
      </c>
      <c r="O3367" s="0" t="s">
        <v>11365</v>
      </c>
    </row>
    <row r="3368" customFormat="false" ht="13.8" hidden="false" customHeight="false" outlineLevel="0" collapsed="false">
      <c r="A3368" s="0" t="s">
        <v>11366</v>
      </c>
      <c r="F3368" s="0" t="s">
        <v>40</v>
      </c>
      <c r="G3368" s="0" t="n">
        <v>1</v>
      </c>
      <c r="H3368" s="0" t="s">
        <v>27</v>
      </c>
      <c r="J3368" s="0" t="s">
        <v>28</v>
      </c>
      <c r="K3368" s="0" t="str">
        <f aca="false">"4.13 %"</f>
        <v>4.13 %</v>
      </c>
      <c r="O3368" s="0" t="s">
        <v>11367</v>
      </c>
    </row>
    <row r="3369" customFormat="false" ht="13.8" hidden="false" customHeight="false" outlineLevel="0" collapsed="false">
      <c r="A3369" s="0" t="s">
        <v>11368</v>
      </c>
      <c r="F3369" s="0" t="s">
        <v>40</v>
      </c>
      <c r="G3369" s="0" t="n">
        <v>0</v>
      </c>
      <c r="H3369" s="0" t="s">
        <v>2267</v>
      </c>
      <c r="I3369" s="0" t="s">
        <v>1169</v>
      </c>
      <c r="J3369" s="0" t="s">
        <v>11369</v>
      </c>
      <c r="K3369" s="0" t="str">
        <f aca="false">"21 %"</f>
        <v>21 %</v>
      </c>
      <c r="O3369" s="0" t="s">
        <v>11370</v>
      </c>
    </row>
    <row r="3370" customFormat="false" ht="13.8" hidden="false" customHeight="false" outlineLevel="0" collapsed="false">
      <c r="A3370" s="0" t="s">
        <v>11371</v>
      </c>
      <c r="D3370" s="0" t="s">
        <v>11372</v>
      </c>
      <c r="E3370" s="0" t="s">
        <v>11373</v>
      </c>
      <c r="F3370" s="0" t="s">
        <v>11374</v>
      </c>
      <c r="G3370" s="0" t="n">
        <v>0</v>
      </c>
      <c r="J3370" s="0" t="s">
        <v>40</v>
      </c>
      <c r="K3370" s="0" t="str">
        <f aca="false">"11.1 %"</f>
        <v>11.1 %</v>
      </c>
      <c r="O3370" s="0" t="s">
        <v>11375</v>
      </c>
    </row>
    <row r="3371" customFormat="false" ht="13.8" hidden="false" customHeight="false" outlineLevel="0" collapsed="false">
      <c r="A3371" s="0" t="s">
        <v>11376</v>
      </c>
      <c r="D3371" s="0" t="s">
        <v>9663</v>
      </c>
      <c r="E3371" s="0" t="s">
        <v>9424</v>
      </c>
      <c r="F3371" s="0" t="s">
        <v>9664</v>
      </c>
      <c r="G3371" s="0" t="n">
        <v>0</v>
      </c>
      <c r="J3371" s="0" t="s">
        <v>40</v>
      </c>
      <c r="K3371" s="0" t="str">
        <f aca="false">"4.4 %"</f>
        <v>4.4 %</v>
      </c>
      <c r="L3371" s="0" t="str">
        <f aca="false">"5.8 V"</f>
        <v>5.8 V</v>
      </c>
      <c r="O3371" s="0" t="s">
        <v>11377</v>
      </c>
    </row>
    <row r="3372" customFormat="false" ht="13.8" hidden="false" customHeight="false" outlineLevel="0" collapsed="false">
      <c r="A3372" s="0" t="s">
        <v>11378</v>
      </c>
      <c r="D3372" s="0" t="s">
        <v>11379</v>
      </c>
      <c r="F3372" s="0" t="s">
        <v>11380</v>
      </c>
      <c r="G3372" s="0" t="n">
        <v>0</v>
      </c>
      <c r="J3372" s="0" t="s">
        <v>40</v>
      </c>
      <c r="K3372" s="0" t="str">
        <f aca="false">"~2 to ~5 %"</f>
        <v>~2 to ~5 %</v>
      </c>
      <c r="L3372" s="0" t="str">
        <f aca="false">"0.39 to 0.73 V"</f>
        <v>0.39 to 0.73 V</v>
      </c>
      <c r="O3372" s="0" t="s">
        <v>11381</v>
      </c>
    </row>
    <row r="3373" customFormat="false" ht="13.8" hidden="false" customHeight="false" outlineLevel="0" collapsed="false">
      <c r="A3373" s="0" t="s">
        <v>11382</v>
      </c>
      <c r="D3373" s="0" t="s">
        <v>11383</v>
      </c>
      <c r="F3373" s="0" t="s">
        <v>11384</v>
      </c>
      <c r="G3373" s="0" t="n">
        <v>0</v>
      </c>
      <c r="J3373" s="0" t="s">
        <v>40</v>
      </c>
      <c r="K3373" s="0" t="str">
        <f aca="false">"1.2 %"</f>
        <v>1.2 %</v>
      </c>
      <c r="L3373" s="0" t="str">
        <f aca="false">"600 mV"</f>
        <v>600 mV</v>
      </c>
      <c r="O3373" s="0" t="s">
        <v>11385</v>
      </c>
    </row>
    <row r="3374" customFormat="false" ht="13.8" hidden="false" customHeight="false" outlineLevel="0" collapsed="false">
      <c r="A3374" s="0" t="s">
        <v>11386</v>
      </c>
      <c r="D3374" s="0" t="s">
        <v>11387</v>
      </c>
      <c r="F3374" s="0" t="s">
        <v>11388</v>
      </c>
      <c r="G3374" s="0" t="n">
        <v>0</v>
      </c>
      <c r="J3374" s="0" t="s">
        <v>40</v>
      </c>
      <c r="K3374" s="0" t="str">
        <f aca="false">"14.2 %"</f>
        <v>14.2 %</v>
      </c>
      <c r="L3374" s="0" t="str">
        <f aca="false">"0.83 V"</f>
        <v>0.83 V</v>
      </c>
      <c r="M3374" s="0" t="str">
        <f aca="false">"25.6 mA*cm^{-2}"</f>
        <v>25.6 mA*cm^{-2}</v>
      </c>
      <c r="N3374" s="0" t="str">
        <f aca="false">"67 %"</f>
        <v>67 %</v>
      </c>
      <c r="O3374" s="0" t="s">
        <v>11389</v>
      </c>
    </row>
    <row r="3375" customFormat="false" ht="13.8" hidden="false" customHeight="false" outlineLevel="0" collapsed="false">
      <c r="A3375" s="0" t="s">
        <v>11390</v>
      </c>
      <c r="D3375" s="0" t="s">
        <v>11391</v>
      </c>
      <c r="F3375" s="0" t="s">
        <v>11392</v>
      </c>
      <c r="G3375" s="0" t="n">
        <v>0</v>
      </c>
      <c r="J3375" s="0" t="s">
        <v>40</v>
      </c>
      <c r="K3375" s="0" t="str">
        <f aca="false">"17.3 %"</f>
        <v>17.3 %</v>
      </c>
      <c r="O3375" s="0" t="s">
        <v>11393</v>
      </c>
    </row>
    <row r="3376" customFormat="false" ht="13.8" hidden="false" customHeight="false" outlineLevel="0" collapsed="false">
      <c r="A3376" s="0" t="s">
        <v>11394</v>
      </c>
      <c r="F3376" s="0" t="s">
        <v>40</v>
      </c>
      <c r="G3376" s="0" t="n">
        <v>1</v>
      </c>
      <c r="H3376" s="0" t="s">
        <v>27</v>
      </c>
      <c r="J3376" s="0" t="s">
        <v>28</v>
      </c>
      <c r="K3376" s="0" t="str">
        <f aca="false">"8.21 %"</f>
        <v>8.21 %</v>
      </c>
      <c r="O3376" s="0" t="s">
        <v>11395</v>
      </c>
    </row>
    <row r="3377" customFormat="false" ht="13.8" hidden="false" customHeight="false" outlineLevel="0" collapsed="false">
      <c r="A3377" s="0" t="s">
        <v>11396</v>
      </c>
      <c r="D3377" s="0" t="s">
        <v>11397</v>
      </c>
      <c r="F3377" s="0" t="s">
        <v>11398</v>
      </c>
      <c r="G3377" s="0" t="n">
        <v>0</v>
      </c>
      <c r="J3377" s="0" t="s">
        <v>40</v>
      </c>
      <c r="K3377" s="0" t="str">
        <f aca="false">"10.24 %"</f>
        <v>10.24 %</v>
      </c>
      <c r="O3377" s="0" t="s">
        <v>11399</v>
      </c>
    </row>
    <row r="3378" customFormat="false" ht="13.8" hidden="false" customHeight="false" outlineLevel="0" collapsed="false">
      <c r="A3378" s="0" t="s">
        <v>11400</v>
      </c>
      <c r="D3378" s="0" t="s">
        <v>11401</v>
      </c>
      <c r="F3378" s="0" t="s">
        <v>11402</v>
      </c>
      <c r="G3378" s="0" t="n">
        <v>0</v>
      </c>
      <c r="J3378" s="0" t="s">
        <v>40</v>
      </c>
      <c r="K3378" s="0" t="str">
        <f aca="false">"0.15 %"</f>
        <v>0.15 %</v>
      </c>
      <c r="O3378" s="0" t="s">
        <v>11403</v>
      </c>
    </row>
    <row r="3379" customFormat="false" ht="13.8" hidden="false" customHeight="false" outlineLevel="0" collapsed="false">
      <c r="A3379" s="0" t="s">
        <v>11404</v>
      </c>
      <c r="F3379" s="0" t="s">
        <v>40</v>
      </c>
      <c r="G3379" s="0" t="n">
        <v>0</v>
      </c>
      <c r="H3379" s="0" t="s">
        <v>11405</v>
      </c>
      <c r="J3379" s="0" t="s">
        <v>11406</v>
      </c>
      <c r="K3379" s="0" t="str">
        <f aca="false">"1.17 %"</f>
        <v>1.17 %</v>
      </c>
      <c r="O3379" s="0" t="s">
        <v>11407</v>
      </c>
    </row>
    <row r="3380" customFormat="false" ht="13.8" hidden="false" customHeight="false" outlineLevel="0" collapsed="false">
      <c r="A3380" s="0" t="s">
        <v>11408</v>
      </c>
      <c r="D3380" s="0" t="s">
        <v>208</v>
      </c>
      <c r="E3380" s="0" t="s">
        <v>17</v>
      </c>
      <c r="F3380" s="0" t="s">
        <v>18</v>
      </c>
      <c r="G3380" s="0" t="n">
        <v>0</v>
      </c>
      <c r="J3380" s="0" t="s">
        <v>40</v>
      </c>
      <c r="K3380" s="0" t="str">
        <f aca="false">"2.32 %"</f>
        <v>2.32 %</v>
      </c>
      <c r="O3380" s="0" t="s">
        <v>11409</v>
      </c>
    </row>
    <row r="3381" customFormat="false" ht="13.8" hidden="false" customHeight="false" outlineLevel="0" collapsed="false">
      <c r="A3381" s="0" t="s">
        <v>11410</v>
      </c>
      <c r="D3381" s="0" t="s">
        <v>878</v>
      </c>
      <c r="E3381" s="0" t="s">
        <v>879</v>
      </c>
      <c r="F3381" s="0" t="s">
        <v>11411</v>
      </c>
      <c r="G3381" s="0" t="n">
        <v>0</v>
      </c>
      <c r="J3381" s="0" t="s">
        <v>40</v>
      </c>
      <c r="K3381" s="0" t="str">
        <f aca="false">"3.35 %"</f>
        <v>3.35 %</v>
      </c>
      <c r="O3381" s="0" t="s">
        <v>11412</v>
      </c>
    </row>
    <row r="3382" customFormat="false" ht="13.8" hidden="false" customHeight="false" outlineLevel="0" collapsed="false">
      <c r="A3382" s="0" t="s">
        <v>11413</v>
      </c>
      <c r="D3382" s="0" t="s">
        <v>1924</v>
      </c>
      <c r="E3382" s="0" t="s">
        <v>1925</v>
      </c>
      <c r="F3382" s="0" t="s">
        <v>1926</v>
      </c>
      <c r="G3382" s="0" t="n">
        <v>0</v>
      </c>
      <c r="J3382" s="0" t="s">
        <v>40</v>
      </c>
      <c r="K3382" s="0" t="str">
        <f aca="false">"13 %"</f>
        <v>13 %</v>
      </c>
      <c r="O3382" s="0" t="s">
        <v>11414</v>
      </c>
    </row>
    <row r="3383" customFormat="false" ht="13.8" hidden="false" customHeight="false" outlineLevel="0" collapsed="false">
      <c r="A3383" s="0" t="s">
        <v>11415</v>
      </c>
      <c r="D3383" s="0" t="s">
        <v>302</v>
      </c>
      <c r="E3383" s="0" t="s">
        <v>202</v>
      </c>
      <c r="F3383" s="0" t="s">
        <v>303</v>
      </c>
      <c r="G3383" s="0" t="n">
        <v>0</v>
      </c>
      <c r="J3383" s="0" t="s">
        <v>40</v>
      </c>
      <c r="K3383" s="0" t="str">
        <f aca="false">"3.52 %"</f>
        <v>3.52 %</v>
      </c>
      <c r="M3383" s="0" t="str">
        <f aca="false">"8.86 mA/cm^{2}"</f>
        <v>8.86 mA/cm^{2}</v>
      </c>
      <c r="O3383" s="0" t="s">
        <v>11416</v>
      </c>
    </row>
    <row r="3384" customFormat="false" ht="13.8" hidden="false" customHeight="false" outlineLevel="0" collapsed="false">
      <c r="A3384" s="0" t="s">
        <v>11417</v>
      </c>
      <c r="F3384" s="0" t="s">
        <v>40</v>
      </c>
      <c r="G3384" s="0" t="n">
        <v>1</v>
      </c>
      <c r="H3384" s="0" t="s">
        <v>33</v>
      </c>
      <c r="J3384" s="0" t="s">
        <v>40</v>
      </c>
      <c r="K3384" s="0" t="str">
        <f aca="false">"2.54 %"</f>
        <v>2.54 %</v>
      </c>
      <c r="O3384" s="0" t="s">
        <v>11418</v>
      </c>
    </row>
    <row r="3385" customFormat="false" ht="13.8" hidden="false" customHeight="false" outlineLevel="0" collapsed="false">
      <c r="A3385" s="0" t="s">
        <v>11419</v>
      </c>
      <c r="D3385" s="0" t="s">
        <v>11420</v>
      </c>
      <c r="F3385" s="0" t="s">
        <v>11421</v>
      </c>
      <c r="G3385" s="0" t="n">
        <v>0</v>
      </c>
      <c r="J3385" s="0" t="s">
        <v>40</v>
      </c>
      <c r="K3385" s="0" t="str">
        <f aca="false">"9.53 %"</f>
        <v>9.53 %</v>
      </c>
      <c r="O3385" s="0" t="s">
        <v>11422</v>
      </c>
    </row>
    <row r="3386" customFormat="false" ht="13.8" hidden="false" customHeight="false" outlineLevel="0" collapsed="false">
      <c r="A3386" s="0" t="s">
        <v>11423</v>
      </c>
      <c r="D3386" s="0" t="s">
        <v>6253</v>
      </c>
      <c r="E3386" s="0" t="s">
        <v>1169</v>
      </c>
      <c r="F3386" s="0" t="s">
        <v>6254</v>
      </c>
      <c r="G3386" s="0" t="n">
        <v>0</v>
      </c>
      <c r="J3386" s="0" t="s">
        <v>40</v>
      </c>
      <c r="K3386" s="0" t="str">
        <f aca="false">"8.84 %"</f>
        <v>8.84 %</v>
      </c>
      <c r="M3386" s="0" t="str">
        <f aca="false">"30.5 mA/cm^{2}"</f>
        <v>30.5 mA/cm^{2}</v>
      </c>
      <c r="O3386" s="0" t="s">
        <v>11424</v>
      </c>
    </row>
    <row r="3387" customFormat="false" ht="13.8" hidden="false" customHeight="false" outlineLevel="0" collapsed="false">
      <c r="A3387" s="0" t="s">
        <v>11425</v>
      </c>
      <c r="D3387" s="0" t="s">
        <v>11426</v>
      </c>
      <c r="F3387" s="0" t="s">
        <v>11427</v>
      </c>
      <c r="G3387" s="0" t="n">
        <v>0</v>
      </c>
      <c r="J3387" s="0" t="s">
        <v>40</v>
      </c>
      <c r="K3387" s="0" t="str">
        <f aca="false">"2.3 %"</f>
        <v>2.3 %</v>
      </c>
      <c r="O3387" s="0" t="s">
        <v>11428</v>
      </c>
    </row>
    <row r="3388" customFormat="false" ht="13.8" hidden="false" customHeight="false" outlineLevel="0" collapsed="false">
      <c r="A3388" s="0" t="s">
        <v>11429</v>
      </c>
      <c r="F3388" s="0" t="s">
        <v>40</v>
      </c>
      <c r="G3388" s="0" t="n">
        <v>1</v>
      </c>
      <c r="H3388" s="0" t="s">
        <v>526</v>
      </c>
      <c r="J3388" s="0" t="s">
        <v>3518</v>
      </c>
      <c r="K3388" s="0" t="str">
        <f aca="false">"3.8 %"</f>
        <v>3.8 %</v>
      </c>
      <c r="L3388" s="0" t="str">
        <f aca="false">"610 mV"</f>
        <v>610 mV</v>
      </c>
      <c r="M3388" s="0" t="str">
        <f aca="false">"10.6 mA/cm^{2}"</f>
        <v>10.6 mA/cm^{2}</v>
      </c>
      <c r="N3388" s="0" t="str">
        <f aca="false">"59 %"</f>
        <v>59 %</v>
      </c>
      <c r="O3388" s="0" t="s">
        <v>11430</v>
      </c>
    </row>
    <row r="3389" customFormat="false" ht="13.8" hidden="false" customHeight="false" outlineLevel="0" collapsed="false">
      <c r="A3389" s="0" t="s">
        <v>11431</v>
      </c>
      <c r="F3389" s="0" t="s">
        <v>40</v>
      </c>
      <c r="G3389" s="0" t="n">
        <v>0</v>
      </c>
      <c r="H3389" s="0" t="s">
        <v>11432</v>
      </c>
      <c r="J3389" s="0" t="s">
        <v>11433</v>
      </c>
      <c r="K3389" s="0" t="str">
        <f aca="false">"6.79 %"</f>
        <v>6.79 %</v>
      </c>
      <c r="O3389" s="0" t="s">
        <v>11434</v>
      </c>
    </row>
    <row r="3390" customFormat="false" ht="13.8" hidden="false" customHeight="false" outlineLevel="0" collapsed="false">
      <c r="A3390" s="0" t="s">
        <v>11435</v>
      </c>
      <c r="D3390" s="0" t="s">
        <v>11436</v>
      </c>
      <c r="F3390" s="0" t="s">
        <v>11437</v>
      </c>
      <c r="G3390" s="0" t="n">
        <v>0</v>
      </c>
      <c r="J3390" s="0" t="s">
        <v>40</v>
      </c>
      <c r="K3390" s="0" t="str">
        <f aca="false">"7.55 %"</f>
        <v>7.55 %</v>
      </c>
      <c r="O3390" s="0" t="s">
        <v>11438</v>
      </c>
    </row>
    <row r="3391" customFormat="false" ht="13.8" hidden="false" customHeight="false" outlineLevel="0" collapsed="false">
      <c r="A3391" s="0" t="s">
        <v>11435</v>
      </c>
      <c r="D3391" s="0" t="s">
        <v>11439</v>
      </c>
      <c r="F3391" s="0" t="s">
        <v>11440</v>
      </c>
      <c r="G3391" s="0" t="n">
        <v>0</v>
      </c>
      <c r="J3391" s="0" t="s">
        <v>40</v>
      </c>
      <c r="K3391" s="0" t="str">
        <f aca="false">"7.30 %"</f>
        <v>7.30 %</v>
      </c>
      <c r="O3391" s="0" t="s">
        <v>11441</v>
      </c>
    </row>
    <row r="3392" customFormat="false" ht="13.8" hidden="false" customHeight="false" outlineLevel="0" collapsed="false">
      <c r="A3392" s="0" t="s">
        <v>11442</v>
      </c>
      <c r="D3392" s="0" t="s">
        <v>6253</v>
      </c>
      <c r="E3392" s="0" t="s">
        <v>1169</v>
      </c>
      <c r="F3392" s="0" t="s">
        <v>6254</v>
      </c>
      <c r="G3392" s="0" t="n">
        <v>0</v>
      </c>
      <c r="J3392" s="0" t="s">
        <v>40</v>
      </c>
      <c r="K3392" s="0" t="str">
        <f aca="false">"8.08 %"</f>
        <v>8.08 %</v>
      </c>
      <c r="O3392" s="0" t="s">
        <v>11443</v>
      </c>
    </row>
    <row r="3393" customFormat="false" ht="13.8" hidden="false" customHeight="false" outlineLevel="0" collapsed="false">
      <c r="A3393" s="0" t="s">
        <v>11444</v>
      </c>
      <c r="F3393" s="0" t="s">
        <v>40</v>
      </c>
      <c r="G3393" s="0" t="n">
        <v>1</v>
      </c>
      <c r="H3393" s="0" t="s">
        <v>27</v>
      </c>
      <c r="J3393" s="0" t="s">
        <v>28</v>
      </c>
      <c r="K3393" s="0" t="str">
        <f aca="false">"7.40 %"</f>
        <v>7.40 %</v>
      </c>
      <c r="L3393" s="0" t="str">
        <f aca="false">"0.92 V"</f>
        <v>0.92 V</v>
      </c>
      <c r="M3393" s="0" t="str">
        <f aca="false">"14.48 mA/cm^{2}"</f>
        <v>14.48 mA/cm^{2}</v>
      </c>
      <c r="N3393" s="0" t="str">
        <f aca="false">"0.66"</f>
        <v>0.66</v>
      </c>
      <c r="O3393" s="0" t="s">
        <v>11445</v>
      </c>
    </row>
    <row r="3394" customFormat="false" ht="13.8" hidden="false" customHeight="false" outlineLevel="0" collapsed="false">
      <c r="A3394" s="0" t="s">
        <v>11444</v>
      </c>
      <c r="D3394" s="0" t="s">
        <v>11446</v>
      </c>
      <c r="F3394" s="0" t="s">
        <v>11447</v>
      </c>
      <c r="G3394" s="0" t="n">
        <v>1</v>
      </c>
      <c r="H3394" s="0" t="s">
        <v>27</v>
      </c>
      <c r="J3394" s="0" t="s">
        <v>28</v>
      </c>
      <c r="O3394" s="0" t="s">
        <v>11448</v>
      </c>
    </row>
    <row r="3395" customFormat="false" ht="13.8" hidden="false" customHeight="false" outlineLevel="0" collapsed="false">
      <c r="A3395" s="0" t="s">
        <v>11449</v>
      </c>
      <c r="F3395" s="0" t="s">
        <v>40</v>
      </c>
      <c r="G3395" s="0" t="n">
        <v>1</v>
      </c>
      <c r="H3395" s="0" t="s">
        <v>66</v>
      </c>
      <c r="J3395" s="0" t="s">
        <v>67</v>
      </c>
      <c r="K3395" s="0" t="str">
        <f aca="false">"8.2 %"</f>
        <v>8.2 %</v>
      </c>
      <c r="O3395" s="0" t="s">
        <v>11450</v>
      </c>
    </row>
    <row r="3396" customFormat="false" ht="13.8" hidden="false" customHeight="false" outlineLevel="0" collapsed="false">
      <c r="A3396" s="0" t="s">
        <v>11451</v>
      </c>
      <c r="D3396" s="0" t="s">
        <v>11452</v>
      </c>
      <c r="F3396" s="0" t="s">
        <v>11453</v>
      </c>
      <c r="G3396" s="0" t="n">
        <v>0</v>
      </c>
      <c r="J3396" s="0" t="s">
        <v>40</v>
      </c>
      <c r="K3396" s="0" t="str">
        <f aca="false">"14.0 %"</f>
        <v>14.0 %</v>
      </c>
      <c r="O3396" s="0" t="s">
        <v>11454</v>
      </c>
    </row>
    <row r="3397" customFormat="false" ht="13.8" hidden="false" customHeight="false" outlineLevel="0" collapsed="false">
      <c r="A3397" s="0" t="s">
        <v>11455</v>
      </c>
      <c r="D3397" s="0" t="s">
        <v>11456</v>
      </c>
      <c r="E3397" s="0" t="s">
        <v>5216</v>
      </c>
      <c r="F3397" s="0" t="s">
        <v>11457</v>
      </c>
      <c r="G3397" s="0" t="n">
        <v>0</v>
      </c>
      <c r="J3397" s="0" t="s">
        <v>40</v>
      </c>
      <c r="K3397" s="0" t="str">
        <f aca="false">"~8 %"</f>
        <v>~8 %</v>
      </c>
      <c r="O3397" s="0" t="s">
        <v>11458</v>
      </c>
    </row>
    <row r="3398" customFormat="false" ht="13.8" hidden="false" customHeight="false" outlineLevel="0" collapsed="false">
      <c r="A3398" s="0" t="s">
        <v>11459</v>
      </c>
      <c r="D3398" s="0" t="s">
        <v>11460</v>
      </c>
      <c r="F3398" s="0" t="s">
        <v>11461</v>
      </c>
      <c r="G3398" s="0" t="n">
        <v>0</v>
      </c>
      <c r="J3398" s="0" t="s">
        <v>40</v>
      </c>
      <c r="K3398" s="0" t="str">
        <f aca="false">"3.27 %"</f>
        <v>3.27 %</v>
      </c>
      <c r="O3398" s="0" t="s">
        <v>11462</v>
      </c>
    </row>
    <row r="3399" customFormat="false" ht="13.8" hidden="false" customHeight="false" outlineLevel="0" collapsed="false">
      <c r="A3399" s="0" t="s">
        <v>11463</v>
      </c>
      <c r="D3399" s="0" t="s">
        <v>11464</v>
      </c>
      <c r="F3399" s="0" t="s">
        <v>11465</v>
      </c>
      <c r="G3399" s="0" t="n">
        <v>0</v>
      </c>
      <c r="J3399" s="0" t="s">
        <v>40</v>
      </c>
      <c r="K3399" s="0" t="str">
        <f aca="false">"9.26 %"</f>
        <v>9.26 %</v>
      </c>
      <c r="L3399" s="0" t="str">
        <f aca="false">"0.82 V"</f>
        <v>0.82 V</v>
      </c>
      <c r="M3399" s="0" t="str">
        <f aca="false">"14.54 mA cm^{-2}"</f>
        <v>14.54 mA cm^{-2}</v>
      </c>
      <c r="N3399" s="0" t="str">
        <f aca="false">"0.66"</f>
        <v>0.66</v>
      </c>
      <c r="O3399" s="0" t="s">
        <v>11466</v>
      </c>
    </row>
    <row r="3400" customFormat="false" ht="13.8" hidden="false" customHeight="false" outlineLevel="0" collapsed="false">
      <c r="A3400" s="0" t="s">
        <v>11467</v>
      </c>
      <c r="D3400" s="0" t="s">
        <v>6253</v>
      </c>
      <c r="E3400" s="0" t="s">
        <v>1169</v>
      </c>
      <c r="F3400" s="0" t="s">
        <v>6254</v>
      </c>
      <c r="G3400" s="0" t="n">
        <v>0</v>
      </c>
      <c r="J3400" s="0" t="s">
        <v>40</v>
      </c>
      <c r="K3400" s="0" t="str">
        <f aca="false">"13.36 %"</f>
        <v>13.36 %</v>
      </c>
      <c r="L3400" s="0" t="str">
        <f aca="false">"0.528 V"</f>
        <v>0.528 V</v>
      </c>
      <c r="M3400" s="0" t="str">
        <f aca="false">"35.36 mA/cm^{2}"</f>
        <v>35.36 mA/cm^{2}</v>
      </c>
      <c r="N3400" s="0" t="str">
        <f aca="false">"70.94 %"</f>
        <v>70.94 %</v>
      </c>
      <c r="O3400" s="0" t="s">
        <v>11468</v>
      </c>
    </row>
    <row r="3401" customFormat="false" ht="13.8" hidden="false" customHeight="false" outlineLevel="0" collapsed="false">
      <c r="A3401" s="0" t="s">
        <v>11469</v>
      </c>
      <c r="D3401" s="0" t="s">
        <v>11470</v>
      </c>
      <c r="F3401" s="0" t="s">
        <v>11471</v>
      </c>
      <c r="G3401" s="0" t="n">
        <v>0</v>
      </c>
      <c r="J3401" s="0" t="s">
        <v>40</v>
      </c>
      <c r="K3401" s="0" t="str">
        <f aca="false">"9.67 %"</f>
        <v>9.67 %</v>
      </c>
      <c r="O3401" s="0" t="s">
        <v>11472</v>
      </c>
    </row>
    <row r="3402" customFormat="false" ht="13.8" hidden="false" customHeight="false" outlineLevel="0" collapsed="false">
      <c r="A3402" s="0" t="s">
        <v>11473</v>
      </c>
      <c r="D3402" s="0" t="s">
        <v>11474</v>
      </c>
      <c r="F3402" s="0" t="s">
        <v>11475</v>
      </c>
      <c r="G3402" s="0" t="n">
        <v>0</v>
      </c>
      <c r="J3402" s="0" t="s">
        <v>40</v>
      </c>
      <c r="K3402" s="0" t="str">
        <f aca="false">"8.75 %"</f>
        <v>8.75 %</v>
      </c>
      <c r="O3402" s="0" t="s">
        <v>11476</v>
      </c>
    </row>
    <row r="3403" customFormat="false" ht="13.8" hidden="false" customHeight="false" outlineLevel="0" collapsed="false">
      <c r="A3403" s="0" t="s">
        <v>11477</v>
      </c>
      <c r="D3403" s="0" t="s">
        <v>16</v>
      </c>
      <c r="E3403" s="0" t="s">
        <v>17</v>
      </c>
      <c r="F3403" s="0" t="s">
        <v>116</v>
      </c>
      <c r="G3403" s="0" t="n">
        <v>0</v>
      </c>
      <c r="J3403" s="0" t="s">
        <v>40</v>
      </c>
      <c r="K3403" s="0" t="str">
        <f aca="false">"2.0 %"</f>
        <v>2.0 %</v>
      </c>
      <c r="L3403" s="0" t="str">
        <f aca="false">"1.98 V"</f>
        <v>1.98 V</v>
      </c>
      <c r="O3403" s="0" t="s">
        <v>11478</v>
      </c>
    </row>
    <row r="3404" customFormat="false" ht="13.8" hidden="false" customHeight="false" outlineLevel="0" collapsed="false">
      <c r="A3404" s="0" t="s">
        <v>11479</v>
      </c>
      <c r="D3404" s="0" t="s">
        <v>11480</v>
      </c>
      <c r="E3404" s="0" t="s">
        <v>1032</v>
      </c>
      <c r="F3404" s="0" t="s">
        <v>1033</v>
      </c>
      <c r="G3404" s="0" t="n">
        <v>0</v>
      </c>
      <c r="J3404" s="0" t="s">
        <v>40</v>
      </c>
      <c r="K3404" s="0" t="str">
        <f aca="false">"5.5 %"</f>
        <v>5.5 %</v>
      </c>
      <c r="O3404" s="0" t="s">
        <v>11481</v>
      </c>
    </row>
    <row r="3405" customFormat="false" ht="13.8" hidden="false" customHeight="false" outlineLevel="0" collapsed="false">
      <c r="A3405" s="0" t="s">
        <v>11482</v>
      </c>
      <c r="D3405" s="0" t="s">
        <v>11483</v>
      </c>
      <c r="F3405" s="0" t="s">
        <v>11484</v>
      </c>
      <c r="G3405" s="0" t="n">
        <v>0</v>
      </c>
      <c r="J3405" s="0" t="s">
        <v>40</v>
      </c>
      <c r="K3405" s="0" t="str">
        <f aca="false">"8.11 %"</f>
        <v>8.11 %</v>
      </c>
      <c r="O3405" s="0" t="s">
        <v>11485</v>
      </c>
    </row>
    <row r="3406" customFormat="false" ht="13.8" hidden="false" customHeight="false" outlineLevel="0" collapsed="false">
      <c r="A3406" s="0" t="s">
        <v>11486</v>
      </c>
      <c r="F3406" s="0" t="s">
        <v>40</v>
      </c>
      <c r="G3406" s="0" t="n">
        <v>1</v>
      </c>
      <c r="H3406" s="0" t="s">
        <v>4441</v>
      </c>
      <c r="J3406" s="0" t="s">
        <v>40</v>
      </c>
      <c r="O3406" s="0" t="s">
        <v>11487</v>
      </c>
    </row>
    <row r="3407" customFormat="false" ht="13.8" hidden="false" customHeight="false" outlineLevel="0" collapsed="false">
      <c r="A3407" s="0" t="s">
        <v>11488</v>
      </c>
      <c r="D3407" s="0" t="s">
        <v>11489</v>
      </c>
      <c r="F3407" s="0" t="s">
        <v>11490</v>
      </c>
      <c r="G3407" s="0" t="n">
        <v>0</v>
      </c>
      <c r="J3407" s="0" t="s">
        <v>40</v>
      </c>
      <c r="K3407" s="0" t="str">
        <f aca="false">"6 %"</f>
        <v>6 %</v>
      </c>
      <c r="O3407" s="0" t="s">
        <v>11491</v>
      </c>
    </row>
    <row r="3408" customFormat="false" ht="13.8" hidden="false" customHeight="false" outlineLevel="0" collapsed="false">
      <c r="A3408" s="0" t="s">
        <v>11492</v>
      </c>
      <c r="D3408" s="0" t="s">
        <v>11493</v>
      </c>
      <c r="F3408" s="0" t="s">
        <v>11494</v>
      </c>
      <c r="G3408" s="0" t="n">
        <v>0</v>
      </c>
      <c r="J3408" s="0" t="s">
        <v>40</v>
      </c>
      <c r="K3408" s="0" t="str">
        <f aca="false">"9.28 %"</f>
        <v>9.28 %</v>
      </c>
      <c r="M3408" s="0" t="str">
        <f aca="false">"20.1 mA/cm^{2}"</f>
        <v>20.1 mA/cm^{2}</v>
      </c>
      <c r="O3408" s="0" t="s">
        <v>11495</v>
      </c>
    </row>
    <row r="3409" customFormat="false" ht="13.8" hidden="false" customHeight="false" outlineLevel="0" collapsed="false">
      <c r="A3409" s="0" t="s">
        <v>11496</v>
      </c>
      <c r="F3409" s="0" t="s">
        <v>40</v>
      </c>
      <c r="G3409" s="0" t="n">
        <v>1</v>
      </c>
      <c r="H3409" s="0" t="s">
        <v>33</v>
      </c>
      <c r="J3409" s="0" t="s">
        <v>34</v>
      </c>
      <c r="K3409" s="0" t="str">
        <f aca="false">"3.70 %"</f>
        <v>3.70 %</v>
      </c>
      <c r="O3409" s="0" t="s">
        <v>11497</v>
      </c>
    </row>
    <row r="3410" customFormat="false" ht="13.8" hidden="false" customHeight="false" outlineLevel="0" collapsed="false">
      <c r="A3410" s="0" t="s">
        <v>11498</v>
      </c>
      <c r="D3410" s="0" t="s">
        <v>6253</v>
      </c>
      <c r="E3410" s="0" t="s">
        <v>1169</v>
      </c>
      <c r="F3410" s="0" t="s">
        <v>6254</v>
      </c>
      <c r="G3410" s="0" t="n">
        <v>0</v>
      </c>
      <c r="J3410" s="0" t="s">
        <v>40</v>
      </c>
      <c r="K3410" s="0" t="str">
        <f aca="false">"3.14 %"</f>
        <v>3.14 %</v>
      </c>
      <c r="O3410" s="0" t="s">
        <v>11499</v>
      </c>
    </row>
    <row r="3411" customFormat="false" ht="13.8" hidden="false" customHeight="false" outlineLevel="0" collapsed="false">
      <c r="A3411" s="0" t="s">
        <v>11500</v>
      </c>
      <c r="D3411" s="0" t="s">
        <v>11501</v>
      </c>
      <c r="F3411" s="0" t="s">
        <v>11502</v>
      </c>
      <c r="G3411" s="0" t="n">
        <v>0</v>
      </c>
      <c r="J3411" s="0" t="s">
        <v>40</v>
      </c>
      <c r="K3411" s="0" t="str">
        <f aca="false">"7.30 %"</f>
        <v>7.30 %</v>
      </c>
      <c r="O3411" s="0" t="s">
        <v>11503</v>
      </c>
    </row>
    <row r="3412" customFormat="false" ht="13.8" hidden="false" customHeight="false" outlineLevel="0" collapsed="false">
      <c r="A3412" s="0" t="s">
        <v>11500</v>
      </c>
      <c r="D3412" s="0" t="s">
        <v>11504</v>
      </c>
      <c r="F3412" s="0" t="s">
        <v>11505</v>
      </c>
      <c r="G3412" s="0" t="n">
        <v>0</v>
      </c>
      <c r="J3412" s="0" t="s">
        <v>40</v>
      </c>
      <c r="K3412" s="0" t="str">
        <f aca="false">"8.55 %"</f>
        <v>8.55 %</v>
      </c>
      <c r="O3412" s="0" t="s">
        <v>11506</v>
      </c>
    </row>
    <row r="3413" customFormat="false" ht="13.8" hidden="false" customHeight="false" outlineLevel="0" collapsed="false">
      <c r="A3413" s="0" t="s">
        <v>11507</v>
      </c>
      <c r="D3413" s="0" t="s">
        <v>208</v>
      </c>
      <c r="E3413" s="0" t="s">
        <v>17</v>
      </c>
      <c r="F3413" s="0" t="s">
        <v>18</v>
      </c>
      <c r="G3413" s="0" t="n">
        <v>0</v>
      </c>
      <c r="J3413" s="0" t="s">
        <v>40</v>
      </c>
      <c r="K3413" s="0" t="str">
        <f aca="false">"2.41 %"</f>
        <v>2.41 %</v>
      </c>
      <c r="O3413" s="0" t="s">
        <v>11508</v>
      </c>
    </row>
    <row r="3414" customFormat="false" ht="13.8" hidden="false" customHeight="false" outlineLevel="0" collapsed="false">
      <c r="A3414" s="0" t="s">
        <v>11509</v>
      </c>
      <c r="F3414" s="0" t="s">
        <v>40</v>
      </c>
      <c r="G3414" s="0" t="n">
        <v>1</v>
      </c>
      <c r="H3414" s="0" t="s">
        <v>27</v>
      </c>
      <c r="J3414" s="0" t="s">
        <v>28</v>
      </c>
      <c r="K3414" s="0" t="str">
        <f aca="false">"9.5 %"</f>
        <v>9.5 %</v>
      </c>
      <c r="O3414" s="0" t="s">
        <v>11510</v>
      </c>
    </row>
    <row r="3415" customFormat="false" ht="13.8" hidden="false" customHeight="false" outlineLevel="0" collapsed="false">
      <c r="A3415" s="0" t="s">
        <v>11509</v>
      </c>
      <c r="D3415" s="0" t="s">
        <v>1341</v>
      </c>
      <c r="E3415" s="0" t="s">
        <v>1342</v>
      </c>
      <c r="F3415" s="0" t="s">
        <v>11511</v>
      </c>
      <c r="G3415" s="0" t="n">
        <v>1</v>
      </c>
      <c r="H3415" s="0" t="s">
        <v>27</v>
      </c>
      <c r="J3415" s="0" t="s">
        <v>28</v>
      </c>
      <c r="N3415" s="0" t="str">
        <f aca="false">"70 %"</f>
        <v>70 %</v>
      </c>
      <c r="O3415" s="0" t="s">
        <v>11512</v>
      </c>
    </row>
    <row r="3416" customFormat="false" ht="13.8" hidden="false" customHeight="false" outlineLevel="0" collapsed="false">
      <c r="A3416" s="0" t="s">
        <v>11513</v>
      </c>
      <c r="F3416" s="0" t="s">
        <v>40</v>
      </c>
      <c r="G3416" s="0" t="n">
        <v>0</v>
      </c>
      <c r="H3416" s="0" t="s">
        <v>4748</v>
      </c>
      <c r="J3416" s="0" t="s">
        <v>40</v>
      </c>
      <c r="K3416" s="0" t="str">
        <f aca="false">"8.82 %"</f>
        <v>8.82 %</v>
      </c>
      <c r="O3416" s="0" t="s">
        <v>11514</v>
      </c>
    </row>
    <row r="3417" customFormat="false" ht="13.8" hidden="false" customHeight="false" outlineLevel="0" collapsed="false">
      <c r="A3417" s="0" t="s">
        <v>11515</v>
      </c>
      <c r="D3417" s="0" t="s">
        <v>85</v>
      </c>
      <c r="E3417" s="0" t="s">
        <v>86</v>
      </c>
      <c r="F3417" s="0" t="s">
        <v>11516</v>
      </c>
      <c r="G3417" s="0" t="n">
        <v>0</v>
      </c>
      <c r="J3417" s="0" t="s">
        <v>40</v>
      </c>
      <c r="K3417" s="0" t="str">
        <f aca="false">"10.12 %"</f>
        <v>10.12 %</v>
      </c>
      <c r="O3417" s="0" t="s">
        <v>11517</v>
      </c>
    </row>
    <row r="3418" customFormat="false" ht="13.8" hidden="false" customHeight="false" outlineLevel="0" collapsed="false">
      <c r="A3418" s="0" t="s">
        <v>11518</v>
      </c>
      <c r="D3418" s="0" t="s">
        <v>1924</v>
      </c>
      <c r="E3418" s="0" t="s">
        <v>1925</v>
      </c>
      <c r="F3418" s="0" t="s">
        <v>1926</v>
      </c>
      <c r="G3418" s="0" t="n">
        <v>0</v>
      </c>
      <c r="J3418" s="0" t="s">
        <v>40</v>
      </c>
      <c r="K3418" s="0" t="str">
        <f aca="false">"6.60 %"</f>
        <v>6.60 %</v>
      </c>
      <c r="O3418" s="0" t="s">
        <v>11519</v>
      </c>
    </row>
    <row r="3419" customFormat="false" ht="13.8" hidden="false" customHeight="false" outlineLevel="0" collapsed="false">
      <c r="A3419" s="0" t="s">
        <v>11520</v>
      </c>
      <c r="F3419" s="0" t="s">
        <v>40</v>
      </c>
      <c r="G3419" s="0" t="n">
        <v>1</v>
      </c>
      <c r="H3419" s="0" t="s">
        <v>33</v>
      </c>
      <c r="J3419" s="0" t="s">
        <v>34</v>
      </c>
      <c r="K3419" s="0" t="str">
        <f aca="false">"2.82 %"</f>
        <v>2.82 %</v>
      </c>
      <c r="O3419" s="0" t="s">
        <v>11521</v>
      </c>
    </row>
    <row r="3420" customFormat="false" ht="13.8" hidden="false" customHeight="false" outlineLevel="0" collapsed="false">
      <c r="A3420" s="0" t="s">
        <v>11522</v>
      </c>
      <c r="D3420" s="0" t="s">
        <v>11523</v>
      </c>
      <c r="F3420" s="0" t="s">
        <v>11524</v>
      </c>
      <c r="G3420" s="0" t="n">
        <v>0</v>
      </c>
      <c r="J3420" s="0" t="s">
        <v>40</v>
      </c>
      <c r="K3420" s="0" t="str">
        <f aca="false">"5.02 %"</f>
        <v>5.02 %</v>
      </c>
      <c r="O3420" s="0" t="s">
        <v>11525</v>
      </c>
    </row>
    <row r="3421" customFormat="false" ht="13.8" hidden="false" customHeight="false" outlineLevel="0" collapsed="false">
      <c r="A3421" s="0" t="s">
        <v>11526</v>
      </c>
      <c r="F3421" s="0" t="s">
        <v>40</v>
      </c>
      <c r="G3421" s="0" t="n">
        <v>1</v>
      </c>
      <c r="H3421" s="0" t="s">
        <v>33</v>
      </c>
      <c r="J3421" s="0" t="s">
        <v>504</v>
      </c>
      <c r="K3421" s="0" t="str">
        <f aca="false">"2.97 %"</f>
        <v>2.97 %</v>
      </c>
      <c r="O3421" s="0" t="s">
        <v>11527</v>
      </c>
    </row>
    <row r="3422" customFormat="false" ht="13.8" hidden="false" customHeight="false" outlineLevel="0" collapsed="false">
      <c r="A3422" s="0" t="s">
        <v>11528</v>
      </c>
      <c r="D3422" s="0" t="s">
        <v>11529</v>
      </c>
      <c r="E3422" s="0" t="s">
        <v>11530</v>
      </c>
      <c r="F3422" s="0" t="s">
        <v>11531</v>
      </c>
      <c r="G3422" s="0" t="n">
        <v>0</v>
      </c>
      <c r="J3422" s="0" t="s">
        <v>40</v>
      </c>
      <c r="K3422" s="0" t="str">
        <f aca="false">"2.83 %"</f>
        <v>2.83 %</v>
      </c>
      <c r="O3422" s="0" t="s">
        <v>11532</v>
      </c>
    </row>
    <row r="3423" customFormat="false" ht="13.8" hidden="false" customHeight="false" outlineLevel="0" collapsed="false">
      <c r="A3423" s="0" t="s">
        <v>11533</v>
      </c>
      <c r="D3423" s="0" t="s">
        <v>11534</v>
      </c>
      <c r="E3423" s="0" t="s">
        <v>1169</v>
      </c>
      <c r="F3423" s="0" t="s">
        <v>11535</v>
      </c>
      <c r="G3423" s="0" t="n">
        <v>0</v>
      </c>
      <c r="J3423" s="0" t="s">
        <v>40</v>
      </c>
      <c r="K3423" s="0" t="str">
        <f aca="false">"8.53 %"</f>
        <v>8.53 %</v>
      </c>
      <c r="O3423" s="0" t="s">
        <v>11536</v>
      </c>
    </row>
    <row r="3424" customFormat="false" ht="13.8" hidden="false" customHeight="false" outlineLevel="0" collapsed="false">
      <c r="A3424" s="0" t="s">
        <v>11537</v>
      </c>
      <c r="D3424" s="0" t="s">
        <v>11538</v>
      </c>
      <c r="F3424" s="0" t="s">
        <v>11539</v>
      </c>
      <c r="G3424" s="0" t="n">
        <v>0</v>
      </c>
      <c r="J3424" s="0" t="s">
        <v>40</v>
      </c>
      <c r="K3424" s="0" t="str">
        <f aca="false">"9.65 %"</f>
        <v>9.65 %</v>
      </c>
      <c r="O3424" s="0" t="s">
        <v>11540</v>
      </c>
    </row>
    <row r="3425" customFormat="false" ht="13.8" hidden="false" customHeight="false" outlineLevel="0" collapsed="false">
      <c r="A3425" s="0" t="s">
        <v>11541</v>
      </c>
      <c r="D3425" s="0" t="s">
        <v>208</v>
      </c>
      <c r="E3425" s="0" t="s">
        <v>17</v>
      </c>
      <c r="F3425" s="0" t="s">
        <v>18</v>
      </c>
      <c r="G3425" s="0" t="n">
        <v>0</v>
      </c>
      <c r="J3425" s="0" t="s">
        <v>40</v>
      </c>
      <c r="K3425" s="0" t="str">
        <f aca="false">"4.8 %"</f>
        <v>4.8 %</v>
      </c>
      <c r="O3425" s="0" t="s">
        <v>11542</v>
      </c>
    </row>
    <row r="3426" customFormat="false" ht="13.8" hidden="false" customHeight="false" outlineLevel="0" collapsed="false">
      <c r="A3426" s="0" t="s">
        <v>11543</v>
      </c>
      <c r="D3426" s="0" t="s">
        <v>11544</v>
      </c>
      <c r="F3426" s="0" t="s">
        <v>11545</v>
      </c>
      <c r="G3426" s="0" t="n">
        <v>0</v>
      </c>
      <c r="J3426" s="0" t="s">
        <v>40</v>
      </c>
      <c r="K3426" s="0" t="str">
        <f aca="false">"2.9 %"</f>
        <v>2.9 %</v>
      </c>
      <c r="M3426" s="0" t="str">
        <f aca="false">"10 mA/cm^{2}"</f>
        <v>10 mA/cm^{2}</v>
      </c>
      <c r="O3426" s="0" t="s">
        <v>11546</v>
      </c>
    </row>
    <row r="3427" customFormat="false" ht="13.8" hidden="false" customHeight="false" outlineLevel="0" collapsed="false">
      <c r="A3427" s="0" t="s">
        <v>11547</v>
      </c>
      <c r="D3427" s="0" t="s">
        <v>201</v>
      </c>
      <c r="E3427" s="0" t="s">
        <v>202</v>
      </c>
      <c r="F3427" s="0" t="s">
        <v>422</v>
      </c>
      <c r="G3427" s="0" t="n">
        <v>0</v>
      </c>
      <c r="J3427" s="0" t="s">
        <v>40</v>
      </c>
      <c r="K3427" s="0" t="str">
        <f aca="false">"8.48 %"</f>
        <v>8.48 %</v>
      </c>
      <c r="O3427" s="0" t="s">
        <v>11548</v>
      </c>
    </row>
    <row r="3428" customFormat="false" ht="13.8" hidden="false" customHeight="false" outlineLevel="0" collapsed="false">
      <c r="A3428" s="0" t="s">
        <v>11549</v>
      </c>
      <c r="D3428" s="0" t="s">
        <v>11550</v>
      </c>
      <c r="F3428" s="0" t="s">
        <v>11551</v>
      </c>
      <c r="G3428" s="0" t="n">
        <v>0</v>
      </c>
      <c r="J3428" s="0" t="s">
        <v>40</v>
      </c>
      <c r="K3428" s="0" t="str">
        <f aca="false">"6.11 %"</f>
        <v>6.11 %</v>
      </c>
      <c r="O3428" s="0" t="s">
        <v>11552</v>
      </c>
    </row>
    <row r="3429" customFormat="false" ht="13.8" hidden="false" customHeight="false" outlineLevel="0" collapsed="false">
      <c r="A3429" s="0" t="s">
        <v>11553</v>
      </c>
      <c r="D3429" s="0" t="s">
        <v>1924</v>
      </c>
      <c r="E3429" s="0" t="s">
        <v>1925</v>
      </c>
      <c r="F3429" s="0" t="s">
        <v>1926</v>
      </c>
      <c r="G3429" s="0" t="n">
        <v>0</v>
      </c>
      <c r="J3429" s="0" t="s">
        <v>40</v>
      </c>
      <c r="K3429" s="0" t="str">
        <f aca="false">"12.37 %"</f>
        <v>12.37 %</v>
      </c>
      <c r="O3429" s="0" t="s">
        <v>11554</v>
      </c>
    </row>
    <row r="3430" customFormat="false" ht="13.8" hidden="false" customHeight="false" outlineLevel="0" collapsed="false">
      <c r="A3430" s="0" t="s">
        <v>11555</v>
      </c>
      <c r="D3430" s="0" t="s">
        <v>9423</v>
      </c>
      <c r="E3430" s="0" t="s">
        <v>9424</v>
      </c>
      <c r="F3430" s="0" t="s">
        <v>9425</v>
      </c>
      <c r="G3430" s="0" t="n">
        <v>0</v>
      </c>
      <c r="J3430" s="0" t="s">
        <v>40</v>
      </c>
      <c r="K3430" s="0" t="str">
        <f aca="false">"5.88 %"</f>
        <v>5.88 %</v>
      </c>
      <c r="O3430" s="0" t="s">
        <v>11556</v>
      </c>
    </row>
    <row r="3431" customFormat="false" ht="13.8" hidden="false" customHeight="false" outlineLevel="0" collapsed="false">
      <c r="A3431" s="0" t="s">
        <v>11557</v>
      </c>
      <c r="D3431" s="0" t="s">
        <v>11558</v>
      </c>
      <c r="F3431" s="0" t="s">
        <v>11559</v>
      </c>
      <c r="G3431" s="0" t="n">
        <v>0</v>
      </c>
      <c r="J3431" s="0" t="s">
        <v>40</v>
      </c>
      <c r="K3431" s="0" t="str">
        <f aca="false">"3.14 %"</f>
        <v>3.14 %</v>
      </c>
      <c r="O3431" s="0" t="s">
        <v>11560</v>
      </c>
    </row>
    <row r="3432" customFormat="false" ht="13.8" hidden="false" customHeight="false" outlineLevel="0" collapsed="false">
      <c r="A3432" s="0" t="s">
        <v>11561</v>
      </c>
      <c r="F3432" s="0" t="s">
        <v>40</v>
      </c>
      <c r="G3432" s="0" t="n">
        <v>0</v>
      </c>
      <c r="H3432" s="0" t="s">
        <v>1956</v>
      </c>
      <c r="I3432" s="0" t="s">
        <v>1957</v>
      </c>
      <c r="J3432" s="0" t="s">
        <v>1958</v>
      </c>
      <c r="K3432" s="0" t="str">
        <f aca="false">"7.9 %"</f>
        <v>7.9 %</v>
      </c>
      <c r="O3432" s="0" t="s">
        <v>11562</v>
      </c>
    </row>
    <row r="3433" customFormat="false" ht="13.8" hidden="false" customHeight="false" outlineLevel="0" collapsed="false">
      <c r="A3433" s="0" t="s">
        <v>11563</v>
      </c>
      <c r="D3433" s="0" t="s">
        <v>11564</v>
      </c>
      <c r="F3433" s="0" t="s">
        <v>11565</v>
      </c>
      <c r="G3433" s="0" t="n">
        <v>0</v>
      </c>
      <c r="J3433" s="0" t="s">
        <v>40</v>
      </c>
      <c r="K3433" s="0" t="str">
        <f aca="false">"6.1 %"</f>
        <v>6.1 %</v>
      </c>
      <c r="O3433" s="0" t="s">
        <v>11566</v>
      </c>
    </row>
    <row r="3434" customFormat="false" ht="13.8" hidden="false" customHeight="false" outlineLevel="0" collapsed="false">
      <c r="A3434" s="0" t="s">
        <v>11563</v>
      </c>
      <c r="D3434" s="0" t="s">
        <v>599</v>
      </c>
      <c r="E3434" s="0" t="s">
        <v>600</v>
      </c>
      <c r="F3434" s="0" t="s">
        <v>601</v>
      </c>
      <c r="G3434" s="0" t="n">
        <v>0</v>
      </c>
      <c r="J3434" s="0" t="s">
        <v>40</v>
      </c>
      <c r="K3434" s="0" t="str">
        <f aca="false">"4.24 %"</f>
        <v>4.24 %</v>
      </c>
      <c r="O3434" s="0" t="s">
        <v>11567</v>
      </c>
    </row>
    <row r="3435" customFormat="false" ht="13.8" hidden="false" customHeight="false" outlineLevel="0" collapsed="false">
      <c r="A3435" s="0" t="s">
        <v>11568</v>
      </c>
      <c r="D3435" s="0" t="s">
        <v>11569</v>
      </c>
      <c r="F3435" s="0" t="s">
        <v>11570</v>
      </c>
      <c r="G3435" s="0" t="n">
        <v>0</v>
      </c>
      <c r="J3435" s="0" t="s">
        <v>40</v>
      </c>
      <c r="K3435" s="0" t="str">
        <f aca="false">"8.20 %"</f>
        <v>8.20 %</v>
      </c>
      <c r="O3435" s="0" t="s">
        <v>11571</v>
      </c>
    </row>
    <row r="3436" customFormat="false" ht="13.8" hidden="false" customHeight="false" outlineLevel="0" collapsed="false">
      <c r="A3436" s="0" t="s">
        <v>11568</v>
      </c>
      <c r="D3436" s="0" t="s">
        <v>11572</v>
      </c>
      <c r="F3436" s="0" t="s">
        <v>11573</v>
      </c>
      <c r="G3436" s="0" t="n">
        <v>0</v>
      </c>
      <c r="J3436" s="0" t="s">
        <v>40</v>
      </c>
      <c r="K3436" s="0" t="str">
        <f aca="false">"6.41 %"</f>
        <v>6.41 %</v>
      </c>
      <c r="O3436" s="0" t="s">
        <v>11574</v>
      </c>
    </row>
    <row r="3437" customFormat="false" ht="13.8" hidden="false" customHeight="false" outlineLevel="0" collapsed="false">
      <c r="A3437" s="0" t="s">
        <v>11575</v>
      </c>
      <c r="D3437" s="0" t="s">
        <v>1924</v>
      </c>
      <c r="E3437" s="0" t="s">
        <v>1925</v>
      </c>
      <c r="F3437" s="0" t="s">
        <v>1926</v>
      </c>
      <c r="G3437" s="0" t="n">
        <v>0</v>
      </c>
      <c r="J3437" s="0" t="s">
        <v>40</v>
      </c>
      <c r="K3437" s="0" t="str">
        <f aca="false">"6.32 %"</f>
        <v>6.32 %</v>
      </c>
      <c r="O3437" s="0" t="s">
        <v>11576</v>
      </c>
    </row>
    <row r="3438" customFormat="false" ht="13.8" hidden="false" customHeight="false" outlineLevel="0" collapsed="false">
      <c r="A3438" s="0" t="s">
        <v>11577</v>
      </c>
      <c r="D3438" s="0" t="s">
        <v>6253</v>
      </c>
      <c r="E3438" s="0" t="s">
        <v>1169</v>
      </c>
      <c r="F3438" s="0" t="s">
        <v>6254</v>
      </c>
      <c r="G3438" s="0" t="n">
        <v>0</v>
      </c>
      <c r="J3438" s="0" t="s">
        <v>40</v>
      </c>
      <c r="K3438" s="0" t="str">
        <f aca="false">"10.1 %"</f>
        <v>10.1 %</v>
      </c>
      <c r="O3438" s="0" t="s">
        <v>11578</v>
      </c>
    </row>
    <row r="3439" customFormat="false" ht="13.8" hidden="false" customHeight="false" outlineLevel="0" collapsed="false">
      <c r="A3439" s="0" t="s">
        <v>11579</v>
      </c>
      <c r="D3439" s="0" t="s">
        <v>9423</v>
      </c>
      <c r="E3439" s="0" t="s">
        <v>9424</v>
      </c>
      <c r="F3439" s="0" t="s">
        <v>11580</v>
      </c>
      <c r="G3439" s="0" t="n">
        <v>0</v>
      </c>
      <c r="J3439" s="0" t="s">
        <v>40</v>
      </c>
      <c r="K3439" s="0" t="str">
        <f aca="false">"7.1 %"</f>
        <v>7.1 %</v>
      </c>
      <c r="O3439" s="0" t="s">
        <v>11581</v>
      </c>
    </row>
    <row r="3440" customFormat="false" ht="13.8" hidden="false" customHeight="false" outlineLevel="0" collapsed="false">
      <c r="A3440" s="0" t="s">
        <v>11582</v>
      </c>
      <c r="D3440" s="0" t="s">
        <v>11583</v>
      </c>
      <c r="F3440" s="0" t="s">
        <v>11584</v>
      </c>
      <c r="G3440" s="0" t="n">
        <v>0</v>
      </c>
      <c r="J3440" s="0" t="s">
        <v>40</v>
      </c>
      <c r="K3440" s="0" t="str">
        <f aca="false">"15.3 %"</f>
        <v>15.3 %</v>
      </c>
      <c r="L3440" s="0" t="str">
        <f aca="false">"638 mV"</f>
        <v>638 mV</v>
      </c>
      <c r="O3440" s="0" t="s">
        <v>11585</v>
      </c>
    </row>
    <row r="3441" customFormat="false" ht="13.8" hidden="false" customHeight="false" outlineLevel="0" collapsed="false">
      <c r="A3441" s="0" t="s">
        <v>11586</v>
      </c>
      <c r="D3441" s="0" t="s">
        <v>1154</v>
      </c>
      <c r="F3441" s="0" t="s">
        <v>10074</v>
      </c>
      <c r="G3441" s="0" t="n">
        <v>0</v>
      </c>
      <c r="J3441" s="0" t="s">
        <v>40</v>
      </c>
      <c r="K3441" s="0" t="str">
        <f aca="false">"11.35 %"</f>
        <v>11.35 %</v>
      </c>
      <c r="O3441" s="0" t="s">
        <v>11587</v>
      </c>
    </row>
    <row r="3442" customFormat="false" ht="13.8" hidden="false" customHeight="false" outlineLevel="0" collapsed="false">
      <c r="A3442" s="0" t="s">
        <v>11588</v>
      </c>
      <c r="D3442" s="0" t="s">
        <v>8063</v>
      </c>
      <c r="F3442" s="0" t="s">
        <v>11589</v>
      </c>
      <c r="G3442" s="0" t="n">
        <v>0</v>
      </c>
      <c r="J3442" s="0" t="s">
        <v>40</v>
      </c>
      <c r="K3442" s="0" t="str">
        <f aca="false">"7.53 %"</f>
        <v>7.53 %</v>
      </c>
      <c r="O3442" s="0" t="s">
        <v>11590</v>
      </c>
    </row>
    <row r="3443" customFormat="false" ht="13.8" hidden="false" customHeight="false" outlineLevel="0" collapsed="false">
      <c r="A3443" s="0" t="s">
        <v>11591</v>
      </c>
      <c r="D3443" s="0" t="s">
        <v>11592</v>
      </c>
      <c r="F3443" s="0" t="s">
        <v>11593</v>
      </c>
      <c r="G3443" s="0" t="n">
        <v>0</v>
      </c>
      <c r="J3443" s="0" t="s">
        <v>40</v>
      </c>
      <c r="K3443" s="0" t="str">
        <f aca="false">"10.5 %"</f>
        <v>10.5 %</v>
      </c>
      <c r="O3443" s="0" t="s">
        <v>11594</v>
      </c>
    </row>
    <row r="3444" customFormat="false" ht="13.8" hidden="false" customHeight="false" outlineLevel="0" collapsed="false">
      <c r="A3444" s="0" t="s">
        <v>11595</v>
      </c>
      <c r="D3444" s="0" t="s">
        <v>599</v>
      </c>
      <c r="E3444" s="0" t="s">
        <v>600</v>
      </c>
      <c r="F3444" s="0" t="s">
        <v>601</v>
      </c>
      <c r="G3444" s="0" t="n">
        <v>0</v>
      </c>
      <c r="J3444" s="0" t="s">
        <v>40</v>
      </c>
      <c r="K3444" s="0" t="str">
        <f aca="false">"12.22 %"</f>
        <v>12.22 %</v>
      </c>
      <c r="O3444" s="0" t="s">
        <v>11596</v>
      </c>
    </row>
    <row r="3445" customFormat="false" ht="13.8" hidden="false" customHeight="false" outlineLevel="0" collapsed="false">
      <c r="A3445" s="0" t="s">
        <v>11595</v>
      </c>
      <c r="D3445" s="0" t="s">
        <v>1116</v>
      </c>
      <c r="E3445" s="0" t="s">
        <v>1117</v>
      </c>
      <c r="F3445" s="0" t="s">
        <v>1118</v>
      </c>
      <c r="G3445" s="0" t="n">
        <v>0</v>
      </c>
      <c r="J3445" s="0" t="s">
        <v>40</v>
      </c>
      <c r="K3445" s="0" t="str">
        <f aca="false">"16.28 %"</f>
        <v>16.28 %</v>
      </c>
      <c r="O3445" s="0" t="s">
        <v>11597</v>
      </c>
    </row>
    <row r="3446" customFormat="false" ht="13.8" hidden="false" customHeight="false" outlineLevel="0" collapsed="false">
      <c r="A3446" s="0" t="s">
        <v>11598</v>
      </c>
      <c r="D3446" s="0" t="s">
        <v>11599</v>
      </c>
      <c r="F3446" s="0" t="s">
        <v>11600</v>
      </c>
      <c r="G3446" s="0" t="n">
        <v>0</v>
      </c>
      <c r="J3446" s="0" t="s">
        <v>40</v>
      </c>
      <c r="K3446" s="0" t="str">
        <f aca="false">"7.5 %"</f>
        <v>7.5 %</v>
      </c>
      <c r="O3446" s="0" t="s">
        <v>11601</v>
      </c>
    </row>
    <row r="3447" customFormat="false" ht="13.8" hidden="false" customHeight="false" outlineLevel="0" collapsed="false">
      <c r="A3447" s="0" t="s">
        <v>11602</v>
      </c>
      <c r="D3447" s="0" t="s">
        <v>607</v>
      </c>
      <c r="E3447" s="0" t="s">
        <v>608</v>
      </c>
      <c r="F3447" s="0" t="s">
        <v>9714</v>
      </c>
      <c r="G3447" s="0" t="n">
        <v>0</v>
      </c>
      <c r="J3447" s="0" t="s">
        <v>40</v>
      </c>
      <c r="K3447" s="0" t="str">
        <f aca="false">"7.78 %"</f>
        <v>7.78 %</v>
      </c>
      <c r="O3447" s="0" t="s">
        <v>11603</v>
      </c>
    </row>
    <row r="3448" customFormat="false" ht="13.8" hidden="false" customHeight="false" outlineLevel="0" collapsed="false">
      <c r="A3448" s="0" t="s">
        <v>11604</v>
      </c>
      <c r="D3448" s="0" t="s">
        <v>11605</v>
      </c>
      <c r="F3448" s="0" t="s">
        <v>11606</v>
      </c>
      <c r="G3448" s="0" t="n">
        <v>0</v>
      </c>
      <c r="J3448" s="0" t="s">
        <v>40</v>
      </c>
      <c r="K3448" s="0" t="str">
        <f aca="false">"1.91 %"</f>
        <v>1.91 %</v>
      </c>
      <c r="O3448" s="0" t="s">
        <v>11607</v>
      </c>
    </row>
    <row r="3449" customFormat="false" ht="13.8" hidden="false" customHeight="false" outlineLevel="0" collapsed="false">
      <c r="A3449" s="0" t="s">
        <v>11608</v>
      </c>
      <c r="D3449" s="0" t="s">
        <v>11609</v>
      </c>
      <c r="F3449" s="0" t="s">
        <v>11610</v>
      </c>
      <c r="G3449" s="0" t="n">
        <v>0</v>
      </c>
      <c r="J3449" s="0" t="s">
        <v>40</v>
      </c>
      <c r="K3449" s="0" t="str">
        <f aca="false">"2.2 %"</f>
        <v>2.2 %</v>
      </c>
      <c r="O3449" s="0" t="s">
        <v>11611</v>
      </c>
    </row>
    <row r="3450" customFormat="false" ht="13.8" hidden="false" customHeight="false" outlineLevel="0" collapsed="false">
      <c r="A3450" s="0" t="s">
        <v>11612</v>
      </c>
      <c r="F3450" s="0" t="s">
        <v>40</v>
      </c>
      <c r="G3450" s="0" t="n">
        <v>1</v>
      </c>
      <c r="H3450" s="0" t="s">
        <v>152</v>
      </c>
      <c r="J3450" s="0" t="s">
        <v>153</v>
      </c>
      <c r="K3450" s="0" t="str">
        <f aca="false">"1.19 %"</f>
        <v>1.19 %</v>
      </c>
      <c r="O3450" s="0" t="s">
        <v>11613</v>
      </c>
    </row>
    <row r="3451" customFormat="false" ht="13.8" hidden="false" customHeight="false" outlineLevel="0" collapsed="false">
      <c r="A3451" s="0" t="s">
        <v>11614</v>
      </c>
      <c r="D3451" s="0" t="s">
        <v>1924</v>
      </c>
      <c r="E3451" s="0" t="s">
        <v>1925</v>
      </c>
      <c r="F3451" s="0" t="s">
        <v>1926</v>
      </c>
      <c r="G3451" s="0" t="n">
        <v>0</v>
      </c>
      <c r="J3451" s="0" t="s">
        <v>40</v>
      </c>
      <c r="K3451" s="0" t="str">
        <f aca="false">"7.4 %"</f>
        <v>7.4 %</v>
      </c>
      <c r="O3451" s="0" t="s">
        <v>11615</v>
      </c>
    </row>
    <row r="3452" customFormat="false" ht="13.8" hidden="false" customHeight="false" outlineLevel="0" collapsed="false">
      <c r="A3452" s="0" t="s">
        <v>11616</v>
      </c>
      <c r="F3452" s="0" t="s">
        <v>40</v>
      </c>
      <c r="G3452" s="0" t="n">
        <v>1</v>
      </c>
      <c r="H3452" s="0" t="s">
        <v>27</v>
      </c>
      <c r="J3452" s="0" t="s">
        <v>40</v>
      </c>
      <c r="K3452" s="0" t="str">
        <f aca="false">"3.9 %"</f>
        <v>3.9 %</v>
      </c>
      <c r="O3452" s="0" t="s">
        <v>11617</v>
      </c>
    </row>
    <row r="3453" customFormat="false" ht="13.8" hidden="false" customHeight="false" outlineLevel="0" collapsed="false">
      <c r="A3453" s="0" t="s">
        <v>11618</v>
      </c>
      <c r="D3453" s="0" t="s">
        <v>5215</v>
      </c>
      <c r="E3453" s="0" t="s">
        <v>5216</v>
      </c>
      <c r="F3453" s="0" t="s">
        <v>5217</v>
      </c>
      <c r="G3453" s="0" t="n">
        <v>0</v>
      </c>
      <c r="J3453" s="0" t="s">
        <v>40</v>
      </c>
      <c r="K3453" s="0" t="str">
        <f aca="false">"0.84 %"</f>
        <v>0.84 %</v>
      </c>
      <c r="O3453" s="0" t="s">
        <v>11619</v>
      </c>
    </row>
    <row r="3454" customFormat="false" ht="13.8" hidden="false" customHeight="false" outlineLevel="0" collapsed="false">
      <c r="A3454" s="0" t="s">
        <v>11620</v>
      </c>
      <c r="F3454" s="0" t="s">
        <v>40</v>
      </c>
      <c r="G3454" s="0" t="n">
        <v>1</v>
      </c>
      <c r="H3454" s="0" t="s">
        <v>33</v>
      </c>
      <c r="J3454" s="0" t="s">
        <v>40</v>
      </c>
      <c r="K3454" s="0" t="str">
        <f aca="false">"1.171 %"</f>
        <v>1.171 %</v>
      </c>
      <c r="O3454" s="0" t="s">
        <v>11621</v>
      </c>
    </row>
    <row r="3455" customFormat="false" ht="13.8" hidden="false" customHeight="false" outlineLevel="0" collapsed="false">
      <c r="A3455" s="0" t="s">
        <v>11620</v>
      </c>
      <c r="D3455" s="0" t="s">
        <v>208</v>
      </c>
      <c r="E3455" s="0" t="s">
        <v>17</v>
      </c>
      <c r="F3455" s="0" t="s">
        <v>18</v>
      </c>
      <c r="G3455" s="0" t="n">
        <v>1</v>
      </c>
      <c r="H3455" s="0" t="s">
        <v>33</v>
      </c>
      <c r="J3455" s="0" t="s">
        <v>40</v>
      </c>
      <c r="K3455" s="0" t="str">
        <f aca="false">"2.684 %"</f>
        <v>2.684 %</v>
      </c>
      <c r="O3455" s="0" t="s">
        <v>11622</v>
      </c>
    </row>
    <row r="3456" customFormat="false" ht="13.8" hidden="false" customHeight="false" outlineLevel="0" collapsed="false">
      <c r="A3456" s="0" t="s">
        <v>11623</v>
      </c>
      <c r="D3456" s="0" t="s">
        <v>5215</v>
      </c>
      <c r="E3456" s="0" t="s">
        <v>5216</v>
      </c>
      <c r="F3456" s="0" t="s">
        <v>11624</v>
      </c>
      <c r="G3456" s="0" t="n">
        <v>0</v>
      </c>
      <c r="J3456" s="0" t="s">
        <v>40</v>
      </c>
      <c r="K3456" s="0" t="str">
        <f aca="false">"4.2 %"</f>
        <v>4.2 %</v>
      </c>
      <c r="O3456" s="0" t="s">
        <v>11625</v>
      </c>
    </row>
    <row r="3457" customFormat="false" ht="13.8" hidden="false" customHeight="false" outlineLevel="0" collapsed="false">
      <c r="A3457" s="0" t="s">
        <v>11626</v>
      </c>
      <c r="D3457" s="0" t="s">
        <v>1168</v>
      </c>
      <c r="E3457" s="0" t="s">
        <v>1169</v>
      </c>
      <c r="F3457" s="0" t="s">
        <v>1170</v>
      </c>
      <c r="G3457" s="0" t="n">
        <v>0</v>
      </c>
      <c r="J3457" s="0" t="s">
        <v>40</v>
      </c>
      <c r="K3457" s="0" t="str">
        <f aca="false">"9.48 %"</f>
        <v>9.48 %</v>
      </c>
      <c r="O3457" s="0" t="s">
        <v>11627</v>
      </c>
    </row>
    <row r="3458" customFormat="false" ht="13.8" hidden="false" customHeight="false" outlineLevel="0" collapsed="false">
      <c r="A3458" s="0" t="s">
        <v>11626</v>
      </c>
      <c r="D3458" s="0" t="s">
        <v>1924</v>
      </c>
      <c r="E3458" s="0" t="s">
        <v>1925</v>
      </c>
      <c r="F3458" s="0" t="s">
        <v>1926</v>
      </c>
      <c r="G3458" s="0" t="n">
        <v>0</v>
      </c>
      <c r="J3458" s="0" t="s">
        <v>40</v>
      </c>
      <c r="K3458" s="0" t="str">
        <f aca="false">"3.76 %"</f>
        <v>3.76 %</v>
      </c>
      <c r="O3458" s="0" t="s">
        <v>11628</v>
      </c>
    </row>
    <row r="3459" customFormat="false" ht="13.8" hidden="false" customHeight="false" outlineLevel="0" collapsed="false">
      <c r="A3459" s="0" t="s">
        <v>11629</v>
      </c>
      <c r="D3459" s="0" t="s">
        <v>11630</v>
      </c>
      <c r="F3459" s="0" t="s">
        <v>11631</v>
      </c>
      <c r="G3459" s="0" t="n">
        <v>0</v>
      </c>
      <c r="J3459" s="0" t="s">
        <v>40</v>
      </c>
      <c r="K3459" s="0" t="str">
        <f aca="false">"8.43 %"</f>
        <v>8.43 %</v>
      </c>
      <c r="O3459" s="0" t="s">
        <v>11632</v>
      </c>
    </row>
    <row r="3460" customFormat="false" ht="13.8" hidden="false" customHeight="false" outlineLevel="0" collapsed="false">
      <c r="A3460" s="0" t="s">
        <v>11629</v>
      </c>
      <c r="D3460" s="0" t="s">
        <v>11633</v>
      </c>
      <c r="F3460" s="0" t="s">
        <v>11634</v>
      </c>
      <c r="G3460" s="0" t="n">
        <v>0</v>
      </c>
      <c r="J3460" s="0" t="s">
        <v>40</v>
      </c>
      <c r="K3460" s="0" t="str">
        <f aca="false">"&lt; 1 %"</f>
        <v>&lt; 1 %</v>
      </c>
      <c r="O3460" s="0" t="s">
        <v>11635</v>
      </c>
    </row>
    <row r="3461" customFormat="false" ht="13.8" hidden="false" customHeight="false" outlineLevel="0" collapsed="false">
      <c r="A3461" s="0" t="s">
        <v>11636</v>
      </c>
      <c r="D3461" s="0" t="s">
        <v>11637</v>
      </c>
      <c r="F3461" s="0" t="s">
        <v>11638</v>
      </c>
      <c r="G3461" s="0" t="n">
        <v>0</v>
      </c>
      <c r="J3461" s="0" t="s">
        <v>40</v>
      </c>
      <c r="K3461" s="0" t="str">
        <f aca="false">"0.38 %"</f>
        <v>0.38 %</v>
      </c>
      <c r="L3461" s="0" t="str">
        <f aca="false">"0.84 V"</f>
        <v>0.84 V</v>
      </c>
      <c r="M3461" s="0" t="str">
        <f aca="false">"0.52 mA/cm^{2}"</f>
        <v>0.52 mA/cm^{2}</v>
      </c>
      <c r="O3461" s="0" t="s">
        <v>11639</v>
      </c>
    </row>
    <row r="3462" customFormat="false" ht="13.8" hidden="false" customHeight="false" outlineLevel="0" collapsed="false">
      <c r="A3462" s="0" t="s">
        <v>11640</v>
      </c>
      <c r="D3462" s="0" t="s">
        <v>208</v>
      </c>
      <c r="E3462" s="0" t="s">
        <v>17</v>
      </c>
      <c r="F3462" s="0" t="s">
        <v>209</v>
      </c>
      <c r="G3462" s="0" t="n">
        <v>0</v>
      </c>
      <c r="J3462" s="0" t="s">
        <v>40</v>
      </c>
      <c r="K3462" s="0" t="str">
        <f aca="false">"0.44 %"</f>
        <v>0.44 %</v>
      </c>
      <c r="O3462" s="0" t="s">
        <v>11641</v>
      </c>
    </row>
    <row r="3463" customFormat="false" ht="13.8" hidden="false" customHeight="false" outlineLevel="0" collapsed="false">
      <c r="A3463" s="0" t="s">
        <v>11642</v>
      </c>
      <c r="D3463" s="0" t="s">
        <v>208</v>
      </c>
      <c r="E3463" s="0" t="s">
        <v>17</v>
      </c>
      <c r="F3463" s="0" t="s">
        <v>18</v>
      </c>
      <c r="G3463" s="0" t="n">
        <v>0</v>
      </c>
      <c r="J3463" s="0" t="s">
        <v>40</v>
      </c>
      <c r="K3463" s="0" t="str">
        <f aca="false">"0.51 %"</f>
        <v>0.51 %</v>
      </c>
      <c r="O3463" s="0" t="s">
        <v>11643</v>
      </c>
    </row>
    <row r="3464" customFormat="false" ht="13.8" hidden="false" customHeight="false" outlineLevel="0" collapsed="false">
      <c r="A3464" s="0" t="s">
        <v>11644</v>
      </c>
      <c r="D3464" s="0" t="s">
        <v>510</v>
      </c>
      <c r="E3464" s="0" t="s">
        <v>511</v>
      </c>
      <c r="F3464" s="0" t="s">
        <v>11645</v>
      </c>
      <c r="G3464" s="0" t="n">
        <v>0</v>
      </c>
      <c r="J3464" s="0" t="s">
        <v>40</v>
      </c>
      <c r="K3464" s="0" t="str">
        <f aca="false">"2.0 %"</f>
        <v>2.0 %</v>
      </c>
      <c r="O3464" s="0" t="s">
        <v>11646</v>
      </c>
    </row>
    <row r="3465" customFormat="false" ht="13.8" hidden="false" customHeight="false" outlineLevel="0" collapsed="false">
      <c r="A3465" s="0" t="s">
        <v>11647</v>
      </c>
      <c r="F3465" s="0" t="s">
        <v>40</v>
      </c>
      <c r="G3465" s="0" t="n">
        <v>1</v>
      </c>
      <c r="H3465" s="0" t="s">
        <v>33</v>
      </c>
      <c r="J3465" s="0" t="s">
        <v>34</v>
      </c>
      <c r="K3465" s="0" t="str">
        <f aca="false">"3.5 %"</f>
        <v>3.5 %</v>
      </c>
      <c r="L3465" s="0" t="str">
        <f aca="false">"0.72 V"</f>
        <v>0.72 V</v>
      </c>
      <c r="M3465" s="0" t="str">
        <f aca="false">"9.0 mA cm^{-2}"</f>
        <v>9.0 mA cm^{-2}</v>
      </c>
      <c r="N3465" s="0" t="str">
        <f aca="false">"53.6 %"</f>
        <v>53.6 %</v>
      </c>
      <c r="O3465" s="0" t="s">
        <v>11648</v>
      </c>
    </row>
    <row r="3466" customFormat="false" ht="13.8" hidden="false" customHeight="false" outlineLevel="0" collapsed="false">
      <c r="A3466" s="0" t="s">
        <v>11649</v>
      </c>
      <c r="D3466" s="0" t="s">
        <v>11650</v>
      </c>
      <c r="F3466" s="0" t="s">
        <v>11651</v>
      </c>
      <c r="G3466" s="0" t="n">
        <v>0</v>
      </c>
      <c r="J3466" s="0" t="s">
        <v>40</v>
      </c>
      <c r="K3466" s="0" t="str">
        <f aca="false">"~8.4 %"</f>
        <v>~8.4 %</v>
      </c>
      <c r="O3466" s="0" t="s">
        <v>11652</v>
      </c>
    </row>
    <row r="3467" customFormat="false" ht="13.8" hidden="false" customHeight="false" outlineLevel="0" collapsed="false">
      <c r="A3467" s="0" t="s">
        <v>11653</v>
      </c>
      <c r="D3467" s="0" t="s">
        <v>1924</v>
      </c>
      <c r="E3467" s="0" t="s">
        <v>1925</v>
      </c>
      <c r="F3467" s="0" t="s">
        <v>1926</v>
      </c>
      <c r="G3467" s="0" t="n">
        <v>0</v>
      </c>
      <c r="J3467" s="0" t="s">
        <v>40</v>
      </c>
      <c r="K3467" s="0" t="str">
        <f aca="false">"11.2 %"</f>
        <v>11.2 %</v>
      </c>
      <c r="O3467" s="0" t="s">
        <v>11654</v>
      </c>
    </row>
    <row r="3468" customFormat="false" ht="13.8" hidden="false" customHeight="false" outlineLevel="0" collapsed="false">
      <c r="A3468" s="0" t="s">
        <v>11655</v>
      </c>
      <c r="D3468" s="0" t="s">
        <v>11656</v>
      </c>
      <c r="F3468" s="0" t="s">
        <v>11657</v>
      </c>
      <c r="G3468" s="0" t="n">
        <v>0</v>
      </c>
      <c r="J3468" s="0" t="s">
        <v>40</v>
      </c>
      <c r="K3468" s="0" t="str">
        <f aca="false">"1.77 %"</f>
        <v>1.77 %</v>
      </c>
      <c r="O3468" s="0" t="s">
        <v>11658</v>
      </c>
    </row>
    <row r="3469" customFormat="false" ht="13.8" hidden="false" customHeight="false" outlineLevel="0" collapsed="false">
      <c r="A3469" s="0" t="s">
        <v>11659</v>
      </c>
      <c r="D3469" s="0" t="s">
        <v>11660</v>
      </c>
      <c r="F3469" s="0" t="s">
        <v>11661</v>
      </c>
      <c r="G3469" s="0" t="n">
        <v>0</v>
      </c>
      <c r="J3469" s="0" t="s">
        <v>40</v>
      </c>
      <c r="K3469" s="0" t="str">
        <f aca="false">"2.8 %"</f>
        <v>2.8 %</v>
      </c>
      <c r="O3469" s="0" t="s">
        <v>11662</v>
      </c>
    </row>
    <row r="3470" customFormat="false" ht="13.8" hidden="false" customHeight="false" outlineLevel="0" collapsed="false">
      <c r="A3470" s="0" t="s">
        <v>11663</v>
      </c>
      <c r="D3470" s="0" t="s">
        <v>16</v>
      </c>
      <c r="E3470" s="0" t="s">
        <v>17</v>
      </c>
      <c r="F3470" s="0" t="s">
        <v>116</v>
      </c>
      <c r="G3470" s="0" t="n">
        <v>0</v>
      </c>
      <c r="J3470" s="0" t="s">
        <v>40</v>
      </c>
      <c r="K3470" s="0" t="str">
        <f aca="false">"10.82 %"</f>
        <v>10.82 %</v>
      </c>
      <c r="O3470" s="0" t="s">
        <v>11664</v>
      </c>
    </row>
    <row r="3471" customFormat="false" ht="13.8" hidden="false" customHeight="false" outlineLevel="0" collapsed="false">
      <c r="A3471" s="0" t="s">
        <v>11665</v>
      </c>
      <c r="D3471" s="0" t="s">
        <v>11666</v>
      </c>
      <c r="F3471" s="0" t="s">
        <v>11667</v>
      </c>
      <c r="G3471" s="0" t="n">
        <v>0</v>
      </c>
      <c r="J3471" s="0" t="s">
        <v>40</v>
      </c>
      <c r="K3471" s="0" t="str">
        <f aca="false">"9.54 %"</f>
        <v>9.54 %</v>
      </c>
      <c r="O3471" s="0" t="s">
        <v>11668</v>
      </c>
    </row>
    <row r="3472" customFormat="false" ht="13.8" hidden="false" customHeight="false" outlineLevel="0" collapsed="false">
      <c r="A3472" s="0" t="s">
        <v>11665</v>
      </c>
      <c r="D3472" s="0" t="s">
        <v>11669</v>
      </c>
      <c r="F3472" s="0" t="s">
        <v>11670</v>
      </c>
      <c r="G3472" s="0" t="n">
        <v>0</v>
      </c>
      <c r="J3472" s="0" t="s">
        <v>40</v>
      </c>
      <c r="K3472" s="0" t="str">
        <f aca="false">"10.2 %"</f>
        <v>10.2 %</v>
      </c>
      <c r="O3472" s="0" t="s">
        <v>11671</v>
      </c>
    </row>
    <row r="3473" customFormat="false" ht="13.8" hidden="false" customHeight="false" outlineLevel="0" collapsed="false">
      <c r="A3473" s="0" t="s">
        <v>11672</v>
      </c>
      <c r="D3473" s="0" t="s">
        <v>11673</v>
      </c>
      <c r="F3473" s="0" t="s">
        <v>11674</v>
      </c>
      <c r="G3473" s="0" t="n">
        <v>0</v>
      </c>
      <c r="J3473" s="0" t="s">
        <v>40</v>
      </c>
      <c r="K3473" s="0" t="str">
        <f aca="false">"4.2 %"</f>
        <v>4.2 %</v>
      </c>
      <c r="O3473" s="0" t="s">
        <v>11675</v>
      </c>
    </row>
    <row r="3474" customFormat="false" ht="13.8" hidden="false" customHeight="false" outlineLevel="0" collapsed="false">
      <c r="A3474" s="0" t="s">
        <v>11676</v>
      </c>
      <c r="F3474" s="0" t="s">
        <v>40</v>
      </c>
      <c r="G3474" s="0" t="n">
        <v>1</v>
      </c>
      <c r="H3474" s="0" t="s">
        <v>27</v>
      </c>
      <c r="J3474" s="0" t="s">
        <v>28</v>
      </c>
      <c r="K3474" s="0" t="str">
        <f aca="false">"6.3 %"</f>
        <v>6.3 %</v>
      </c>
      <c r="O3474" s="0" t="s">
        <v>11677</v>
      </c>
    </row>
    <row r="3475" customFormat="false" ht="13.8" hidden="false" customHeight="false" outlineLevel="0" collapsed="false">
      <c r="A3475" s="0" t="s">
        <v>11678</v>
      </c>
      <c r="D3475" s="0" t="s">
        <v>6253</v>
      </c>
      <c r="E3475" s="0" t="s">
        <v>1169</v>
      </c>
      <c r="F3475" s="0" t="s">
        <v>6254</v>
      </c>
      <c r="G3475" s="0" t="n">
        <v>0</v>
      </c>
      <c r="J3475" s="0" t="s">
        <v>40</v>
      </c>
      <c r="K3475" s="0" t="str">
        <f aca="false">"10.11 %"</f>
        <v>10.11 %</v>
      </c>
      <c r="O3475" s="0" t="s">
        <v>11679</v>
      </c>
    </row>
    <row r="3476" customFormat="false" ht="13.8" hidden="false" customHeight="false" outlineLevel="0" collapsed="false">
      <c r="A3476" s="0" t="s">
        <v>11678</v>
      </c>
      <c r="F3476" s="0" t="s">
        <v>40</v>
      </c>
      <c r="G3476" s="0" t="n">
        <v>0</v>
      </c>
      <c r="J3476" s="0" t="s">
        <v>40</v>
      </c>
      <c r="K3476" s="0" t="str">
        <f aca="false">"9.60 %"</f>
        <v>9.60 %</v>
      </c>
      <c r="O3476" s="0" t="s">
        <v>11680</v>
      </c>
    </row>
    <row r="3477" customFormat="false" ht="13.8" hidden="false" customHeight="false" outlineLevel="0" collapsed="false">
      <c r="A3477" s="0" t="s">
        <v>11681</v>
      </c>
      <c r="D3477" s="0" t="s">
        <v>11682</v>
      </c>
      <c r="E3477" s="0" t="s">
        <v>11683</v>
      </c>
      <c r="F3477" s="0" t="s">
        <v>11684</v>
      </c>
      <c r="G3477" s="0" t="n">
        <v>0</v>
      </c>
      <c r="J3477" s="0" t="s">
        <v>40</v>
      </c>
      <c r="K3477" s="0" t="str">
        <f aca="false">"4.98 %"</f>
        <v>4.98 %</v>
      </c>
      <c r="O3477" s="0" t="s">
        <v>11685</v>
      </c>
    </row>
    <row r="3478" customFormat="false" ht="13.8" hidden="false" customHeight="false" outlineLevel="0" collapsed="false">
      <c r="A3478" s="0" t="s">
        <v>11686</v>
      </c>
      <c r="D3478" s="0" t="s">
        <v>1154</v>
      </c>
      <c r="F3478" s="0" t="s">
        <v>7364</v>
      </c>
      <c r="G3478" s="0" t="n">
        <v>0</v>
      </c>
      <c r="J3478" s="0" t="s">
        <v>40</v>
      </c>
      <c r="K3478" s="0" t="str">
        <f aca="false">"11.21 %"</f>
        <v>11.21 %</v>
      </c>
      <c r="O3478" s="0" t="s">
        <v>11687</v>
      </c>
    </row>
    <row r="3479" customFormat="false" ht="13.8" hidden="false" customHeight="false" outlineLevel="0" collapsed="false">
      <c r="A3479" s="0" t="s">
        <v>11688</v>
      </c>
      <c r="D3479" s="0" t="s">
        <v>85</v>
      </c>
      <c r="E3479" s="0" t="s">
        <v>86</v>
      </c>
      <c r="F3479" s="0" t="s">
        <v>87</v>
      </c>
      <c r="G3479" s="0" t="n">
        <v>0</v>
      </c>
      <c r="J3479" s="0" t="s">
        <v>40</v>
      </c>
      <c r="K3479" s="0" t="str">
        <f aca="false">"12 %"</f>
        <v>12 %</v>
      </c>
      <c r="N3479" s="0" t="str">
        <f aca="false">"70-77 %"</f>
        <v>70-77 %</v>
      </c>
      <c r="O3479" s="0" t="s">
        <v>11689</v>
      </c>
    </row>
    <row r="3480" customFormat="false" ht="13.8" hidden="false" customHeight="false" outlineLevel="0" collapsed="false">
      <c r="A3480" s="0" t="s">
        <v>11690</v>
      </c>
      <c r="D3480" s="0" t="s">
        <v>11691</v>
      </c>
      <c r="F3480" s="0" t="s">
        <v>11692</v>
      </c>
      <c r="G3480" s="0" t="n">
        <v>0</v>
      </c>
      <c r="J3480" s="0" t="s">
        <v>40</v>
      </c>
      <c r="K3480" s="0" t="str">
        <f aca="false">"1 %"</f>
        <v>1 %</v>
      </c>
      <c r="O3480" s="0" t="s">
        <v>11693</v>
      </c>
    </row>
    <row r="3481" customFormat="false" ht="13.8" hidden="false" customHeight="false" outlineLevel="0" collapsed="false">
      <c r="A3481" s="0" t="s">
        <v>11694</v>
      </c>
      <c r="D3481" s="0" t="s">
        <v>5667</v>
      </c>
      <c r="F3481" s="0" t="s">
        <v>8377</v>
      </c>
      <c r="G3481" s="0" t="n">
        <v>0</v>
      </c>
      <c r="J3481" s="0" t="s">
        <v>40</v>
      </c>
      <c r="K3481" s="0" t="str">
        <f aca="false">"11 %"</f>
        <v>11 %</v>
      </c>
      <c r="O3481" s="0" t="s">
        <v>11695</v>
      </c>
    </row>
    <row r="3482" customFormat="false" ht="13.8" hidden="false" customHeight="false" outlineLevel="0" collapsed="false">
      <c r="A3482" s="0" t="s">
        <v>11696</v>
      </c>
      <c r="D3482" s="0" t="s">
        <v>11697</v>
      </c>
      <c r="F3482" s="0" t="s">
        <v>11698</v>
      </c>
      <c r="G3482" s="0" t="n">
        <v>0</v>
      </c>
      <c r="J3482" s="0" t="s">
        <v>40</v>
      </c>
      <c r="K3482" s="0" t="str">
        <f aca="false">"4.1 %"</f>
        <v>4.1 %</v>
      </c>
      <c r="O3482" s="0" t="s">
        <v>11699</v>
      </c>
    </row>
    <row r="3483" customFormat="false" ht="13.8" hidden="false" customHeight="false" outlineLevel="0" collapsed="false">
      <c r="A3483" s="0" t="s">
        <v>11700</v>
      </c>
      <c r="F3483" s="0" t="s">
        <v>40</v>
      </c>
      <c r="G3483" s="0" t="n">
        <v>1</v>
      </c>
      <c r="H3483" s="0" t="s">
        <v>33</v>
      </c>
      <c r="J3483" s="0" t="s">
        <v>5828</v>
      </c>
      <c r="K3483" s="0" t="str">
        <f aca="false">"4-5 %"</f>
        <v>4-5 %</v>
      </c>
      <c r="O3483" s="0" t="s">
        <v>11701</v>
      </c>
    </row>
    <row r="3484" customFormat="false" ht="13.8" hidden="false" customHeight="false" outlineLevel="0" collapsed="false">
      <c r="A3484" s="0" t="s">
        <v>11702</v>
      </c>
      <c r="F3484" s="0" t="s">
        <v>40</v>
      </c>
      <c r="G3484" s="0" t="n">
        <v>1</v>
      </c>
      <c r="H3484" s="0" t="s">
        <v>27</v>
      </c>
      <c r="J3484" s="0" t="s">
        <v>4482</v>
      </c>
      <c r="K3484" s="0" t="str">
        <f aca="false">"8.85 %"</f>
        <v>8.85 %</v>
      </c>
      <c r="O3484" s="0" t="s">
        <v>11703</v>
      </c>
    </row>
    <row r="3485" customFormat="false" ht="13.8" hidden="false" customHeight="false" outlineLevel="0" collapsed="false">
      <c r="A3485" s="0" t="s">
        <v>11702</v>
      </c>
      <c r="D3485" s="0" t="s">
        <v>11704</v>
      </c>
      <c r="F3485" s="0" t="s">
        <v>11705</v>
      </c>
      <c r="G3485" s="0" t="n">
        <v>1</v>
      </c>
      <c r="H3485" s="0" t="s">
        <v>27</v>
      </c>
      <c r="J3485" s="0" t="s">
        <v>4482</v>
      </c>
      <c r="K3485" s="0" t="str">
        <f aca="false">"9.17 %"</f>
        <v>9.17 %</v>
      </c>
      <c r="O3485" s="0" t="s">
        <v>11706</v>
      </c>
    </row>
    <row r="3486" customFormat="false" ht="13.8" hidden="false" customHeight="false" outlineLevel="0" collapsed="false">
      <c r="A3486" s="0" t="s">
        <v>11707</v>
      </c>
      <c r="F3486" s="0" t="s">
        <v>40</v>
      </c>
      <c r="G3486" s="0" t="n">
        <v>1</v>
      </c>
      <c r="H3486" s="0" t="s">
        <v>27</v>
      </c>
      <c r="J3486" s="0" t="s">
        <v>28</v>
      </c>
      <c r="K3486" s="0" t="str">
        <f aca="false">"8.18 %"</f>
        <v>8.18 %</v>
      </c>
      <c r="O3486" s="0" t="s">
        <v>11708</v>
      </c>
    </row>
    <row r="3487" customFormat="false" ht="13.8" hidden="false" customHeight="false" outlineLevel="0" collapsed="false">
      <c r="A3487" s="0" t="s">
        <v>11709</v>
      </c>
      <c r="D3487" s="0" t="s">
        <v>11710</v>
      </c>
      <c r="F3487" s="0" t="s">
        <v>11711</v>
      </c>
      <c r="G3487" s="0" t="n">
        <v>0</v>
      </c>
      <c r="J3487" s="0" t="s">
        <v>40</v>
      </c>
      <c r="K3487" s="0" t="str">
        <f aca="false">"5.55 %"</f>
        <v>5.55 %</v>
      </c>
      <c r="O3487" s="0" t="s">
        <v>11712</v>
      </c>
    </row>
    <row r="3488" customFormat="false" ht="13.8" hidden="false" customHeight="false" outlineLevel="0" collapsed="false">
      <c r="A3488" s="0" t="s">
        <v>11713</v>
      </c>
      <c r="D3488" s="0" t="s">
        <v>11714</v>
      </c>
      <c r="F3488" s="0" t="s">
        <v>11715</v>
      </c>
      <c r="G3488" s="0" t="n">
        <v>0</v>
      </c>
      <c r="J3488" s="0" t="s">
        <v>40</v>
      </c>
      <c r="K3488" s="0" t="str">
        <f aca="false">"7.3 %"</f>
        <v>7.3 %</v>
      </c>
      <c r="O3488" s="0" t="s">
        <v>11716</v>
      </c>
    </row>
    <row r="3489" customFormat="false" ht="13.8" hidden="false" customHeight="false" outlineLevel="0" collapsed="false">
      <c r="A3489" s="0" t="s">
        <v>11717</v>
      </c>
      <c r="B3489" s="0" t="n">
        <v>1</v>
      </c>
      <c r="D3489" s="0" t="s">
        <v>599</v>
      </c>
      <c r="E3489" s="0" t="s">
        <v>600</v>
      </c>
      <c r="F3489" s="0" t="s">
        <v>601</v>
      </c>
      <c r="G3489" s="0" t="n">
        <v>0</v>
      </c>
      <c r="H3489" s="0" t="s">
        <v>7234</v>
      </c>
      <c r="I3489" s="0" t="s">
        <v>3880</v>
      </c>
      <c r="J3489" s="0" t="s">
        <v>7235</v>
      </c>
      <c r="K3489" s="0" t="str">
        <f aca="false">"11.02 %"</f>
        <v>11.02 %</v>
      </c>
      <c r="M3489" s="0" t="str">
        <f aca="false">"17.44 mA cm^{-2}"</f>
        <v>17.44 mA cm^{-2}</v>
      </c>
      <c r="O3489" s="0" t="s">
        <v>11718</v>
      </c>
    </row>
    <row r="3490" customFormat="false" ht="13.8" hidden="false" customHeight="false" outlineLevel="0" collapsed="false">
      <c r="A3490" s="0" t="s">
        <v>11717</v>
      </c>
      <c r="B3490" s="0" t="n">
        <v>1</v>
      </c>
      <c r="D3490" s="0" t="s">
        <v>599</v>
      </c>
      <c r="E3490" s="0" t="s">
        <v>600</v>
      </c>
      <c r="F3490" s="0" t="s">
        <v>601</v>
      </c>
      <c r="G3490" s="0" t="n">
        <v>0</v>
      </c>
      <c r="H3490" s="0" t="s">
        <v>11719</v>
      </c>
      <c r="I3490" s="0" t="s">
        <v>11720</v>
      </c>
      <c r="J3490" s="0" t="s">
        <v>11721</v>
      </c>
      <c r="K3490" s="0" t="str">
        <f aca="false">"10.51 %"</f>
        <v>10.51 %</v>
      </c>
      <c r="L3490" s="0" t="str">
        <f aca="false">"0.915 V"</f>
        <v>0.915 V</v>
      </c>
      <c r="N3490" s="0" t="str">
        <f aca="false">"76.5 %"</f>
        <v>76.5 %</v>
      </c>
    </row>
    <row r="3491" customFormat="false" ht="13.8" hidden="false" customHeight="false" outlineLevel="0" collapsed="false">
      <c r="A3491" s="0" t="s">
        <v>11722</v>
      </c>
      <c r="D3491" s="0" t="s">
        <v>1620</v>
      </c>
      <c r="E3491" s="0" t="s">
        <v>202</v>
      </c>
      <c r="F3491" s="0" t="s">
        <v>1621</v>
      </c>
      <c r="G3491" s="0" t="n">
        <v>0</v>
      </c>
      <c r="J3491" s="0" t="s">
        <v>40</v>
      </c>
      <c r="K3491" s="0" t="str">
        <f aca="false">"6.31 %"</f>
        <v>6.31 %</v>
      </c>
      <c r="O3491" s="0" t="s">
        <v>11723</v>
      </c>
    </row>
    <row r="3492" customFormat="false" ht="13.8" hidden="false" customHeight="false" outlineLevel="0" collapsed="false">
      <c r="A3492" s="0" t="s">
        <v>11724</v>
      </c>
      <c r="F3492" s="0" t="s">
        <v>40</v>
      </c>
      <c r="G3492" s="0" t="n">
        <v>1</v>
      </c>
      <c r="H3492" s="0" t="s">
        <v>27</v>
      </c>
      <c r="J3492" s="0" t="s">
        <v>11725</v>
      </c>
      <c r="K3492" s="0" t="str">
        <f aca="false">"10.08 %"</f>
        <v>10.08 %</v>
      </c>
      <c r="O3492" s="0" t="s">
        <v>11726</v>
      </c>
    </row>
    <row r="3493" customFormat="false" ht="13.8" hidden="false" customHeight="false" outlineLevel="0" collapsed="false">
      <c r="A3493" s="0" t="s">
        <v>11727</v>
      </c>
      <c r="D3493" s="0" t="s">
        <v>6362</v>
      </c>
      <c r="F3493" s="0" t="s">
        <v>40</v>
      </c>
      <c r="G3493" s="0" t="n">
        <v>0</v>
      </c>
      <c r="J3493" s="0" t="s">
        <v>40</v>
      </c>
      <c r="O3493" s="0" t="s">
        <v>11728</v>
      </c>
    </row>
    <row r="3494" customFormat="false" ht="13.8" hidden="false" customHeight="false" outlineLevel="0" collapsed="false">
      <c r="A3494" s="0" t="s">
        <v>11729</v>
      </c>
      <c r="D3494" s="0" t="s">
        <v>11730</v>
      </c>
      <c r="E3494" s="0" t="s">
        <v>879</v>
      </c>
      <c r="F3494" s="0" t="s">
        <v>11411</v>
      </c>
      <c r="G3494" s="0" t="n">
        <v>0</v>
      </c>
      <c r="J3494" s="0" t="s">
        <v>40</v>
      </c>
      <c r="K3494" s="0" t="str">
        <f aca="false">"4.76 %"</f>
        <v>4.76 %</v>
      </c>
      <c r="M3494" s="0" t="str">
        <f aca="false">"16.08 mA cm^{-2}"</f>
        <v>16.08 mA cm^{-2}</v>
      </c>
      <c r="O3494" s="0" t="s">
        <v>11731</v>
      </c>
    </row>
    <row r="3495" customFormat="false" ht="13.8" hidden="false" customHeight="false" outlineLevel="0" collapsed="false">
      <c r="A3495" s="0" t="s">
        <v>11732</v>
      </c>
      <c r="D3495" s="0" t="s">
        <v>11372</v>
      </c>
      <c r="E3495" s="0" t="s">
        <v>11373</v>
      </c>
      <c r="F3495" s="0" t="s">
        <v>11374</v>
      </c>
      <c r="G3495" s="0" t="n">
        <v>0</v>
      </c>
      <c r="J3495" s="0" t="s">
        <v>40</v>
      </c>
      <c r="K3495" s="0" t="str">
        <f aca="false">"6.3 %"</f>
        <v>6.3 %</v>
      </c>
      <c r="L3495" s="0" t="str">
        <f aca="false">"0.98 V"</f>
        <v>0.98 V</v>
      </c>
      <c r="O3495" s="0" t="s">
        <v>11733</v>
      </c>
    </row>
    <row r="3496" customFormat="false" ht="13.8" hidden="false" customHeight="false" outlineLevel="0" collapsed="false">
      <c r="A3496" s="0" t="s">
        <v>11734</v>
      </c>
      <c r="F3496" s="0" t="s">
        <v>40</v>
      </c>
      <c r="G3496" s="0" t="n">
        <v>0</v>
      </c>
      <c r="H3496" s="0" t="s">
        <v>1341</v>
      </c>
      <c r="I3496" s="0" t="s">
        <v>1342</v>
      </c>
      <c r="J3496" s="0" t="s">
        <v>1343</v>
      </c>
      <c r="K3496" s="0" t="str">
        <f aca="false">"&gt; 10 %"</f>
        <v>&gt; 10 %</v>
      </c>
      <c r="O3496" s="0" t="s">
        <v>11735</v>
      </c>
    </row>
    <row r="3497" customFormat="false" ht="13.8" hidden="false" customHeight="false" outlineLevel="0" collapsed="false">
      <c r="A3497" s="0" t="s">
        <v>11734</v>
      </c>
      <c r="D3497" s="0" t="s">
        <v>11736</v>
      </c>
      <c r="F3497" s="0" t="s">
        <v>11737</v>
      </c>
      <c r="G3497" s="0" t="n">
        <v>0</v>
      </c>
      <c r="H3497" s="0" t="s">
        <v>1341</v>
      </c>
      <c r="I3497" s="0" t="s">
        <v>1342</v>
      </c>
      <c r="J3497" s="0" t="s">
        <v>1343</v>
      </c>
      <c r="K3497" s="0" t="str">
        <f aca="false">"9.5 %"</f>
        <v>9.5 %</v>
      </c>
      <c r="O3497" s="0" t="s">
        <v>11738</v>
      </c>
    </row>
    <row r="3498" customFormat="false" ht="13.8" hidden="false" customHeight="false" outlineLevel="0" collapsed="false">
      <c r="A3498" s="0" t="s">
        <v>11739</v>
      </c>
      <c r="D3498" s="0" t="s">
        <v>11740</v>
      </c>
      <c r="F3498" s="0" t="s">
        <v>40</v>
      </c>
      <c r="G3498" s="0" t="n">
        <v>0</v>
      </c>
      <c r="J3498" s="0" t="s">
        <v>40</v>
      </c>
      <c r="K3498" s="0" t="str">
        <f aca="false">"7.49 %"</f>
        <v>7.49 %</v>
      </c>
      <c r="L3498" s="0" t="str">
        <f aca="false">"1.0 V"</f>
        <v>1.0 V</v>
      </c>
      <c r="O3498" s="0" t="s">
        <v>11741</v>
      </c>
    </row>
    <row r="3499" customFormat="false" ht="13.8" hidden="false" customHeight="false" outlineLevel="0" collapsed="false">
      <c r="A3499" s="0" t="s">
        <v>11742</v>
      </c>
      <c r="D3499" s="0" t="s">
        <v>11743</v>
      </c>
      <c r="F3499" s="0" t="s">
        <v>11744</v>
      </c>
      <c r="G3499" s="0" t="n">
        <v>0</v>
      </c>
      <c r="J3499" s="0" t="s">
        <v>40</v>
      </c>
      <c r="K3499" s="0" t="str">
        <f aca="false">"5.28 %"</f>
        <v>5.28 %</v>
      </c>
      <c r="M3499" s="0" t="str">
        <f aca="false">"10.77 mA cm^{-2}"</f>
        <v>10.77 mA cm^{-2}</v>
      </c>
      <c r="N3499" s="0" t="str">
        <f aca="false">"2.62 %"</f>
        <v>2.62 %</v>
      </c>
      <c r="O3499" s="0" t="s">
        <v>11745</v>
      </c>
    </row>
    <row r="3500" customFormat="false" ht="13.8" hidden="false" customHeight="false" outlineLevel="0" collapsed="false">
      <c r="A3500" s="0" t="s">
        <v>11746</v>
      </c>
      <c r="D3500" s="0" t="s">
        <v>11439</v>
      </c>
      <c r="F3500" s="0" t="s">
        <v>11440</v>
      </c>
      <c r="G3500" s="0" t="n">
        <v>0</v>
      </c>
      <c r="J3500" s="0" t="s">
        <v>40</v>
      </c>
      <c r="K3500" s="0" t="str">
        <f aca="false">"12.12 %"</f>
        <v>12.12 %</v>
      </c>
      <c r="O3500" s="0" t="s">
        <v>11747</v>
      </c>
    </row>
    <row r="3501" customFormat="false" ht="13.8" hidden="false" customHeight="false" outlineLevel="0" collapsed="false">
      <c r="A3501" s="0" t="s">
        <v>11748</v>
      </c>
      <c r="D3501" s="0" t="s">
        <v>11749</v>
      </c>
      <c r="F3501" s="0" t="s">
        <v>11750</v>
      </c>
      <c r="G3501" s="0" t="n">
        <v>0</v>
      </c>
      <c r="J3501" s="0" t="s">
        <v>40</v>
      </c>
      <c r="K3501" s="0" t="str">
        <f aca="false">"3.47 %"</f>
        <v>3.47 %</v>
      </c>
      <c r="O3501" s="0" t="s">
        <v>11751</v>
      </c>
    </row>
    <row r="3502" customFormat="false" ht="13.8" hidden="false" customHeight="false" outlineLevel="0" collapsed="false">
      <c r="A3502" s="0" t="s">
        <v>11748</v>
      </c>
      <c r="F3502" s="0" t="s">
        <v>40</v>
      </c>
      <c r="G3502" s="0" t="n">
        <v>0</v>
      </c>
      <c r="J3502" s="0" t="s">
        <v>40</v>
      </c>
      <c r="K3502" s="0" t="str">
        <f aca="false">"4.54 %"</f>
        <v>4.54 %</v>
      </c>
      <c r="O3502" s="0" t="s">
        <v>11752</v>
      </c>
    </row>
    <row r="3503" customFormat="false" ht="13.8" hidden="false" customHeight="false" outlineLevel="0" collapsed="false">
      <c r="A3503" s="0" t="s">
        <v>11753</v>
      </c>
      <c r="D3503" s="0" t="s">
        <v>31</v>
      </c>
      <c r="E3503" s="0" t="s">
        <v>17</v>
      </c>
      <c r="F3503" s="0" t="s">
        <v>1351</v>
      </c>
      <c r="G3503" s="0" t="n">
        <v>0</v>
      </c>
      <c r="J3503" s="0" t="s">
        <v>40</v>
      </c>
      <c r="K3503" s="0" t="str">
        <f aca="false">"5.1 %"</f>
        <v>5.1 %</v>
      </c>
      <c r="O3503" s="0" t="s">
        <v>11754</v>
      </c>
    </row>
    <row r="3504" customFormat="false" ht="13.8" hidden="false" customHeight="false" outlineLevel="0" collapsed="false">
      <c r="A3504" s="0" t="s">
        <v>11755</v>
      </c>
      <c r="F3504" s="0" t="s">
        <v>40</v>
      </c>
      <c r="G3504" s="0" t="n">
        <v>0</v>
      </c>
      <c r="H3504" s="0" t="s">
        <v>11756</v>
      </c>
      <c r="J3504" s="0" t="s">
        <v>40</v>
      </c>
      <c r="K3504" s="0" t="str">
        <f aca="false">"12.3 %"</f>
        <v>12.3 %</v>
      </c>
      <c r="O3504" s="0" t="s">
        <v>11757</v>
      </c>
    </row>
    <row r="3505" customFormat="false" ht="13.8" hidden="false" customHeight="false" outlineLevel="0" collapsed="false">
      <c r="A3505" s="0" t="s">
        <v>11758</v>
      </c>
      <c r="F3505" s="0" t="s">
        <v>40</v>
      </c>
      <c r="G3505" s="0" t="n">
        <v>1</v>
      </c>
      <c r="H3505" s="0" t="s">
        <v>27</v>
      </c>
      <c r="J3505" s="0" t="s">
        <v>28</v>
      </c>
      <c r="K3505" s="0" t="str">
        <f aca="false">"8.2 %"</f>
        <v>8.2 %</v>
      </c>
      <c r="O3505" s="0" t="s">
        <v>11759</v>
      </c>
    </row>
    <row r="3506" customFormat="false" ht="13.8" hidden="false" customHeight="false" outlineLevel="0" collapsed="false">
      <c r="A3506" s="0" t="s">
        <v>11758</v>
      </c>
      <c r="D3506" s="0" t="s">
        <v>85</v>
      </c>
      <c r="E3506" s="0" t="s">
        <v>86</v>
      </c>
      <c r="F3506" s="0" t="s">
        <v>87</v>
      </c>
      <c r="G3506" s="0" t="n">
        <v>1</v>
      </c>
      <c r="H3506" s="0" t="s">
        <v>27</v>
      </c>
      <c r="J3506" s="0" t="s">
        <v>28</v>
      </c>
      <c r="K3506" s="0" t="str">
        <f aca="false">"8.7 %"</f>
        <v>8.7 %</v>
      </c>
      <c r="O3506" s="0" t="s">
        <v>11760</v>
      </c>
    </row>
    <row r="3507" customFormat="false" ht="13.8" hidden="false" customHeight="false" outlineLevel="0" collapsed="false">
      <c r="A3507" s="0" t="s">
        <v>11761</v>
      </c>
      <c r="D3507" s="0" t="s">
        <v>11762</v>
      </c>
      <c r="F3507" s="0" t="s">
        <v>11763</v>
      </c>
      <c r="G3507" s="0" t="n">
        <v>0</v>
      </c>
      <c r="J3507" s="0" t="s">
        <v>40</v>
      </c>
      <c r="K3507" s="0" t="str">
        <f aca="false">"12.01 %"</f>
        <v>12.01 %</v>
      </c>
      <c r="M3507" s="0" t="str">
        <f aca="false">"20.45 mA cm^{-2}"</f>
        <v>20.45 mA cm^{-2}</v>
      </c>
      <c r="N3507" s="0" t="str">
        <f aca="false">"73.1 %"</f>
        <v>73.1 %</v>
      </c>
      <c r="O3507" s="0" t="s">
        <v>11764</v>
      </c>
    </row>
    <row r="3508" customFormat="false" ht="13.8" hidden="false" customHeight="false" outlineLevel="0" collapsed="false">
      <c r="A3508" s="0" t="s">
        <v>11765</v>
      </c>
      <c r="D3508" s="0" t="s">
        <v>11766</v>
      </c>
      <c r="E3508" s="0" t="s">
        <v>9728</v>
      </c>
      <c r="F3508" s="0" t="s">
        <v>11767</v>
      </c>
      <c r="G3508" s="0" t="n">
        <v>0</v>
      </c>
      <c r="J3508" s="0" t="s">
        <v>40</v>
      </c>
      <c r="K3508" s="0" t="str">
        <f aca="false">"10.10 %"</f>
        <v>10.10 %</v>
      </c>
      <c r="O3508" s="0" t="s">
        <v>11768</v>
      </c>
    </row>
    <row r="3509" customFormat="false" ht="13.8" hidden="false" customHeight="false" outlineLevel="0" collapsed="false">
      <c r="A3509" s="0" t="s">
        <v>11769</v>
      </c>
      <c r="D3509" s="0" t="s">
        <v>201</v>
      </c>
      <c r="E3509" s="0" t="s">
        <v>202</v>
      </c>
      <c r="F3509" s="0" t="s">
        <v>422</v>
      </c>
      <c r="G3509" s="0" t="n">
        <v>0</v>
      </c>
      <c r="J3509" s="0" t="s">
        <v>40</v>
      </c>
      <c r="K3509" s="0" t="str">
        <f aca="false">"&gt; 10 %"</f>
        <v>&gt; 10 %</v>
      </c>
      <c r="O3509" s="0" t="s">
        <v>11770</v>
      </c>
    </row>
    <row r="3510" customFormat="false" ht="13.8" hidden="false" customHeight="false" outlineLevel="0" collapsed="false">
      <c r="A3510" s="0" t="s">
        <v>11771</v>
      </c>
      <c r="D3510" s="0" t="s">
        <v>1550</v>
      </c>
      <c r="F3510" s="0" t="s">
        <v>1552</v>
      </c>
      <c r="G3510" s="0" t="n">
        <v>0</v>
      </c>
      <c r="J3510" s="0" t="s">
        <v>40</v>
      </c>
      <c r="K3510" s="0" t="str">
        <f aca="false">"7.19 %"</f>
        <v>7.19 %</v>
      </c>
      <c r="O3510" s="0" t="s">
        <v>11772</v>
      </c>
    </row>
    <row r="3511" customFormat="false" ht="13.8" hidden="false" customHeight="false" outlineLevel="0" collapsed="false">
      <c r="A3511" s="0" t="s">
        <v>11773</v>
      </c>
      <c r="F3511" s="0" t="s">
        <v>40</v>
      </c>
      <c r="G3511" s="0" t="n">
        <v>1</v>
      </c>
      <c r="H3511" s="0" t="s">
        <v>27</v>
      </c>
      <c r="J3511" s="0" t="s">
        <v>28</v>
      </c>
      <c r="K3511" s="0" t="str">
        <f aca="false">"7.92 %"</f>
        <v>7.92 %</v>
      </c>
      <c r="O3511" s="0" t="s">
        <v>11774</v>
      </c>
    </row>
    <row r="3512" customFormat="false" ht="13.8" hidden="false" customHeight="false" outlineLevel="0" collapsed="false">
      <c r="A3512" s="0" t="s">
        <v>11775</v>
      </c>
      <c r="D3512" s="0" t="s">
        <v>11776</v>
      </c>
      <c r="F3512" s="0" t="s">
        <v>40</v>
      </c>
      <c r="G3512" s="0" t="n">
        <v>0</v>
      </c>
      <c r="J3512" s="0" t="s">
        <v>40</v>
      </c>
      <c r="L3512" s="0" t="str">
        <f aca="false">"0.80 V"</f>
        <v>0.80 V</v>
      </c>
      <c r="O3512" s="0" t="s">
        <v>11777</v>
      </c>
    </row>
    <row r="3513" customFormat="false" ht="13.8" hidden="false" customHeight="false" outlineLevel="0" collapsed="false">
      <c r="A3513" s="0" t="s">
        <v>11778</v>
      </c>
      <c r="F3513" s="0" t="s">
        <v>40</v>
      </c>
      <c r="G3513" s="0" t="n">
        <v>1</v>
      </c>
      <c r="H3513" s="0" t="s">
        <v>27</v>
      </c>
      <c r="J3513" s="0" t="s">
        <v>28</v>
      </c>
      <c r="K3513" s="0" t="str">
        <f aca="false">"7.21 %"</f>
        <v>7.21 %</v>
      </c>
      <c r="O3513" s="0" t="s">
        <v>11779</v>
      </c>
    </row>
    <row r="3514" customFormat="false" ht="13.8" hidden="false" customHeight="false" outlineLevel="0" collapsed="false">
      <c r="A3514" s="0" t="s">
        <v>11780</v>
      </c>
      <c r="F3514" s="0" t="s">
        <v>40</v>
      </c>
      <c r="G3514" s="0" t="n">
        <v>1</v>
      </c>
      <c r="H3514" s="0" t="s">
        <v>27</v>
      </c>
      <c r="J3514" s="0" t="s">
        <v>28</v>
      </c>
      <c r="K3514" s="0" t="str">
        <f aca="false">"9.4 %"</f>
        <v>9.4 %</v>
      </c>
      <c r="O3514" s="0" t="s">
        <v>11781</v>
      </c>
    </row>
    <row r="3515" customFormat="false" ht="13.8" hidden="false" customHeight="false" outlineLevel="0" collapsed="false">
      <c r="A3515" s="0" t="s">
        <v>11782</v>
      </c>
      <c r="D3515" s="0" t="s">
        <v>9594</v>
      </c>
      <c r="E3515" s="0" t="s">
        <v>9424</v>
      </c>
      <c r="F3515" s="0" t="s">
        <v>9595</v>
      </c>
      <c r="G3515" s="0" t="n">
        <v>0</v>
      </c>
      <c r="J3515" s="0" t="s">
        <v>40</v>
      </c>
      <c r="K3515" s="0" t="str">
        <f aca="false">"3.76 %"</f>
        <v>3.76 %</v>
      </c>
      <c r="O3515" s="0" t="s">
        <v>11783</v>
      </c>
    </row>
    <row r="3516" customFormat="false" ht="13.8" hidden="false" customHeight="false" outlineLevel="0" collapsed="false">
      <c r="A3516" s="0" t="s">
        <v>11784</v>
      </c>
      <c r="D3516" s="0" t="s">
        <v>201</v>
      </c>
      <c r="E3516" s="0" t="s">
        <v>202</v>
      </c>
      <c r="F3516" s="0" t="s">
        <v>422</v>
      </c>
      <c r="G3516" s="0" t="n">
        <v>0</v>
      </c>
      <c r="J3516" s="0" t="s">
        <v>40</v>
      </c>
      <c r="K3516" s="0" t="str">
        <f aca="false">"13 %"</f>
        <v>13 %</v>
      </c>
      <c r="N3516" s="0" t="str">
        <f aca="false">"&gt; 60 %"</f>
        <v>&gt; 60 %</v>
      </c>
      <c r="O3516" s="0" t="s">
        <v>11785</v>
      </c>
    </row>
    <row r="3517" customFormat="false" ht="13.8" hidden="false" customHeight="false" outlineLevel="0" collapsed="false">
      <c r="A3517" s="0" t="s">
        <v>11786</v>
      </c>
      <c r="F3517" s="0" t="s">
        <v>40</v>
      </c>
      <c r="G3517" s="0" t="n">
        <v>1</v>
      </c>
      <c r="H3517" s="0" t="s">
        <v>575</v>
      </c>
      <c r="J3517" s="0" t="s">
        <v>576</v>
      </c>
      <c r="K3517" s="0" t="str">
        <f aca="false">"0.22 %"</f>
        <v>0.22 %</v>
      </c>
      <c r="O3517" s="0" t="s">
        <v>11787</v>
      </c>
    </row>
    <row r="3518" customFormat="false" ht="13.8" hidden="false" customHeight="false" outlineLevel="0" collapsed="false">
      <c r="A3518" s="0" t="s">
        <v>11788</v>
      </c>
      <c r="D3518" s="0" t="s">
        <v>11534</v>
      </c>
      <c r="E3518" s="0" t="s">
        <v>1169</v>
      </c>
      <c r="F3518" s="0" t="s">
        <v>11535</v>
      </c>
      <c r="G3518" s="0" t="n">
        <v>0</v>
      </c>
      <c r="J3518" s="0" t="s">
        <v>40</v>
      </c>
      <c r="K3518" s="0" t="str">
        <f aca="false">"4.96 %"</f>
        <v>4.96 %</v>
      </c>
      <c r="O3518" s="0" t="s">
        <v>11789</v>
      </c>
    </row>
    <row r="3519" customFormat="false" ht="13.8" hidden="false" customHeight="false" outlineLevel="0" collapsed="false">
      <c r="A3519" s="0" t="s">
        <v>11790</v>
      </c>
      <c r="F3519" s="0" t="s">
        <v>40</v>
      </c>
      <c r="G3519" s="0" t="n">
        <v>1</v>
      </c>
      <c r="H3519" s="0" t="s">
        <v>27</v>
      </c>
      <c r="J3519" s="0" t="s">
        <v>28</v>
      </c>
      <c r="K3519" s="0" t="str">
        <f aca="false">"5.2 %"</f>
        <v>5.2 %</v>
      </c>
      <c r="O3519" s="0" t="s">
        <v>11791</v>
      </c>
    </row>
    <row r="3520" customFormat="false" ht="13.8" hidden="false" customHeight="false" outlineLevel="0" collapsed="false">
      <c r="A3520" s="0" t="s">
        <v>11792</v>
      </c>
      <c r="D3520" s="0" t="s">
        <v>510</v>
      </c>
      <c r="E3520" s="0" t="s">
        <v>511</v>
      </c>
      <c r="F3520" s="0" t="s">
        <v>512</v>
      </c>
      <c r="G3520" s="0" t="n">
        <v>0</v>
      </c>
      <c r="J3520" s="0" t="s">
        <v>40</v>
      </c>
      <c r="K3520" s="0" t="str">
        <f aca="false">"4.20 %"</f>
        <v>4.20 %</v>
      </c>
      <c r="O3520" s="0" t="s">
        <v>11793</v>
      </c>
    </row>
    <row r="3521" customFormat="false" ht="13.8" hidden="false" customHeight="false" outlineLevel="0" collapsed="false">
      <c r="A3521" s="0" t="s">
        <v>11794</v>
      </c>
      <c r="F3521" s="0" t="s">
        <v>40</v>
      </c>
      <c r="G3521" s="0" t="n">
        <v>0</v>
      </c>
      <c r="H3521" s="0" t="s">
        <v>11795</v>
      </c>
      <c r="J3521" s="0" t="s">
        <v>11796</v>
      </c>
      <c r="K3521" s="0" t="str">
        <f aca="false">"9.03 %"</f>
        <v>9.03 %</v>
      </c>
      <c r="L3521" s="0" t="str">
        <f aca="false">"1.033 V"</f>
        <v>1.033 V</v>
      </c>
      <c r="M3521" s="0" t="str">
        <f aca="false">"15.70 mA cm^{-2}"</f>
        <v>15.70 mA cm^{-2}</v>
      </c>
      <c r="N3521" s="0" t="str">
        <f aca="false">"58.3 %"</f>
        <v>58.3 %</v>
      </c>
      <c r="O3521" s="0" t="s">
        <v>11797</v>
      </c>
    </row>
    <row r="3522" customFormat="false" ht="13.8" hidden="false" customHeight="false" outlineLevel="0" collapsed="false">
      <c r="A3522" s="0" t="s">
        <v>11794</v>
      </c>
      <c r="D3522" s="0" t="s">
        <v>11798</v>
      </c>
      <c r="F3522" s="0" t="s">
        <v>11799</v>
      </c>
      <c r="G3522" s="0" t="n">
        <v>0</v>
      </c>
      <c r="H3522" s="0" t="s">
        <v>11795</v>
      </c>
      <c r="J3522" s="0" t="s">
        <v>11796</v>
      </c>
      <c r="K3522" s="0" t="str">
        <f aca="false">"4.74 %"</f>
        <v>4.74 %</v>
      </c>
      <c r="L3522" s="0" t="str">
        <f aca="false">"1.138 V"</f>
        <v>1.138 V</v>
      </c>
      <c r="O3522" s="0" t="s">
        <v>11800</v>
      </c>
    </row>
    <row r="3523" customFormat="false" ht="13.8" hidden="false" customHeight="false" outlineLevel="0" collapsed="false">
      <c r="A3523" s="0" t="s">
        <v>11801</v>
      </c>
      <c r="D3523" s="0" t="s">
        <v>253</v>
      </c>
      <c r="F3523" s="0" t="s">
        <v>258</v>
      </c>
      <c r="G3523" s="0" t="n">
        <v>0</v>
      </c>
      <c r="J3523" s="0" t="s">
        <v>40</v>
      </c>
      <c r="K3523" s="0" t="str">
        <f aca="false">"7.50 %"</f>
        <v>7.50 %</v>
      </c>
      <c r="M3523" s="0" t="str">
        <f aca="false">"18.2 mA cm^{-2}"</f>
        <v>18.2 mA cm^{-2}</v>
      </c>
      <c r="O3523" s="0" t="s">
        <v>11802</v>
      </c>
    </row>
    <row r="3524" customFormat="false" ht="13.8" hidden="false" customHeight="false" outlineLevel="0" collapsed="false">
      <c r="A3524" s="0" t="s">
        <v>11803</v>
      </c>
      <c r="F3524" s="0" t="s">
        <v>40</v>
      </c>
      <c r="G3524" s="0" t="n">
        <v>1</v>
      </c>
      <c r="H3524" s="0" t="s">
        <v>3749</v>
      </c>
      <c r="J3524" s="0" t="s">
        <v>40</v>
      </c>
      <c r="K3524" s="0" t="str">
        <f aca="false">"8.54 %"</f>
        <v>8.54 %</v>
      </c>
      <c r="N3524" s="0" t="str">
        <f aca="false">"73 %"</f>
        <v>73 %</v>
      </c>
      <c r="O3524" s="0" t="s">
        <v>11804</v>
      </c>
    </row>
    <row r="3525" customFormat="false" ht="13.8" hidden="false" customHeight="false" outlineLevel="0" collapsed="false">
      <c r="A3525" s="0" t="s">
        <v>11805</v>
      </c>
      <c r="F3525" s="0" t="s">
        <v>40</v>
      </c>
      <c r="G3525" s="0" t="n">
        <v>1</v>
      </c>
      <c r="H3525" s="0" t="s">
        <v>66</v>
      </c>
      <c r="J3525" s="0" t="s">
        <v>67</v>
      </c>
      <c r="K3525" s="0" t="str">
        <f aca="false">"3.34 to 5.41 %"</f>
        <v>3.34 to 5.41 %</v>
      </c>
      <c r="O3525" s="0" t="s">
        <v>11806</v>
      </c>
    </row>
    <row r="3526" customFormat="false" ht="13.8" hidden="false" customHeight="false" outlineLevel="0" collapsed="false">
      <c r="A3526" s="0" t="s">
        <v>11807</v>
      </c>
      <c r="F3526" s="0" t="s">
        <v>40</v>
      </c>
      <c r="G3526" s="0" t="n">
        <v>1</v>
      </c>
      <c r="H3526" s="0" t="s">
        <v>27</v>
      </c>
      <c r="J3526" s="0" t="s">
        <v>28</v>
      </c>
      <c r="K3526" s="0" t="str">
        <f aca="false">"7.46 %"</f>
        <v>7.46 %</v>
      </c>
      <c r="O3526" s="0" t="s">
        <v>11808</v>
      </c>
    </row>
    <row r="3527" customFormat="false" ht="13.8" hidden="false" customHeight="false" outlineLevel="0" collapsed="false">
      <c r="A3527" s="0" t="s">
        <v>11809</v>
      </c>
      <c r="D3527" s="0" t="s">
        <v>1341</v>
      </c>
      <c r="E3527" s="0" t="s">
        <v>1342</v>
      </c>
      <c r="F3527" s="0" t="s">
        <v>1343</v>
      </c>
      <c r="G3527" s="0" t="n">
        <v>0</v>
      </c>
      <c r="J3527" s="0" t="s">
        <v>40</v>
      </c>
      <c r="K3527" s="0" t="str">
        <f aca="false">"12.35 %"</f>
        <v>12.35 %</v>
      </c>
      <c r="O3527" s="0" t="s">
        <v>11810</v>
      </c>
    </row>
    <row r="3528" customFormat="false" ht="13.8" hidden="false" customHeight="false" outlineLevel="0" collapsed="false">
      <c r="A3528" s="0" t="s">
        <v>11811</v>
      </c>
      <c r="F3528" s="0" t="s">
        <v>40</v>
      </c>
      <c r="G3528" s="0" t="n">
        <v>1</v>
      </c>
      <c r="H3528" s="0" t="s">
        <v>27</v>
      </c>
      <c r="J3528" s="0" t="s">
        <v>28</v>
      </c>
      <c r="K3528" s="0" t="str">
        <f aca="false">"6.8 %"</f>
        <v>6.8 %</v>
      </c>
      <c r="O3528" s="0" t="s">
        <v>11812</v>
      </c>
    </row>
    <row r="3529" customFormat="false" ht="13.8" hidden="false" customHeight="false" outlineLevel="0" collapsed="false">
      <c r="A3529" s="0" t="s">
        <v>11813</v>
      </c>
      <c r="D3529" s="0" t="s">
        <v>4350</v>
      </c>
      <c r="E3529" s="0" t="s">
        <v>600</v>
      </c>
      <c r="F3529" s="0" t="s">
        <v>11814</v>
      </c>
      <c r="G3529" s="0" t="n">
        <v>0</v>
      </c>
      <c r="J3529" s="0" t="s">
        <v>40</v>
      </c>
      <c r="K3529" s="0" t="str">
        <f aca="false">"9.02 %"</f>
        <v>9.02 %</v>
      </c>
      <c r="O3529" s="0" t="s">
        <v>11815</v>
      </c>
    </row>
    <row r="3530" customFormat="false" ht="13.8" hidden="false" customHeight="false" outlineLevel="0" collapsed="false">
      <c r="A3530" s="0" t="s">
        <v>11816</v>
      </c>
      <c r="D3530" s="0" t="s">
        <v>11817</v>
      </c>
      <c r="E3530" s="0" t="s">
        <v>5438</v>
      </c>
      <c r="F3530" s="0" t="s">
        <v>11818</v>
      </c>
      <c r="G3530" s="0" t="n">
        <v>0</v>
      </c>
      <c r="J3530" s="0" t="s">
        <v>40</v>
      </c>
      <c r="K3530" s="0" t="str">
        <f aca="false">"13.27 %"</f>
        <v>13.27 %</v>
      </c>
      <c r="M3530" s="0" t="str">
        <f aca="false">"19.60 mA cm^{-2}"</f>
        <v>19.60 mA cm^{-2}</v>
      </c>
      <c r="N3530" s="0" t="str">
        <f aca="false">"74.45 %"</f>
        <v>74.45 %</v>
      </c>
      <c r="O3530" s="0" t="s">
        <v>11819</v>
      </c>
    </row>
    <row r="3531" customFormat="false" ht="13.8" hidden="false" customHeight="false" outlineLevel="0" collapsed="false">
      <c r="A3531" s="0" t="s">
        <v>11820</v>
      </c>
      <c r="D3531" s="0" t="s">
        <v>11821</v>
      </c>
      <c r="F3531" s="0" t="s">
        <v>11822</v>
      </c>
      <c r="G3531" s="0" t="n">
        <v>0</v>
      </c>
      <c r="J3531" s="0" t="s">
        <v>40</v>
      </c>
      <c r="K3531" s="0" t="str">
        <f aca="false">"12.12 %"</f>
        <v>12.12 %</v>
      </c>
      <c r="O3531" s="0" t="s">
        <v>11823</v>
      </c>
    </row>
    <row r="3532" customFormat="false" ht="13.8" hidden="false" customHeight="false" outlineLevel="0" collapsed="false">
      <c r="A3532" s="0" t="s">
        <v>11824</v>
      </c>
      <c r="D3532" s="0" t="s">
        <v>1620</v>
      </c>
      <c r="E3532" s="0" t="s">
        <v>202</v>
      </c>
      <c r="F3532" s="0" t="s">
        <v>1621</v>
      </c>
      <c r="G3532" s="0" t="n">
        <v>0</v>
      </c>
      <c r="J3532" s="0" t="s">
        <v>40</v>
      </c>
      <c r="K3532" s="0" t="str">
        <f aca="false">"2 %"</f>
        <v>2 %</v>
      </c>
      <c r="O3532" s="0" t="s">
        <v>11825</v>
      </c>
    </row>
    <row r="3533" customFormat="false" ht="13.8" hidden="false" customHeight="false" outlineLevel="0" collapsed="false">
      <c r="A3533" s="0" t="s">
        <v>11826</v>
      </c>
      <c r="F3533" s="0" t="s">
        <v>40</v>
      </c>
      <c r="G3533" s="0" t="n">
        <v>1</v>
      </c>
      <c r="H3533" s="0" t="s">
        <v>27</v>
      </c>
      <c r="J3533" s="0" t="s">
        <v>1799</v>
      </c>
      <c r="K3533" s="0" t="str">
        <f aca="false">"5.93 %"</f>
        <v>5.93 %</v>
      </c>
      <c r="O3533" s="0" t="s">
        <v>11827</v>
      </c>
    </row>
    <row r="3534" customFormat="false" ht="13.8" hidden="false" customHeight="false" outlineLevel="0" collapsed="false">
      <c r="A3534" s="0" t="s">
        <v>11826</v>
      </c>
      <c r="D3534" s="0" t="s">
        <v>85</v>
      </c>
      <c r="E3534" s="0" t="s">
        <v>86</v>
      </c>
      <c r="F3534" s="0" t="s">
        <v>87</v>
      </c>
      <c r="G3534" s="0" t="n">
        <v>1</v>
      </c>
      <c r="H3534" s="0" t="s">
        <v>27</v>
      </c>
      <c r="J3534" s="0" t="s">
        <v>1799</v>
      </c>
      <c r="K3534" s="0" t="str">
        <f aca="false">"4.26 %"</f>
        <v>4.26 %</v>
      </c>
      <c r="O3534" s="0" t="s">
        <v>11828</v>
      </c>
    </row>
    <row r="3535" customFormat="false" ht="13.8" hidden="false" customHeight="false" outlineLevel="0" collapsed="false">
      <c r="A3535" s="0" t="s">
        <v>11829</v>
      </c>
      <c r="D3535" s="0" t="s">
        <v>599</v>
      </c>
      <c r="E3535" s="0" t="s">
        <v>600</v>
      </c>
      <c r="F3535" s="0" t="s">
        <v>601</v>
      </c>
      <c r="G3535" s="0" t="n">
        <v>0</v>
      </c>
      <c r="J3535" s="0" t="s">
        <v>40</v>
      </c>
      <c r="K3535" s="0" t="str">
        <f aca="false">"9 %"</f>
        <v>9 %</v>
      </c>
      <c r="O3535" s="0" t="s">
        <v>11830</v>
      </c>
    </row>
    <row r="3536" customFormat="false" ht="13.8" hidden="false" customHeight="false" outlineLevel="0" collapsed="false">
      <c r="A3536" s="0" t="s">
        <v>11831</v>
      </c>
      <c r="D3536" s="0" t="s">
        <v>11832</v>
      </c>
      <c r="F3536" s="0" t="s">
        <v>11833</v>
      </c>
      <c r="G3536" s="0" t="n">
        <v>0</v>
      </c>
      <c r="J3536" s="0" t="s">
        <v>40</v>
      </c>
      <c r="K3536" s="0" t="str">
        <f aca="false">"12.24 %"</f>
        <v>12.24 %</v>
      </c>
      <c r="N3536" s="0" t="str">
        <f aca="false">"75.9 %"</f>
        <v>75.9 %</v>
      </c>
      <c r="O3536" s="0" t="s">
        <v>11834</v>
      </c>
    </row>
    <row r="3537" customFormat="false" ht="13.8" hidden="false" customHeight="false" outlineLevel="0" collapsed="false">
      <c r="A3537" s="0" t="s">
        <v>11835</v>
      </c>
      <c r="D3537" s="0" t="s">
        <v>6362</v>
      </c>
      <c r="F3537" s="0" t="s">
        <v>6776</v>
      </c>
      <c r="G3537" s="0" t="n">
        <v>0</v>
      </c>
      <c r="J3537" s="0" t="s">
        <v>40</v>
      </c>
      <c r="K3537" s="0" t="str">
        <f aca="false">"11.43 %"</f>
        <v>11.43 %</v>
      </c>
      <c r="O3537" s="0" t="s">
        <v>11836</v>
      </c>
    </row>
    <row r="3538" customFormat="false" ht="13.8" hidden="false" customHeight="false" outlineLevel="0" collapsed="false">
      <c r="A3538" s="0" t="s">
        <v>11837</v>
      </c>
      <c r="D3538" s="0" t="s">
        <v>11838</v>
      </c>
      <c r="F3538" s="0" t="s">
        <v>11839</v>
      </c>
      <c r="G3538" s="0" t="n">
        <v>0</v>
      </c>
      <c r="J3538" s="0" t="s">
        <v>40</v>
      </c>
      <c r="K3538" s="0" t="str">
        <f aca="false">"8.04 %"</f>
        <v>8.04 %</v>
      </c>
      <c r="O3538" s="0" t="s">
        <v>11840</v>
      </c>
    </row>
    <row r="3539" customFormat="false" ht="13.8" hidden="false" customHeight="false" outlineLevel="0" collapsed="false">
      <c r="A3539" s="0" t="s">
        <v>11841</v>
      </c>
      <c r="D3539" s="0" t="s">
        <v>11842</v>
      </c>
      <c r="F3539" s="0" t="s">
        <v>11843</v>
      </c>
      <c r="G3539" s="0" t="n">
        <v>0</v>
      </c>
      <c r="J3539" s="0" t="s">
        <v>40</v>
      </c>
      <c r="K3539" s="0" t="str">
        <f aca="false">"12.35 %"</f>
        <v>12.35 %</v>
      </c>
      <c r="O3539" s="0" t="s">
        <v>11844</v>
      </c>
    </row>
    <row r="3540" customFormat="false" ht="13.8" hidden="false" customHeight="false" outlineLevel="0" collapsed="false">
      <c r="A3540" s="0" t="s">
        <v>11841</v>
      </c>
      <c r="D3540" s="0" t="s">
        <v>9594</v>
      </c>
      <c r="E3540" s="0" t="s">
        <v>9424</v>
      </c>
      <c r="F3540" s="0" t="s">
        <v>9595</v>
      </c>
      <c r="G3540" s="0" t="n">
        <v>0</v>
      </c>
      <c r="J3540" s="0" t="s">
        <v>40</v>
      </c>
      <c r="L3540" s="0" t="str">
        <f aca="false">"0.885 V"</f>
        <v>0.885 V</v>
      </c>
      <c r="M3540" s="0" t="str">
        <f aca="false">"19.13 mA cm^{-2}"</f>
        <v>19.13 mA cm^{-2}</v>
      </c>
      <c r="N3540" s="0" t="str">
        <f aca="false">"72.92 %"</f>
        <v>72.92 %</v>
      </c>
      <c r="O3540" s="0" t="s">
        <v>11845</v>
      </c>
    </row>
    <row r="3541" customFormat="false" ht="13.8" hidden="false" customHeight="false" outlineLevel="0" collapsed="false">
      <c r="A3541" s="0" t="s">
        <v>11846</v>
      </c>
      <c r="F3541" s="0" t="s">
        <v>40</v>
      </c>
      <c r="G3541" s="0" t="n">
        <v>1</v>
      </c>
      <c r="H3541" s="0" t="s">
        <v>76</v>
      </c>
      <c r="J3541" s="0" t="s">
        <v>11847</v>
      </c>
      <c r="K3541" s="0" t="str">
        <f aca="false">"80 %"</f>
        <v>80 %</v>
      </c>
      <c r="N3541" s="0" t="str">
        <f aca="false">"28 %"</f>
        <v>28 %</v>
      </c>
      <c r="O3541" s="0" t="s">
        <v>11848</v>
      </c>
    </row>
    <row r="3542" customFormat="false" ht="13.8" hidden="false" customHeight="false" outlineLevel="0" collapsed="false">
      <c r="A3542" s="0" t="s">
        <v>11849</v>
      </c>
      <c r="D3542" s="0" t="s">
        <v>11850</v>
      </c>
      <c r="E3542" s="0" t="s">
        <v>11851</v>
      </c>
      <c r="F3542" s="0" t="s">
        <v>11852</v>
      </c>
      <c r="G3542" s="0" t="n">
        <v>0</v>
      </c>
      <c r="J3542" s="0" t="s">
        <v>40</v>
      </c>
      <c r="K3542" s="0" t="str">
        <f aca="false">"11.13 %"</f>
        <v>11.13 %</v>
      </c>
      <c r="L3542" s="0" t="str">
        <f aca="false">"0.893 V"</f>
        <v>0.893 V</v>
      </c>
      <c r="M3542" s="0" t="str">
        <f aca="false">"17.76 mA cm^{-2}"</f>
        <v>17.76 mA cm^{-2}</v>
      </c>
      <c r="N3542" s="0" t="str">
        <f aca="false">"70.16 %"</f>
        <v>70.16 %</v>
      </c>
      <c r="O3542" s="0" t="s">
        <v>11853</v>
      </c>
    </row>
    <row r="3543" customFormat="false" ht="13.8" hidden="false" customHeight="false" outlineLevel="0" collapsed="false">
      <c r="A3543" s="0" t="s">
        <v>11854</v>
      </c>
      <c r="D3543" s="0" t="s">
        <v>201</v>
      </c>
      <c r="E3543" s="0" t="s">
        <v>202</v>
      </c>
      <c r="F3543" s="0" t="s">
        <v>422</v>
      </c>
      <c r="G3543" s="0" t="n">
        <v>0</v>
      </c>
      <c r="J3543" s="0" t="s">
        <v>40</v>
      </c>
      <c r="K3543" s="0" t="str">
        <f aca="false">"8.21 %"</f>
        <v>8.21 %</v>
      </c>
      <c r="O3543" s="0" t="s">
        <v>11855</v>
      </c>
    </row>
    <row r="3544" customFormat="false" ht="13.8" hidden="false" customHeight="false" outlineLevel="0" collapsed="false">
      <c r="A3544" s="0" t="s">
        <v>11856</v>
      </c>
      <c r="F3544" s="0" t="s">
        <v>40</v>
      </c>
      <c r="G3544" s="0" t="n">
        <v>1</v>
      </c>
      <c r="H3544" s="0" t="s">
        <v>27</v>
      </c>
      <c r="J3544" s="0" t="s">
        <v>1274</v>
      </c>
      <c r="K3544" s="0" t="str">
        <f aca="false">"8.38 %"</f>
        <v>8.38 %</v>
      </c>
      <c r="O3544" s="0" t="s">
        <v>11857</v>
      </c>
    </row>
    <row r="3545" customFormat="false" ht="13.8" hidden="false" customHeight="false" outlineLevel="0" collapsed="false">
      <c r="A3545" s="0" t="s">
        <v>11858</v>
      </c>
      <c r="D3545" s="0" t="s">
        <v>9641</v>
      </c>
      <c r="E3545" s="0" t="s">
        <v>6621</v>
      </c>
      <c r="F3545" s="0" t="s">
        <v>11859</v>
      </c>
      <c r="G3545" s="0" t="n">
        <v>0</v>
      </c>
      <c r="J3545" s="0" t="s">
        <v>40</v>
      </c>
      <c r="K3545" s="0" t="str">
        <f aca="false">"8.52 %"</f>
        <v>8.52 %</v>
      </c>
      <c r="O3545" s="0" t="s">
        <v>11860</v>
      </c>
    </row>
    <row r="3546" customFormat="false" ht="13.8" hidden="false" customHeight="false" outlineLevel="0" collapsed="false">
      <c r="A3546" s="0" t="s">
        <v>11861</v>
      </c>
      <c r="D3546" s="0" t="s">
        <v>208</v>
      </c>
      <c r="E3546" s="0" t="s">
        <v>17</v>
      </c>
      <c r="F3546" s="0" t="s">
        <v>18</v>
      </c>
      <c r="G3546" s="0" t="n">
        <v>0</v>
      </c>
      <c r="J3546" s="0" t="s">
        <v>40</v>
      </c>
      <c r="K3546" s="0" t="str">
        <f aca="false">"0.9 %"</f>
        <v>0.9 %</v>
      </c>
      <c r="L3546" s="0" t="str">
        <f aca="false">"0.8 V"</f>
        <v>0.8 V</v>
      </c>
      <c r="O3546" s="0" t="s">
        <v>11862</v>
      </c>
    </row>
    <row r="3547" customFormat="false" ht="13.8" hidden="false" customHeight="false" outlineLevel="0" collapsed="false">
      <c r="A3547" s="0" t="s">
        <v>11863</v>
      </c>
      <c r="D3547" s="0" t="s">
        <v>11864</v>
      </c>
      <c r="F3547" s="0" t="s">
        <v>11865</v>
      </c>
      <c r="G3547" s="0" t="n">
        <v>0</v>
      </c>
      <c r="J3547" s="0" t="s">
        <v>40</v>
      </c>
      <c r="K3547" s="0" t="str">
        <f aca="false">"6 %"</f>
        <v>6 %</v>
      </c>
      <c r="L3547" s="0" t="str">
        <f aca="false">"0.95 V"</f>
        <v>0.95 V</v>
      </c>
      <c r="O3547" s="0" t="s">
        <v>11866</v>
      </c>
    </row>
    <row r="3548" customFormat="false" ht="13.8" hidden="false" customHeight="false" outlineLevel="0" collapsed="false">
      <c r="A3548" s="0" t="s">
        <v>11867</v>
      </c>
      <c r="D3548" s="0" t="s">
        <v>11868</v>
      </c>
      <c r="F3548" s="0" t="s">
        <v>11869</v>
      </c>
      <c r="G3548" s="0" t="n">
        <v>0</v>
      </c>
      <c r="J3548" s="0" t="s">
        <v>40</v>
      </c>
      <c r="K3548" s="0" t="str">
        <f aca="false">"13.48 %"</f>
        <v>13.48 %</v>
      </c>
      <c r="O3548" s="0" t="s">
        <v>11870</v>
      </c>
    </row>
    <row r="3549" customFormat="false" ht="13.8" hidden="false" customHeight="false" outlineLevel="0" collapsed="false">
      <c r="A3549" s="0" t="s">
        <v>11871</v>
      </c>
      <c r="D3549" s="0" t="s">
        <v>1924</v>
      </c>
      <c r="E3549" s="0" t="s">
        <v>1925</v>
      </c>
      <c r="F3549" s="0" t="s">
        <v>1926</v>
      </c>
      <c r="G3549" s="0" t="n">
        <v>0</v>
      </c>
      <c r="J3549" s="0" t="s">
        <v>40</v>
      </c>
      <c r="K3549" s="0" t="str">
        <f aca="false">"12 %"</f>
        <v>12 %</v>
      </c>
      <c r="O3549" s="0" t="s">
        <v>11872</v>
      </c>
    </row>
    <row r="3550" customFormat="false" ht="13.8" hidden="false" customHeight="false" outlineLevel="0" collapsed="false">
      <c r="A3550" s="0" t="s">
        <v>11873</v>
      </c>
      <c r="D3550" s="0" t="s">
        <v>11874</v>
      </c>
      <c r="E3550" s="0" t="s">
        <v>11875</v>
      </c>
      <c r="F3550" s="0" t="s">
        <v>11876</v>
      </c>
      <c r="G3550" s="0" t="n">
        <v>0</v>
      </c>
      <c r="J3550" s="0" t="s">
        <v>40</v>
      </c>
      <c r="K3550" s="0" t="str">
        <f aca="false">"7.1 %"</f>
        <v>7.1 %</v>
      </c>
      <c r="O3550" s="0" t="s">
        <v>11877</v>
      </c>
    </row>
    <row r="3551" customFormat="false" ht="13.8" hidden="false" customHeight="false" outlineLevel="0" collapsed="false">
      <c r="A3551" s="0" t="s">
        <v>11878</v>
      </c>
      <c r="D3551" s="0" t="s">
        <v>1154</v>
      </c>
      <c r="F3551" s="0" t="s">
        <v>7364</v>
      </c>
      <c r="G3551" s="0" t="n">
        <v>0</v>
      </c>
      <c r="J3551" s="0" t="s">
        <v>40</v>
      </c>
      <c r="K3551" s="0" t="str">
        <f aca="false">"8.4 %"</f>
        <v>8.4 %</v>
      </c>
      <c r="O3551" s="0" t="s">
        <v>11879</v>
      </c>
    </row>
    <row r="3552" customFormat="false" ht="13.8" hidden="false" customHeight="false" outlineLevel="0" collapsed="false">
      <c r="A3552" s="0" t="s">
        <v>11880</v>
      </c>
      <c r="D3552" s="0" t="s">
        <v>11881</v>
      </c>
      <c r="E3552" s="0" t="s">
        <v>1925</v>
      </c>
      <c r="F3552" s="0" t="s">
        <v>11882</v>
      </c>
      <c r="G3552" s="0" t="n">
        <v>0</v>
      </c>
      <c r="J3552" s="0" t="s">
        <v>40</v>
      </c>
      <c r="K3552" s="0" t="str">
        <f aca="false">"13.44 %"</f>
        <v>13.44 %</v>
      </c>
      <c r="L3552" s="0" t="str">
        <f aca="false">"0.829 V"</f>
        <v>0.829 V</v>
      </c>
      <c r="M3552" s="0" t="str">
        <f aca="false">"23.20 mA cm^{-2}"</f>
        <v>23.20 mA cm^{-2}</v>
      </c>
      <c r="N3552" s="0" t="str">
        <f aca="false">"69.82 %"</f>
        <v>69.82 %</v>
      </c>
      <c r="O3552" s="0" t="s">
        <v>11883</v>
      </c>
    </row>
    <row r="3553" customFormat="false" ht="13.8" hidden="false" customHeight="false" outlineLevel="0" collapsed="false">
      <c r="A3553" s="0" t="s">
        <v>11884</v>
      </c>
      <c r="D3553" s="0" t="s">
        <v>11885</v>
      </c>
      <c r="F3553" s="0" t="s">
        <v>11886</v>
      </c>
      <c r="G3553" s="0" t="n">
        <v>0</v>
      </c>
      <c r="J3553" s="0" t="s">
        <v>40</v>
      </c>
      <c r="K3553" s="0" t="str">
        <f aca="false">"15 %"</f>
        <v>15 %</v>
      </c>
      <c r="O3553" s="0" t="s">
        <v>11887</v>
      </c>
    </row>
    <row r="3554" customFormat="false" ht="13.8" hidden="false" customHeight="false" outlineLevel="0" collapsed="false">
      <c r="A3554" s="0" t="s">
        <v>11888</v>
      </c>
      <c r="D3554" s="0" t="s">
        <v>201</v>
      </c>
      <c r="E3554" s="0" t="s">
        <v>202</v>
      </c>
      <c r="F3554" s="0" t="s">
        <v>422</v>
      </c>
      <c r="G3554" s="0" t="n">
        <v>0</v>
      </c>
      <c r="J3554" s="0" t="s">
        <v>40</v>
      </c>
      <c r="K3554" s="0" t="str">
        <f aca="false">"27.1 %"</f>
        <v>27.1 %</v>
      </c>
      <c r="O3554" s="0" t="s">
        <v>11889</v>
      </c>
    </row>
    <row r="3555" customFormat="false" ht="13.8" hidden="false" customHeight="false" outlineLevel="0" collapsed="false">
      <c r="A3555" s="0" t="s">
        <v>11890</v>
      </c>
      <c r="D3555" s="0" t="s">
        <v>11891</v>
      </c>
      <c r="F3555" s="0" t="s">
        <v>11892</v>
      </c>
      <c r="G3555" s="0" t="n">
        <v>0</v>
      </c>
      <c r="J3555" s="0" t="s">
        <v>40</v>
      </c>
      <c r="K3555" s="0" t="str">
        <f aca="false">"5.26 %"</f>
        <v>5.26 %</v>
      </c>
      <c r="L3555" s="0" t="str">
        <f aca="false">"0.83 V"</f>
        <v>0.83 V</v>
      </c>
      <c r="M3555" s="0" t="str">
        <f aca="false">"11.58 mA cm^{-2}"</f>
        <v>11.58 mA cm^{-2}</v>
      </c>
      <c r="N3555" s="0" t="str">
        <f aca="false">"55 %"</f>
        <v>55 %</v>
      </c>
      <c r="O3555" s="0" t="s">
        <v>11893</v>
      </c>
    </row>
    <row r="3556" customFormat="false" ht="13.8" hidden="false" customHeight="false" outlineLevel="0" collapsed="false">
      <c r="A3556" s="0" t="s">
        <v>11894</v>
      </c>
      <c r="D3556" s="0" t="s">
        <v>163</v>
      </c>
      <c r="E3556" s="0" t="s">
        <v>164</v>
      </c>
      <c r="F3556" s="0" t="s">
        <v>165</v>
      </c>
      <c r="G3556" s="0" t="n">
        <v>0</v>
      </c>
      <c r="J3556" s="0" t="s">
        <v>40</v>
      </c>
      <c r="K3556" s="0" t="str">
        <f aca="false">"8.81 %"</f>
        <v>8.81 %</v>
      </c>
      <c r="O3556" s="0" t="s">
        <v>11895</v>
      </c>
    </row>
    <row r="3557" customFormat="false" ht="13.8" hidden="false" customHeight="false" outlineLevel="0" collapsed="false">
      <c r="A3557" s="0" t="s">
        <v>11894</v>
      </c>
      <c r="D3557" s="0" t="s">
        <v>201</v>
      </c>
      <c r="E3557" s="0" t="s">
        <v>202</v>
      </c>
      <c r="F3557" s="0" t="s">
        <v>422</v>
      </c>
      <c r="G3557" s="0" t="n">
        <v>0</v>
      </c>
      <c r="J3557" s="0" t="s">
        <v>40</v>
      </c>
      <c r="K3557" s="0" t="str">
        <f aca="false">"6.91 %"</f>
        <v>6.91 %</v>
      </c>
      <c r="O3557" s="0" t="s">
        <v>11896</v>
      </c>
    </row>
    <row r="3558" customFormat="false" ht="13.8" hidden="false" customHeight="false" outlineLevel="0" collapsed="false">
      <c r="A3558" s="0" t="s">
        <v>11897</v>
      </c>
      <c r="D3558" s="0" t="s">
        <v>109</v>
      </c>
      <c r="E3558" s="0" t="s">
        <v>110</v>
      </c>
      <c r="F3558" s="0" t="s">
        <v>111</v>
      </c>
      <c r="G3558" s="0" t="n">
        <v>0</v>
      </c>
      <c r="J3558" s="0" t="s">
        <v>40</v>
      </c>
      <c r="K3558" s="0" t="str">
        <f aca="false">"7.5 %"</f>
        <v>7.5 %</v>
      </c>
      <c r="L3558" s="0" t="str">
        <f aca="false">"~ 0.90 V"</f>
        <v>~ 0.90 V</v>
      </c>
      <c r="O3558" s="0" t="s">
        <v>11898</v>
      </c>
    </row>
    <row r="3559" customFormat="false" ht="13.8" hidden="false" customHeight="false" outlineLevel="0" collapsed="false">
      <c r="A3559" s="0" t="s">
        <v>11899</v>
      </c>
      <c r="D3559" s="0" t="s">
        <v>11900</v>
      </c>
      <c r="F3559" s="0" t="s">
        <v>11901</v>
      </c>
      <c r="G3559" s="0" t="n">
        <v>0</v>
      </c>
      <c r="J3559" s="0" t="s">
        <v>40</v>
      </c>
      <c r="K3559" s="0" t="str">
        <f aca="false">"11.49 %"</f>
        <v>11.49 %</v>
      </c>
      <c r="O3559" s="0" t="s">
        <v>11902</v>
      </c>
    </row>
    <row r="3560" customFormat="false" ht="13.8" hidden="false" customHeight="false" outlineLevel="0" collapsed="false">
      <c r="A3560" s="0" t="s">
        <v>11903</v>
      </c>
      <c r="D3560" s="0" t="s">
        <v>5940</v>
      </c>
      <c r="F3560" s="0" t="s">
        <v>10993</v>
      </c>
      <c r="G3560" s="0" t="n">
        <v>0</v>
      </c>
      <c r="J3560" s="0" t="s">
        <v>40</v>
      </c>
      <c r="K3560" s="0" t="str">
        <f aca="false">"11.6 %"</f>
        <v>11.6 %</v>
      </c>
      <c r="L3560" s="0" t="str">
        <f aca="false">"0.82 V"</f>
        <v>0.82 V</v>
      </c>
      <c r="M3560" s="0" t="str">
        <f aca="false">"19.6 mA cm^{-2}"</f>
        <v>19.6 mA cm^{-2}</v>
      </c>
      <c r="N3560" s="0" t="str">
        <f aca="false">"0.72"</f>
        <v>0.72</v>
      </c>
      <c r="O3560" s="0" t="s">
        <v>11904</v>
      </c>
    </row>
    <row r="3561" customFormat="false" ht="13.8" hidden="false" customHeight="false" outlineLevel="0" collapsed="false">
      <c r="A3561" s="0" t="s">
        <v>11905</v>
      </c>
      <c r="D3561" s="0" t="s">
        <v>11906</v>
      </c>
      <c r="F3561" s="0" t="s">
        <v>40</v>
      </c>
      <c r="G3561" s="0" t="n">
        <v>0</v>
      </c>
      <c r="J3561" s="0" t="s">
        <v>40</v>
      </c>
      <c r="K3561" s="0" t="str">
        <f aca="false">"5.63 %"</f>
        <v>5.63 %</v>
      </c>
      <c r="O3561" s="0" t="s">
        <v>11907</v>
      </c>
    </row>
    <row r="3562" customFormat="false" ht="13.8" hidden="false" customHeight="false" outlineLevel="0" collapsed="false">
      <c r="A3562" s="0" t="s">
        <v>11905</v>
      </c>
      <c r="D3562" s="0" t="s">
        <v>11908</v>
      </c>
      <c r="F3562" s="0" t="s">
        <v>11909</v>
      </c>
      <c r="G3562" s="0" t="n">
        <v>0</v>
      </c>
      <c r="J3562" s="0" t="s">
        <v>40</v>
      </c>
      <c r="K3562" s="0" t="str">
        <f aca="false">"5.34 %"</f>
        <v>5.34 %</v>
      </c>
      <c r="O3562" s="0" t="s">
        <v>11910</v>
      </c>
    </row>
    <row r="3563" customFormat="false" ht="13.8" hidden="false" customHeight="false" outlineLevel="0" collapsed="false">
      <c r="A3563" s="0" t="s">
        <v>11911</v>
      </c>
      <c r="D3563" s="0" t="s">
        <v>1850</v>
      </c>
      <c r="F3563" s="0" t="s">
        <v>6625</v>
      </c>
      <c r="G3563" s="0" t="n">
        <v>0</v>
      </c>
      <c r="J3563" s="0" t="s">
        <v>40</v>
      </c>
      <c r="O3563" s="0" t="s">
        <v>11912</v>
      </c>
    </row>
    <row r="3564" customFormat="false" ht="13.8" hidden="false" customHeight="false" outlineLevel="0" collapsed="false">
      <c r="A3564" s="0" t="s">
        <v>11913</v>
      </c>
      <c r="D3564" s="0" t="s">
        <v>11914</v>
      </c>
      <c r="F3564" s="0" t="s">
        <v>11915</v>
      </c>
      <c r="G3564" s="0" t="n">
        <v>0</v>
      </c>
      <c r="J3564" s="0" t="s">
        <v>40</v>
      </c>
      <c r="K3564" s="0" t="str">
        <f aca="false">"9.56 %"</f>
        <v>9.56 %</v>
      </c>
      <c r="O3564" s="0" t="s">
        <v>11916</v>
      </c>
    </row>
    <row r="3565" customFormat="false" ht="13.8" hidden="false" customHeight="false" outlineLevel="0" collapsed="false">
      <c r="A3565" s="0" t="s">
        <v>11917</v>
      </c>
      <c r="D3565" s="0" t="s">
        <v>11918</v>
      </c>
      <c r="F3565" s="0" t="s">
        <v>11919</v>
      </c>
      <c r="G3565" s="0" t="n">
        <v>0</v>
      </c>
      <c r="J3565" s="0" t="s">
        <v>40</v>
      </c>
      <c r="K3565" s="0" t="str">
        <f aca="false">"9.2 %"</f>
        <v>9.2 %</v>
      </c>
      <c r="O3565" s="0" t="s">
        <v>11920</v>
      </c>
    </row>
    <row r="3566" customFormat="false" ht="13.8" hidden="false" customHeight="false" outlineLevel="0" collapsed="false">
      <c r="A3566" s="0" t="s">
        <v>11921</v>
      </c>
      <c r="D3566" s="0" t="s">
        <v>11922</v>
      </c>
      <c r="F3566" s="0" t="s">
        <v>11923</v>
      </c>
      <c r="G3566" s="0" t="n">
        <v>0</v>
      </c>
      <c r="J3566" s="0" t="s">
        <v>40</v>
      </c>
      <c r="K3566" s="0" t="str">
        <f aca="false">"9 %"</f>
        <v>9 %</v>
      </c>
      <c r="O3566" s="0" t="s">
        <v>11924</v>
      </c>
    </row>
    <row r="3567" customFormat="false" ht="13.8" hidden="false" customHeight="false" outlineLevel="0" collapsed="false">
      <c r="A3567" s="0" t="s">
        <v>11925</v>
      </c>
      <c r="D3567" s="0" t="s">
        <v>6692</v>
      </c>
      <c r="F3567" s="0" t="s">
        <v>6693</v>
      </c>
      <c r="G3567" s="0" t="n">
        <v>0</v>
      </c>
      <c r="J3567" s="0" t="s">
        <v>40</v>
      </c>
      <c r="K3567" s="0" t="str">
        <f aca="false">"1.4 %"</f>
        <v>1.4 %</v>
      </c>
      <c r="O3567" s="0" t="s">
        <v>11926</v>
      </c>
    </row>
    <row r="3568" customFormat="false" ht="13.8" hidden="false" customHeight="false" outlineLevel="0" collapsed="false">
      <c r="A3568" s="0" t="s">
        <v>11927</v>
      </c>
      <c r="D3568" s="0" t="s">
        <v>11704</v>
      </c>
      <c r="F3568" s="0" t="s">
        <v>11705</v>
      </c>
      <c r="G3568" s="0" t="n">
        <v>0</v>
      </c>
      <c r="J3568" s="0" t="s">
        <v>40</v>
      </c>
      <c r="K3568" s="0" t="str">
        <f aca="false">"8.55 %"</f>
        <v>8.55 %</v>
      </c>
      <c r="O3568" s="0" t="s">
        <v>11928</v>
      </c>
    </row>
    <row r="3569" customFormat="false" ht="13.8" hidden="false" customHeight="false" outlineLevel="0" collapsed="false">
      <c r="A3569" s="0" t="s">
        <v>11929</v>
      </c>
      <c r="D3569" s="0" t="s">
        <v>11930</v>
      </c>
      <c r="F3569" s="0" t="s">
        <v>11931</v>
      </c>
      <c r="G3569" s="0" t="n">
        <v>0</v>
      </c>
      <c r="J3569" s="0" t="s">
        <v>40</v>
      </c>
      <c r="K3569" s="0" t="str">
        <f aca="false">"7.58 %"</f>
        <v>7.58 %</v>
      </c>
      <c r="L3569" s="0" t="str">
        <f aca="false">"0.98 V"</f>
        <v>0.98 V</v>
      </c>
      <c r="O3569" s="0" t="s">
        <v>11932</v>
      </c>
    </row>
    <row r="3570" customFormat="false" ht="13.8" hidden="false" customHeight="false" outlineLevel="0" collapsed="false">
      <c r="A3570" s="0" t="s">
        <v>11929</v>
      </c>
      <c r="D3570" s="0" t="s">
        <v>11933</v>
      </c>
      <c r="F3570" s="0" t="s">
        <v>11934</v>
      </c>
      <c r="G3570" s="0" t="n">
        <v>0</v>
      </c>
      <c r="J3570" s="0" t="s">
        <v>40</v>
      </c>
      <c r="K3570" s="0" t="str">
        <f aca="false">"3.26 %"</f>
        <v>3.26 %</v>
      </c>
      <c r="M3570" s="0" t="str">
        <f aca="false">"11.02 mA cm^{-2}"</f>
        <v>11.02 mA cm^{-2}</v>
      </c>
      <c r="N3570" s="0" t="str">
        <f aca="false">"69.9 %"</f>
        <v>69.9 %</v>
      </c>
      <c r="O3570" s="0" t="s">
        <v>11935</v>
      </c>
    </row>
    <row r="3571" customFormat="false" ht="13.8" hidden="false" customHeight="false" outlineLevel="0" collapsed="false">
      <c r="A3571" s="0" t="s">
        <v>11936</v>
      </c>
      <c r="D3571" s="0" t="s">
        <v>11937</v>
      </c>
      <c r="F3571" s="0" t="s">
        <v>40</v>
      </c>
      <c r="G3571" s="0" t="n">
        <v>0</v>
      </c>
      <c r="J3571" s="0" t="s">
        <v>40</v>
      </c>
      <c r="K3571" s="0" t="str">
        <f aca="false">"9.54 %"</f>
        <v>9.54 %</v>
      </c>
      <c r="O3571" s="0" t="s">
        <v>11938</v>
      </c>
    </row>
    <row r="3572" customFormat="false" ht="13.8" hidden="false" customHeight="false" outlineLevel="0" collapsed="false">
      <c r="A3572" s="0" t="s">
        <v>11939</v>
      </c>
      <c r="D3572" s="0" t="s">
        <v>11940</v>
      </c>
      <c r="F3572" s="0" t="s">
        <v>11941</v>
      </c>
      <c r="G3572" s="0" t="n">
        <v>0</v>
      </c>
      <c r="J3572" s="0" t="s">
        <v>40</v>
      </c>
      <c r="K3572" s="0" t="str">
        <f aca="false">"5.6 %"</f>
        <v>5.6 %</v>
      </c>
      <c r="L3572" s="0" t="str">
        <f aca="false">"0.7 V"</f>
        <v>0.7 V</v>
      </c>
      <c r="M3572" s="0" t="str">
        <f aca="false">"11.89 mA cm^{-2}"</f>
        <v>11.89 mA cm^{-2}</v>
      </c>
      <c r="N3572" s="0" t="str">
        <f aca="false">"67.3 %"</f>
        <v>67.3 %</v>
      </c>
      <c r="O3572" s="0" t="s">
        <v>11942</v>
      </c>
    </row>
    <row r="3573" customFormat="false" ht="13.8" hidden="false" customHeight="false" outlineLevel="0" collapsed="false">
      <c r="A3573" s="0" t="s">
        <v>11943</v>
      </c>
      <c r="D3573" s="0" t="s">
        <v>11944</v>
      </c>
      <c r="E3573" s="0" t="s">
        <v>11945</v>
      </c>
      <c r="F3573" s="0" t="s">
        <v>11946</v>
      </c>
      <c r="G3573" s="0" t="n">
        <v>0</v>
      </c>
      <c r="J3573" s="0" t="s">
        <v>40</v>
      </c>
      <c r="K3573" s="0" t="str">
        <f aca="false">"2.58 %"</f>
        <v>2.58 %</v>
      </c>
      <c r="O3573" s="0" t="s">
        <v>11947</v>
      </c>
    </row>
    <row r="3574" customFormat="false" ht="13.8" hidden="false" customHeight="false" outlineLevel="0" collapsed="false">
      <c r="A3574" s="0" t="s">
        <v>11948</v>
      </c>
      <c r="D3574" s="0" t="s">
        <v>11949</v>
      </c>
      <c r="F3574" s="0" t="s">
        <v>11950</v>
      </c>
      <c r="G3574" s="0" t="n">
        <v>0</v>
      </c>
      <c r="J3574" s="0" t="s">
        <v>40</v>
      </c>
      <c r="K3574" s="0" t="str">
        <f aca="false">"2.2 %"</f>
        <v>2.2 %</v>
      </c>
      <c r="O3574" s="0" t="s">
        <v>11951</v>
      </c>
    </row>
    <row r="3575" customFormat="false" ht="13.8" hidden="false" customHeight="false" outlineLevel="0" collapsed="false">
      <c r="A3575" s="0" t="s">
        <v>11952</v>
      </c>
      <c r="D3575" s="0" t="s">
        <v>11953</v>
      </c>
      <c r="F3575" s="0" t="s">
        <v>11954</v>
      </c>
      <c r="G3575" s="0" t="n">
        <v>0</v>
      </c>
      <c r="J3575" s="0" t="s">
        <v>40</v>
      </c>
      <c r="K3575" s="0" t="str">
        <f aca="false">"6.57 %"</f>
        <v>6.57 %</v>
      </c>
      <c r="O3575" s="0" t="s">
        <v>11955</v>
      </c>
    </row>
    <row r="3576" customFormat="false" ht="13.8" hidden="false" customHeight="false" outlineLevel="0" collapsed="false">
      <c r="A3576" s="0" t="s">
        <v>11956</v>
      </c>
      <c r="F3576" s="0" t="s">
        <v>40</v>
      </c>
      <c r="G3576" s="0" t="n">
        <v>1</v>
      </c>
      <c r="H3576" s="0" t="s">
        <v>76</v>
      </c>
      <c r="J3576" s="0" t="s">
        <v>77</v>
      </c>
      <c r="K3576" s="0" t="str">
        <f aca="false">"5.2 %"</f>
        <v>5.2 %</v>
      </c>
      <c r="O3576" s="0" t="s">
        <v>11957</v>
      </c>
    </row>
    <row r="3577" customFormat="false" ht="13.8" hidden="false" customHeight="false" outlineLevel="0" collapsed="false">
      <c r="A3577" s="0" t="s">
        <v>11958</v>
      </c>
      <c r="D3577" s="0" t="s">
        <v>11959</v>
      </c>
      <c r="F3577" s="0" t="s">
        <v>11960</v>
      </c>
      <c r="G3577" s="0" t="n">
        <v>0</v>
      </c>
      <c r="J3577" s="0" t="s">
        <v>40</v>
      </c>
      <c r="K3577" s="0" t="str">
        <f aca="false">"1.6 %"</f>
        <v>1.6 %</v>
      </c>
      <c r="O3577" s="0" t="s">
        <v>11961</v>
      </c>
    </row>
    <row r="3578" customFormat="false" ht="13.8" hidden="false" customHeight="false" outlineLevel="0" collapsed="false">
      <c r="A3578" s="0" t="s">
        <v>11962</v>
      </c>
      <c r="D3578" s="0" t="s">
        <v>1850</v>
      </c>
      <c r="F3578" s="0" t="s">
        <v>40</v>
      </c>
      <c r="G3578" s="0" t="n">
        <v>0</v>
      </c>
      <c r="J3578" s="0" t="s">
        <v>40</v>
      </c>
      <c r="K3578" s="0" t="str">
        <f aca="false">"8 %"</f>
        <v>8 %</v>
      </c>
      <c r="L3578" s="0" t="str">
        <f aca="false">"1.05 V"</f>
        <v>1.05 V</v>
      </c>
      <c r="O3578" s="0" t="s">
        <v>11963</v>
      </c>
    </row>
    <row r="3579" customFormat="false" ht="13.8" hidden="false" customHeight="false" outlineLevel="0" collapsed="false">
      <c r="A3579" s="0" t="s">
        <v>11964</v>
      </c>
      <c r="D3579" s="0" t="s">
        <v>9663</v>
      </c>
      <c r="E3579" s="0" t="s">
        <v>9424</v>
      </c>
      <c r="F3579" s="0" t="s">
        <v>9664</v>
      </c>
      <c r="G3579" s="0" t="n">
        <v>0</v>
      </c>
      <c r="J3579" s="0" t="s">
        <v>40</v>
      </c>
      <c r="K3579" s="0" t="str">
        <f aca="false">"8.7 %"</f>
        <v>8.7 %</v>
      </c>
      <c r="O3579" s="0" t="s">
        <v>11965</v>
      </c>
    </row>
    <row r="3580" customFormat="false" ht="13.8" hidden="false" customHeight="false" outlineLevel="0" collapsed="false">
      <c r="A3580" s="0" t="s">
        <v>11966</v>
      </c>
      <c r="D3580" s="0" t="s">
        <v>11967</v>
      </c>
      <c r="E3580" s="0" t="s">
        <v>11968</v>
      </c>
      <c r="F3580" s="0" t="s">
        <v>11969</v>
      </c>
      <c r="G3580" s="0" t="n">
        <v>0</v>
      </c>
      <c r="J3580" s="0" t="s">
        <v>40</v>
      </c>
      <c r="K3580" s="0" t="str">
        <f aca="false">"8.54 %"</f>
        <v>8.54 %</v>
      </c>
      <c r="O3580" s="0" t="s">
        <v>11970</v>
      </c>
    </row>
    <row r="3581" customFormat="false" ht="13.8" hidden="false" customHeight="false" outlineLevel="0" collapsed="false">
      <c r="A3581" s="0" t="s">
        <v>11971</v>
      </c>
      <c r="D3581" s="0" t="s">
        <v>5344</v>
      </c>
      <c r="E3581" s="0" t="s">
        <v>5345</v>
      </c>
      <c r="F3581" s="0" t="s">
        <v>5346</v>
      </c>
      <c r="G3581" s="0" t="n">
        <v>0</v>
      </c>
      <c r="J3581" s="0" t="s">
        <v>40</v>
      </c>
      <c r="K3581" s="0" t="str">
        <f aca="false">"12 %"</f>
        <v>12 %</v>
      </c>
      <c r="L3581" s="0" t="str">
        <f aca="false">"0.83 V"</f>
        <v>0.83 V</v>
      </c>
      <c r="M3581" s="0" t="str">
        <f aca="false">"21.60 mA cm^{-2}"</f>
        <v>21.60 mA cm^{-2}</v>
      </c>
      <c r="N3581" s="0" t="str">
        <f aca="false">"0.746"</f>
        <v>0.746</v>
      </c>
      <c r="O3581" s="0" t="s">
        <v>11972</v>
      </c>
    </row>
    <row r="3582" customFormat="false" ht="13.8" hidden="false" customHeight="false" outlineLevel="0" collapsed="false">
      <c r="A3582" s="0" t="s">
        <v>11973</v>
      </c>
      <c r="D3582" s="0" t="s">
        <v>10553</v>
      </c>
      <c r="E3582" s="0" t="s">
        <v>1169</v>
      </c>
      <c r="F3582" s="0" t="s">
        <v>10769</v>
      </c>
      <c r="G3582" s="0" t="n">
        <v>0</v>
      </c>
      <c r="J3582" s="0" t="s">
        <v>40</v>
      </c>
      <c r="K3582" s="0" t="str">
        <f aca="false">"13.10 %"</f>
        <v>13.10 %</v>
      </c>
      <c r="O3582" s="0" t="s">
        <v>11974</v>
      </c>
    </row>
    <row r="3583" customFormat="false" ht="13.8" hidden="false" customHeight="false" outlineLevel="0" collapsed="false">
      <c r="A3583" s="0" t="s">
        <v>11975</v>
      </c>
      <c r="D3583" s="0" t="s">
        <v>11976</v>
      </c>
      <c r="F3583" s="0" t="s">
        <v>11977</v>
      </c>
      <c r="G3583" s="0" t="n">
        <v>0</v>
      </c>
      <c r="J3583" s="0" t="s">
        <v>40</v>
      </c>
      <c r="K3583" s="0" t="str">
        <f aca="false">"5.26 %"</f>
        <v>5.26 %</v>
      </c>
      <c r="O3583" s="0" t="s">
        <v>11978</v>
      </c>
    </row>
    <row r="3584" customFormat="false" ht="13.8" hidden="false" customHeight="false" outlineLevel="0" collapsed="false">
      <c r="A3584" s="0" t="s">
        <v>11979</v>
      </c>
      <c r="D3584" s="0" t="s">
        <v>8380</v>
      </c>
      <c r="F3584" s="0" t="s">
        <v>8381</v>
      </c>
      <c r="G3584" s="0" t="n">
        <v>0</v>
      </c>
      <c r="J3584" s="0" t="s">
        <v>40</v>
      </c>
      <c r="K3584" s="0" t="str">
        <f aca="false">"9.94 %"</f>
        <v>9.94 %</v>
      </c>
      <c r="O3584" s="0" t="s">
        <v>11980</v>
      </c>
    </row>
    <row r="3585" customFormat="false" ht="13.8" hidden="false" customHeight="false" outlineLevel="0" collapsed="false">
      <c r="A3585" s="0" t="s">
        <v>11981</v>
      </c>
      <c r="D3585" s="0" t="s">
        <v>1386</v>
      </c>
      <c r="E3585" s="0" t="s">
        <v>1387</v>
      </c>
      <c r="F3585" s="0" t="s">
        <v>11982</v>
      </c>
      <c r="G3585" s="0" t="n">
        <v>0</v>
      </c>
      <c r="J3585" s="0" t="s">
        <v>40</v>
      </c>
      <c r="K3585" s="0" t="str">
        <f aca="false">"6.25 %"</f>
        <v>6.25 %</v>
      </c>
      <c r="O3585" s="0" t="s">
        <v>11983</v>
      </c>
    </row>
    <row r="3586" customFormat="false" ht="13.8" hidden="false" customHeight="false" outlineLevel="0" collapsed="false">
      <c r="A3586" s="0" t="s">
        <v>11984</v>
      </c>
      <c r="D3586" s="0" t="s">
        <v>201</v>
      </c>
      <c r="E3586" s="0" t="s">
        <v>202</v>
      </c>
      <c r="F3586" s="0" t="s">
        <v>422</v>
      </c>
      <c r="G3586" s="0" t="n">
        <v>0</v>
      </c>
      <c r="J3586" s="0" t="s">
        <v>40</v>
      </c>
      <c r="K3586" s="0" t="str">
        <f aca="false">"4.30 %"</f>
        <v>4.30 %</v>
      </c>
      <c r="O3586" s="0" t="s">
        <v>11985</v>
      </c>
    </row>
    <row r="3587" customFormat="false" ht="13.8" hidden="false" customHeight="false" outlineLevel="0" collapsed="false">
      <c r="A3587" s="0" t="s">
        <v>11986</v>
      </c>
      <c r="D3587" s="0" t="s">
        <v>6692</v>
      </c>
      <c r="F3587" s="0" t="s">
        <v>11987</v>
      </c>
      <c r="G3587" s="0" t="n">
        <v>0</v>
      </c>
      <c r="J3587" s="0" t="s">
        <v>40</v>
      </c>
      <c r="K3587" s="0" t="str">
        <f aca="false">"9.11 %"</f>
        <v>9.11 %</v>
      </c>
      <c r="O3587" s="0" t="s">
        <v>11988</v>
      </c>
    </row>
    <row r="3588" customFormat="false" ht="13.8" hidden="false" customHeight="false" outlineLevel="0" collapsed="false">
      <c r="A3588" s="0" t="s">
        <v>11989</v>
      </c>
      <c r="D3588" s="0" t="s">
        <v>5667</v>
      </c>
      <c r="F3588" s="0" t="s">
        <v>8377</v>
      </c>
      <c r="G3588" s="0" t="n">
        <v>0</v>
      </c>
      <c r="J3588" s="0" t="s">
        <v>40</v>
      </c>
      <c r="K3588" s="0" t="str">
        <f aca="false">"3.7-5.7 %"</f>
        <v>3.7-5.7 %</v>
      </c>
      <c r="L3588" s="0" t="str">
        <f aca="false">"0.80-0.93 V"</f>
        <v>0.80-0.93 V</v>
      </c>
      <c r="O3588" s="0" t="s">
        <v>11990</v>
      </c>
    </row>
    <row r="3589" customFormat="false" ht="13.8" hidden="false" customHeight="false" outlineLevel="0" collapsed="false">
      <c r="A3589" s="0" t="s">
        <v>11991</v>
      </c>
      <c r="F3589" s="0" t="s">
        <v>40</v>
      </c>
      <c r="G3589" s="0" t="n">
        <v>1</v>
      </c>
      <c r="H3589" s="0" t="s">
        <v>33</v>
      </c>
      <c r="J3589" s="0" t="s">
        <v>34</v>
      </c>
      <c r="K3589" s="0" t="str">
        <f aca="false">"~2 %"</f>
        <v>~2 %</v>
      </c>
      <c r="M3589" s="0" t="str">
        <f aca="false">"~4.8 mA cm^{-2}"</f>
        <v>~4.8 mA cm^{-2}</v>
      </c>
      <c r="O3589" s="0" t="s">
        <v>11992</v>
      </c>
    </row>
    <row r="3590" customFormat="false" ht="13.8" hidden="false" customHeight="false" outlineLevel="0" collapsed="false">
      <c r="A3590" s="0" t="s">
        <v>11993</v>
      </c>
      <c r="D3590" s="0" t="s">
        <v>201</v>
      </c>
      <c r="E3590" s="0" t="s">
        <v>202</v>
      </c>
      <c r="F3590" s="0" t="s">
        <v>422</v>
      </c>
      <c r="G3590" s="0" t="n">
        <v>0</v>
      </c>
      <c r="J3590" s="0" t="s">
        <v>40</v>
      </c>
      <c r="K3590" s="0" t="str">
        <f aca="false">"5.55 %"</f>
        <v>5.55 %</v>
      </c>
      <c r="O3590" s="0" t="s">
        <v>11994</v>
      </c>
    </row>
    <row r="3591" customFormat="false" ht="13.8" hidden="false" customHeight="false" outlineLevel="0" collapsed="false">
      <c r="A3591" s="0" t="s">
        <v>11995</v>
      </c>
      <c r="D3591" s="0" t="s">
        <v>11996</v>
      </c>
      <c r="F3591" s="0" t="s">
        <v>11997</v>
      </c>
      <c r="G3591" s="0" t="n">
        <v>0</v>
      </c>
      <c r="J3591" s="0" t="s">
        <v>40</v>
      </c>
      <c r="K3591" s="0" t="str">
        <f aca="false">"1.7 %"</f>
        <v>1.7 %</v>
      </c>
      <c r="O3591" s="0" t="s">
        <v>11998</v>
      </c>
    </row>
    <row r="3592" customFormat="false" ht="13.8" hidden="false" customHeight="false" outlineLevel="0" collapsed="false">
      <c r="A3592" s="0" t="s">
        <v>11999</v>
      </c>
      <c r="F3592" s="0" t="s">
        <v>40</v>
      </c>
      <c r="G3592" s="0" t="n">
        <v>0</v>
      </c>
      <c r="H3592" s="0" t="s">
        <v>12000</v>
      </c>
      <c r="I3592" s="0" t="s">
        <v>12001</v>
      </c>
      <c r="J3592" s="0" t="s">
        <v>12002</v>
      </c>
      <c r="O3592" s="0" t="s">
        <v>12003</v>
      </c>
    </row>
    <row r="3593" customFormat="false" ht="13.8" hidden="false" customHeight="false" outlineLevel="0" collapsed="false">
      <c r="A3593" s="0" t="s">
        <v>11999</v>
      </c>
      <c r="D3593" s="0" t="s">
        <v>12004</v>
      </c>
      <c r="F3593" s="0" t="s">
        <v>12005</v>
      </c>
      <c r="G3593" s="0" t="n">
        <v>0</v>
      </c>
      <c r="H3593" s="0" t="s">
        <v>12000</v>
      </c>
      <c r="I3593" s="0" t="s">
        <v>12001</v>
      </c>
      <c r="J3593" s="0" t="s">
        <v>12002</v>
      </c>
      <c r="K3593" s="0" t="str">
        <f aca="false">"4.79 %"</f>
        <v>4.79 %</v>
      </c>
      <c r="L3593" s="0" t="str">
        <f aca="false">"0.91 V"</f>
        <v>0.91 V</v>
      </c>
      <c r="O3593" s="0" t="s">
        <v>12006</v>
      </c>
    </row>
    <row r="3594" customFormat="false" ht="13.8" hidden="false" customHeight="false" outlineLevel="0" collapsed="false">
      <c r="A3594" s="0" t="s">
        <v>12007</v>
      </c>
      <c r="F3594" s="0" t="s">
        <v>40</v>
      </c>
      <c r="G3594" s="0" t="n">
        <v>1</v>
      </c>
      <c r="H3594" s="0" t="s">
        <v>27</v>
      </c>
      <c r="J3594" s="0" t="s">
        <v>28</v>
      </c>
      <c r="K3594" s="0" t="str">
        <f aca="false">"4.0 %"</f>
        <v>4.0 %</v>
      </c>
      <c r="O3594" s="0" t="s">
        <v>12008</v>
      </c>
    </row>
    <row r="3595" customFormat="false" ht="13.8" hidden="false" customHeight="false" outlineLevel="0" collapsed="false">
      <c r="A3595" s="0" t="s">
        <v>12009</v>
      </c>
      <c r="F3595" s="0" t="s">
        <v>40</v>
      </c>
      <c r="G3595" s="0" t="n">
        <v>1</v>
      </c>
      <c r="H3595" s="0" t="s">
        <v>66</v>
      </c>
      <c r="J3595" s="0" t="s">
        <v>67</v>
      </c>
      <c r="K3595" s="0" t="str">
        <f aca="false">"5.88 %"</f>
        <v>5.88 %</v>
      </c>
      <c r="N3595" s="0" t="str">
        <f aca="false">"71.6 %"</f>
        <v>71.6 %</v>
      </c>
      <c r="O3595" s="0" t="s">
        <v>12010</v>
      </c>
    </row>
    <row r="3596" customFormat="false" ht="13.8" hidden="false" customHeight="false" outlineLevel="0" collapsed="false">
      <c r="A3596" s="0" t="s">
        <v>12011</v>
      </c>
      <c r="F3596" s="0" t="s">
        <v>40</v>
      </c>
      <c r="G3596" s="0" t="n">
        <v>1</v>
      </c>
      <c r="H3596" s="0" t="s">
        <v>76</v>
      </c>
      <c r="J3596" s="0" t="s">
        <v>77</v>
      </c>
      <c r="K3596" s="0" t="str">
        <f aca="false">"3.6 %"</f>
        <v>3.6 %</v>
      </c>
      <c r="O3596" s="0" t="s">
        <v>12012</v>
      </c>
    </row>
    <row r="3597" customFormat="false" ht="13.8" hidden="false" customHeight="false" outlineLevel="0" collapsed="false">
      <c r="A3597" s="0" t="s">
        <v>12013</v>
      </c>
      <c r="D3597" s="0" t="s">
        <v>1168</v>
      </c>
      <c r="E3597" s="0" t="s">
        <v>1169</v>
      </c>
      <c r="F3597" s="0" t="s">
        <v>1170</v>
      </c>
      <c r="G3597" s="0" t="n">
        <v>0</v>
      </c>
      <c r="J3597" s="0" t="s">
        <v>40</v>
      </c>
      <c r="K3597" s="0" t="str">
        <f aca="false">"7.50 %"</f>
        <v>7.50 %</v>
      </c>
      <c r="O3597" s="0" t="s">
        <v>12014</v>
      </c>
    </row>
    <row r="3598" customFormat="false" ht="13.8" hidden="false" customHeight="false" outlineLevel="0" collapsed="false">
      <c r="A3598" s="0" t="s">
        <v>12015</v>
      </c>
      <c r="F3598" s="0" t="s">
        <v>40</v>
      </c>
      <c r="G3598" s="0" t="n">
        <v>1</v>
      </c>
      <c r="H3598" s="0" t="s">
        <v>76</v>
      </c>
      <c r="J3598" s="0" t="s">
        <v>77</v>
      </c>
      <c r="K3598" s="0" t="str">
        <f aca="false">"3.38 %"</f>
        <v>3.38 %</v>
      </c>
      <c r="O3598" s="0" t="s">
        <v>12016</v>
      </c>
    </row>
    <row r="3599" customFormat="false" ht="13.8" hidden="false" customHeight="false" outlineLevel="0" collapsed="false">
      <c r="A3599" s="0" t="s">
        <v>12017</v>
      </c>
      <c r="D3599" s="0" t="s">
        <v>12018</v>
      </c>
      <c r="E3599" s="0" t="s">
        <v>12019</v>
      </c>
      <c r="F3599" s="0" t="s">
        <v>12020</v>
      </c>
      <c r="G3599" s="0" t="n">
        <v>0</v>
      </c>
      <c r="J3599" s="0" t="s">
        <v>40</v>
      </c>
      <c r="K3599" s="0" t="str">
        <f aca="false">"8.9 %"</f>
        <v>8.9 %</v>
      </c>
      <c r="O3599" s="0" t="s">
        <v>12021</v>
      </c>
    </row>
    <row r="3600" customFormat="false" ht="13.8" hidden="false" customHeight="false" outlineLevel="0" collapsed="false">
      <c r="A3600" s="0" t="s">
        <v>12022</v>
      </c>
      <c r="D3600" s="0" t="s">
        <v>1924</v>
      </c>
      <c r="E3600" s="0" t="s">
        <v>1925</v>
      </c>
      <c r="F3600" s="0" t="s">
        <v>1926</v>
      </c>
      <c r="G3600" s="0" t="n">
        <v>0</v>
      </c>
      <c r="J3600" s="0" t="s">
        <v>40</v>
      </c>
      <c r="K3600" s="0" t="str">
        <f aca="false">"12.82 %"</f>
        <v>12.82 %</v>
      </c>
      <c r="L3600" s="0" t="str">
        <f aca="false">"0.524 V"</f>
        <v>0.524 V</v>
      </c>
      <c r="M3600" s="0" t="str">
        <f aca="false">"36.80 mA cm^{-2}"</f>
        <v>36.80 mA cm^{-2}</v>
      </c>
      <c r="N3600" s="0" t="str">
        <f aca="false">"66.50 %"</f>
        <v>66.50 %</v>
      </c>
      <c r="O3600" s="0" t="s">
        <v>12023</v>
      </c>
    </row>
    <row r="3601" customFormat="false" ht="13.8" hidden="false" customHeight="false" outlineLevel="0" collapsed="false">
      <c r="A3601" s="0" t="s">
        <v>12024</v>
      </c>
      <c r="F3601" s="0" t="s">
        <v>40</v>
      </c>
      <c r="G3601" s="0" t="n">
        <v>1</v>
      </c>
      <c r="H3601" s="0" t="s">
        <v>27</v>
      </c>
      <c r="J3601" s="0" t="s">
        <v>28</v>
      </c>
      <c r="K3601" s="0" t="str">
        <f aca="false">"4.59 %"</f>
        <v>4.59 %</v>
      </c>
      <c r="L3601" s="0" t="str">
        <f aca="false">"0.94 V"</f>
        <v>0.94 V</v>
      </c>
      <c r="O3601" s="0" t="s">
        <v>12025</v>
      </c>
    </row>
    <row r="3602" customFormat="false" ht="13.8" hidden="false" customHeight="false" outlineLevel="0" collapsed="false">
      <c r="A3602" s="0" t="s">
        <v>12026</v>
      </c>
      <c r="D3602" s="0" t="s">
        <v>12027</v>
      </c>
      <c r="F3602" s="0" t="s">
        <v>40</v>
      </c>
      <c r="G3602" s="0" t="n">
        <v>0</v>
      </c>
      <c r="J3602" s="0" t="s">
        <v>40</v>
      </c>
      <c r="K3602" s="0" t="str">
        <f aca="false">"4.03 %"</f>
        <v>4.03 %</v>
      </c>
      <c r="L3602" s="0" t="str">
        <f aca="false">"1.0 V"</f>
        <v>1.0 V</v>
      </c>
      <c r="O3602" s="0" t="s">
        <v>12028</v>
      </c>
    </row>
    <row r="3603" customFormat="false" ht="13.8" hidden="false" customHeight="false" outlineLevel="0" collapsed="false">
      <c r="A3603" s="0" t="s">
        <v>12029</v>
      </c>
      <c r="D3603" s="0" t="s">
        <v>2011</v>
      </c>
      <c r="E3603" s="0" t="s">
        <v>2012</v>
      </c>
      <c r="F3603" s="0" t="s">
        <v>2013</v>
      </c>
      <c r="G3603" s="0" t="n">
        <v>0</v>
      </c>
      <c r="J3603" s="0" t="s">
        <v>40</v>
      </c>
      <c r="K3603" s="0" t="str">
        <f aca="false">"5.03 %"</f>
        <v>5.03 %</v>
      </c>
      <c r="O3603" s="0" t="s">
        <v>12030</v>
      </c>
    </row>
    <row r="3604" customFormat="false" ht="13.8" hidden="false" customHeight="false" outlineLevel="0" collapsed="false">
      <c r="A3604" s="0" t="s">
        <v>12031</v>
      </c>
      <c r="D3604" s="0" t="s">
        <v>12032</v>
      </c>
      <c r="F3604" s="0" t="s">
        <v>40</v>
      </c>
      <c r="G3604" s="0" t="n">
        <v>0</v>
      </c>
      <c r="J3604" s="0" t="s">
        <v>40</v>
      </c>
      <c r="K3604" s="0" t="str">
        <f aca="false">"4.57 %"</f>
        <v>4.57 %</v>
      </c>
      <c r="O3604" s="0" t="s">
        <v>12033</v>
      </c>
    </row>
    <row r="3605" customFormat="false" ht="13.8" hidden="false" customHeight="false" outlineLevel="0" collapsed="false">
      <c r="A3605" s="0" t="s">
        <v>12031</v>
      </c>
      <c r="D3605" s="0" t="s">
        <v>12034</v>
      </c>
      <c r="F3605" s="0" t="s">
        <v>40</v>
      </c>
      <c r="G3605" s="0" t="n">
        <v>0</v>
      </c>
      <c r="H3605" s="0" t="s">
        <v>12032</v>
      </c>
      <c r="J3605" s="0" t="s">
        <v>40</v>
      </c>
      <c r="K3605" s="0" t="str">
        <f aca="false">"4.33 %"</f>
        <v>4.33 %</v>
      </c>
      <c r="O3605" s="0" t="s">
        <v>12035</v>
      </c>
    </row>
    <row r="3606" customFormat="false" ht="13.8" hidden="false" customHeight="false" outlineLevel="0" collapsed="false">
      <c r="A3606" s="0" t="s">
        <v>12036</v>
      </c>
      <c r="D3606" s="0" t="s">
        <v>9727</v>
      </c>
      <c r="E3606" s="0" t="s">
        <v>9728</v>
      </c>
      <c r="F3606" s="0" t="s">
        <v>12037</v>
      </c>
      <c r="G3606" s="0" t="n">
        <v>0</v>
      </c>
      <c r="J3606" s="0" t="s">
        <v>40</v>
      </c>
      <c r="K3606" s="0" t="str">
        <f aca="false">"6.77 %"</f>
        <v>6.77 %</v>
      </c>
      <c r="O3606" s="0" t="s">
        <v>12038</v>
      </c>
    </row>
    <row r="3607" customFormat="false" ht="13.8" hidden="false" customHeight="false" outlineLevel="0" collapsed="false">
      <c r="A3607" s="0" t="s">
        <v>12039</v>
      </c>
      <c r="D3607" s="0" t="s">
        <v>6253</v>
      </c>
      <c r="E3607" s="0" t="s">
        <v>1169</v>
      </c>
      <c r="F3607" s="0" t="s">
        <v>6254</v>
      </c>
      <c r="G3607" s="0" t="n">
        <v>0</v>
      </c>
      <c r="J3607" s="0" t="s">
        <v>40</v>
      </c>
      <c r="K3607" s="0" t="str">
        <f aca="false">"9.22 %"</f>
        <v>9.22 %</v>
      </c>
      <c r="O3607" s="0" t="s">
        <v>12040</v>
      </c>
    </row>
    <row r="3608" customFormat="false" ht="13.8" hidden="false" customHeight="false" outlineLevel="0" collapsed="false">
      <c r="A3608" s="0" t="s">
        <v>12041</v>
      </c>
      <c r="D3608" s="0" t="s">
        <v>6362</v>
      </c>
      <c r="F3608" s="0" t="s">
        <v>6776</v>
      </c>
      <c r="G3608" s="0" t="n">
        <v>0</v>
      </c>
      <c r="J3608" s="0" t="s">
        <v>40</v>
      </c>
      <c r="K3608" s="0" t="str">
        <f aca="false">"6.1 %"</f>
        <v>6.1 %</v>
      </c>
      <c r="M3608" s="0" t="str">
        <f aca="false">"12.8 mA cm^{-2}"</f>
        <v>12.8 mA cm^{-2}</v>
      </c>
      <c r="O3608" s="0" t="s">
        <v>12042</v>
      </c>
    </row>
    <row r="3609" customFormat="false" ht="13.8" hidden="false" customHeight="false" outlineLevel="0" collapsed="false">
      <c r="A3609" s="0" t="s">
        <v>12043</v>
      </c>
      <c r="D3609" s="0" t="s">
        <v>12044</v>
      </c>
      <c r="F3609" s="0" t="s">
        <v>12045</v>
      </c>
      <c r="G3609" s="0" t="n">
        <v>0</v>
      </c>
      <c r="J3609" s="0" t="s">
        <v>40</v>
      </c>
      <c r="K3609" s="0" t="str">
        <f aca="false">"4.52 %"</f>
        <v>4.52 %</v>
      </c>
      <c r="L3609" s="0" t="str">
        <f aca="false">"~1.0 V"</f>
        <v>~1.0 V</v>
      </c>
      <c r="O3609" s="0" t="s">
        <v>12046</v>
      </c>
    </row>
    <row r="3610" customFormat="false" ht="13.8" hidden="false" customHeight="false" outlineLevel="0" collapsed="false">
      <c r="A3610" s="0" t="s">
        <v>12047</v>
      </c>
      <c r="F3610" s="0" t="s">
        <v>40</v>
      </c>
      <c r="G3610" s="0" t="n">
        <v>1</v>
      </c>
      <c r="H3610" s="0" t="s">
        <v>76</v>
      </c>
      <c r="J3610" s="0" t="s">
        <v>40</v>
      </c>
      <c r="K3610" s="0" t="str">
        <f aca="false">"4.01 %"</f>
        <v>4.01 %</v>
      </c>
      <c r="O3610" s="0" t="s">
        <v>12048</v>
      </c>
    </row>
    <row r="3611" customFormat="false" ht="13.8" hidden="false" customHeight="false" outlineLevel="0" collapsed="false">
      <c r="A3611" s="0" t="s">
        <v>12049</v>
      </c>
      <c r="D3611" s="0" t="s">
        <v>12050</v>
      </c>
      <c r="F3611" s="0" t="s">
        <v>12051</v>
      </c>
      <c r="G3611" s="0" t="n">
        <v>0</v>
      </c>
      <c r="J3611" s="0" t="s">
        <v>40</v>
      </c>
      <c r="K3611" s="0" t="str">
        <f aca="false">"5.33 %"</f>
        <v>5.33 %</v>
      </c>
      <c r="O3611" s="0" t="s">
        <v>12052</v>
      </c>
    </row>
    <row r="3612" customFormat="false" ht="13.8" hidden="false" customHeight="false" outlineLevel="0" collapsed="false">
      <c r="A3612" s="0" t="s">
        <v>12053</v>
      </c>
      <c r="D3612" s="0" t="s">
        <v>1924</v>
      </c>
      <c r="E3612" s="0" t="s">
        <v>1925</v>
      </c>
      <c r="F3612" s="0" t="s">
        <v>1926</v>
      </c>
      <c r="G3612" s="0" t="n">
        <v>0</v>
      </c>
      <c r="J3612" s="0" t="s">
        <v>40</v>
      </c>
      <c r="K3612" s="0" t="str">
        <f aca="false">"6.7 %"</f>
        <v>6.7 %</v>
      </c>
      <c r="O3612" s="0" t="s">
        <v>12054</v>
      </c>
    </row>
    <row r="3613" customFormat="false" ht="13.8" hidden="false" customHeight="false" outlineLevel="0" collapsed="false">
      <c r="A3613" s="0" t="s">
        <v>12055</v>
      </c>
      <c r="D3613" s="0" t="s">
        <v>12056</v>
      </c>
      <c r="F3613" s="0" t="s">
        <v>12057</v>
      </c>
      <c r="G3613" s="0" t="n">
        <v>0</v>
      </c>
      <c r="J3613" s="0" t="s">
        <v>40</v>
      </c>
      <c r="K3613" s="0" t="str">
        <f aca="false">"3.9 %"</f>
        <v>3.9 %</v>
      </c>
      <c r="O3613" s="0" t="s">
        <v>12058</v>
      </c>
    </row>
    <row r="3614" customFormat="false" ht="13.8" hidden="false" customHeight="false" outlineLevel="0" collapsed="false">
      <c r="A3614" s="0" t="s">
        <v>12059</v>
      </c>
      <c r="D3614" s="0" t="s">
        <v>208</v>
      </c>
      <c r="E3614" s="0" t="s">
        <v>17</v>
      </c>
      <c r="F3614" s="0" t="s">
        <v>18</v>
      </c>
      <c r="G3614" s="0" t="n">
        <v>0</v>
      </c>
      <c r="J3614" s="0" t="s">
        <v>40</v>
      </c>
      <c r="K3614" s="0" t="str">
        <f aca="false">"1.32 %"</f>
        <v>1.32 %</v>
      </c>
      <c r="L3614" s="0" t="str">
        <f aca="false">"440 mV"</f>
        <v>440 mV</v>
      </c>
      <c r="M3614" s="0" t="str">
        <f aca="false">"5.57 mA cm^{-2}"</f>
        <v>5.57 mA cm^{-2}</v>
      </c>
      <c r="O3614" s="0" t="s">
        <v>12060</v>
      </c>
    </row>
    <row r="3615" customFormat="false" ht="13.8" hidden="false" customHeight="false" outlineLevel="0" collapsed="false">
      <c r="A3615" s="0" t="s">
        <v>12061</v>
      </c>
      <c r="F3615" s="0" t="s">
        <v>40</v>
      </c>
      <c r="G3615" s="0" t="n">
        <v>1</v>
      </c>
      <c r="H3615" s="0" t="s">
        <v>27</v>
      </c>
      <c r="J3615" s="0" t="s">
        <v>28</v>
      </c>
      <c r="K3615" s="0" t="str">
        <f aca="false">"4 and 6 %"</f>
        <v>4 and 6 %</v>
      </c>
      <c r="O3615" s="0" t="s">
        <v>12062</v>
      </c>
    </row>
    <row r="3616" customFormat="false" ht="13.8" hidden="false" customHeight="false" outlineLevel="0" collapsed="false">
      <c r="A3616" s="0" t="s">
        <v>12063</v>
      </c>
      <c r="D3616" s="0" t="s">
        <v>12064</v>
      </c>
      <c r="E3616" s="0" t="s">
        <v>12065</v>
      </c>
      <c r="F3616" s="0" t="s">
        <v>12066</v>
      </c>
      <c r="G3616" s="0" t="n">
        <v>0</v>
      </c>
      <c r="J3616" s="0" t="s">
        <v>40</v>
      </c>
      <c r="K3616" s="0" t="str">
        <f aca="false">"~3.8 %"</f>
        <v>~3.8 %</v>
      </c>
      <c r="L3616" s="0" t="str">
        <f aca="false">"&gt; 1.0 V"</f>
        <v>&gt; 1.0 V</v>
      </c>
      <c r="M3616" s="0" t="str">
        <f aca="false">"7.5 mA cm^{-2}"</f>
        <v>7.5 mA cm^{-2}</v>
      </c>
      <c r="O3616" s="0" t="s">
        <v>12067</v>
      </c>
    </row>
    <row r="3617" customFormat="false" ht="13.8" hidden="false" customHeight="false" outlineLevel="0" collapsed="false">
      <c r="A3617" s="0" t="s">
        <v>12068</v>
      </c>
      <c r="D3617" s="0" t="s">
        <v>6253</v>
      </c>
      <c r="E3617" s="0" t="s">
        <v>1169</v>
      </c>
      <c r="F3617" s="0" t="s">
        <v>6254</v>
      </c>
      <c r="G3617" s="0" t="n">
        <v>0</v>
      </c>
      <c r="J3617" s="0" t="s">
        <v>40</v>
      </c>
      <c r="K3617" s="0" t="str">
        <f aca="false">"3.388 %"</f>
        <v>3.388 %</v>
      </c>
      <c r="O3617" s="0" t="s">
        <v>12069</v>
      </c>
    </row>
    <row r="3618" customFormat="false" ht="13.8" hidden="false" customHeight="false" outlineLevel="0" collapsed="false">
      <c r="A3618" s="0" t="s">
        <v>12070</v>
      </c>
      <c r="F3618" s="0" t="s">
        <v>40</v>
      </c>
      <c r="G3618" s="0" t="n">
        <v>1</v>
      </c>
      <c r="H3618" s="0" t="s">
        <v>27</v>
      </c>
      <c r="J3618" s="0" t="s">
        <v>2066</v>
      </c>
      <c r="K3618" s="0" t="str">
        <f aca="false">"4.0 %"</f>
        <v>4.0 %</v>
      </c>
      <c r="O3618" s="0" t="s">
        <v>12071</v>
      </c>
    </row>
    <row r="3619" customFormat="false" ht="13.8" hidden="false" customHeight="false" outlineLevel="0" collapsed="false">
      <c r="A3619" s="0" t="s">
        <v>12072</v>
      </c>
      <c r="D3619" s="0" t="s">
        <v>1850</v>
      </c>
      <c r="F3619" s="0" t="s">
        <v>12073</v>
      </c>
      <c r="G3619" s="0" t="n">
        <v>0</v>
      </c>
      <c r="J3619" s="0" t="s">
        <v>40</v>
      </c>
      <c r="K3619" s="0" t="str">
        <f aca="false">"6.73 %"</f>
        <v>6.73 %</v>
      </c>
      <c r="M3619" s="0" t="str">
        <f aca="false">"12.91 mA cm^{-2}"</f>
        <v>12.91 mA cm^{-2}</v>
      </c>
      <c r="O3619" s="0" t="s">
        <v>12074</v>
      </c>
    </row>
    <row r="3620" customFormat="false" ht="13.8" hidden="false" customHeight="false" outlineLevel="0" collapsed="false">
      <c r="A3620" s="0" t="s">
        <v>12075</v>
      </c>
      <c r="D3620" s="0" t="s">
        <v>12076</v>
      </c>
      <c r="F3620" s="0" t="s">
        <v>12077</v>
      </c>
      <c r="G3620" s="0" t="n">
        <v>0</v>
      </c>
      <c r="J3620" s="0" t="s">
        <v>40</v>
      </c>
      <c r="K3620" s="0" t="str">
        <f aca="false">"5.14 %"</f>
        <v>5.14 %</v>
      </c>
      <c r="O3620" s="0" t="s">
        <v>12078</v>
      </c>
    </row>
    <row r="3621" customFormat="false" ht="13.8" hidden="false" customHeight="false" outlineLevel="0" collapsed="false">
      <c r="A3621" s="0" t="s">
        <v>12079</v>
      </c>
      <c r="D3621" s="0" t="s">
        <v>208</v>
      </c>
      <c r="E3621" s="0" t="s">
        <v>17</v>
      </c>
      <c r="F3621" s="0" t="s">
        <v>209</v>
      </c>
      <c r="G3621" s="0" t="n">
        <v>0</v>
      </c>
      <c r="J3621" s="0" t="s">
        <v>40</v>
      </c>
      <c r="K3621" s="0" t="str">
        <f aca="false">"0.65 %"</f>
        <v>0.65 %</v>
      </c>
      <c r="L3621" s="0" t="str">
        <f aca="false">"0.85 V"</f>
        <v>0.85 V</v>
      </c>
      <c r="M3621" s="0" t="str">
        <f aca="false">"2.19 mA cm^{-2}"</f>
        <v>2.19 mA cm^{-2}</v>
      </c>
      <c r="N3621" s="0" t="str">
        <f aca="false">"35 %"</f>
        <v>35 %</v>
      </c>
      <c r="O3621" s="0" t="s">
        <v>12080</v>
      </c>
    </row>
    <row r="3622" customFormat="false" ht="13.8" hidden="false" customHeight="false" outlineLevel="0" collapsed="false">
      <c r="A3622" s="0" t="s">
        <v>12081</v>
      </c>
      <c r="D3622" s="0" t="s">
        <v>924</v>
      </c>
      <c r="E3622" s="0" t="s">
        <v>925</v>
      </c>
      <c r="F3622" s="0" t="s">
        <v>926</v>
      </c>
      <c r="G3622" s="0" t="n">
        <v>0</v>
      </c>
      <c r="J3622" s="0" t="s">
        <v>40</v>
      </c>
      <c r="K3622" s="0" t="str">
        <f aca="false">"4.15 %"</f>
        <v>4.15 %</v>
      </c>
      <c r="O3622" s="0" t="s">
        <v>12082</v>
      </c>
    </row>
    <row r="3623" customFormat="false" ht="13.8" hidden="false" customHeight="false" outlineLevel="0" collapsed="false">
      <c r="A3623" s="0" t="s">
        <v>12083</v>
      </c>
      <c r="F3623" s="0" t="s">
        <v>40</v>
      </c>
      <c r="G3623" s="0" t="n">
        <v>1</v>
      </c>
      <c r="H3623" s="0" t="s">
        <v>27</v>
      </c>
      <c r="J3623" s="0" t="s">
        <v>28</v>
      </c>
      <c r="K3623" s="0" t="str">
        <f aca="false">"1.92 %"</f>
        <v>1.92 %</v>
      </c>
      <c r="O3623" s="0" t="s">
        <v>12084</v>
      </c>
    </row>
    <row r="3624" customFormat="false" ht="13.8" hidden="false" customHeight="false" outlineLevel="0" collapsed="false">
      <c r="A3624" s="0" t="s">
        <v>12085</v>
      </c>
      <c r="D3624" s="0" t="s">
        <v>9641</v>
      </c>
      <c r="E3624" s="0" t="s">
        <v>6621</v>
      </c>
      <c r="F3624" s="0" t="s">
        <v>9642</v>
      </c>
      <c r="G3624" s="0" t="n">
        <v>0</v>
      </c>
      <c r="J3624" s="0" t="s">
        <v>40</v>
      </c>
      <c r="K3624" s="0" t="str">
        <f aca="false">"22.96 %"</f>
        <v>22.96 %</v>
      </c>
      <c r="M3624" s="0" t="str">
        <f aca="false">"27.64 mA cm^{-2}"</f>
        <v>27.64 mA cm^{-2}</v>
      </c>
      <c r="O3624" s="0" t="s">
        <v>12086</v>
      </c>
    </row>
    <row r="3625" customFormat="false" ht="13.8" hidden="false" customHeight="false" outlineLevel="0" collapsed="false">
      <c r="A3625" s="0" t="s">
        <v>12087</v>
      </c>
      <c r="D3625" s="0" t="s">
        <v>12088</v>
      </c>
      <c r="E3625" s="0" t="s">
        <v>12019</v>
      </c>
      <c r="F3625" s="0" t="s">
        <v>12089</v>
      </c>
      <c r="G3625" s="0" t="n">
        <v>0</v>
      </c>
      <c r="J3625" s="0" t="s">
        <v>40</v>
      </c>
      <c r="K3625" s="0" t="str">
        <f aca="false">"5.09 %"</f>
        <v>5.09 %</v>
      </c>
      <c r="O3625" s="0" t="s">
        <v>12090</v>
      </c>
    </row>
    <row r="3626" customFormat="false" ht="13.8" hidden="false" customHeight="false" outlineLevel="0" collapsed="false">
      <c r="A3626" s="0" t="s">
        <v>12091</v>
      </c>
      <c r="F3626" s="0" t="s">
        <v>40</v>
      </c>
      <c r="G3626" s="0" t="n">
        <v>1</v>
      </c>
      <c r="H3626" s="0" t="s">
        <v>27</v>
      </c>
      <c r="J3626" s="0" t="s">
        <v>28</v>
      </c>
      <c r="K3626" s="0" t="str">
        <f aca="false">"7.80 %"</f>
        <v>7.80 %</v>
      </c>
      <c r="O3626" s="0" t="s">
        <v>12092</v>
      </c>
    </row>
    <row r="3627" customFormat="false" ht="13.8" hidden="false" customHeight="false" outlineLevel="0" collapsed="false">
      <c r="A3627" s="0" t="s">
        <v>12093</v>
      </c>
      <c r="F3627" s="0" t="s">
        <v>40</v>
      </c>
      <c r="G3627" s="0" t="n">
        <v>1</v>
      </c>
      <c r="H3627" s="0" t="s">
        <v>76</v>
      </c>
      <c r="J3627" s="0" t="s">
        <v>77</v>
      </c>
      <c r="K3627" s="0" t="str">
        <f aca="false">"2.52 ± 0.34 %"</f>
        <v>2.52 ± 0.34 %</v>
      </c>
      <c r="O3627" s="0" t="s">
        <v>12094</v>
      </c>
    </row>
    <row r="3628" customFormat="false" ht="13.8" hidden="false" customHeight="false" outlineLevel="0" collapsed="false">
      <c r="A3628" s="0" t="s">
        <v>12095</v>
      </c>
      <c r="F3628" s="0" t="s">
        <v>40</v>
      </c>
      <c r="G3628" s="0" t="n">
        <v>1</v>
      </c>
      <c r="H3628" s="0" t="s">
        <v>27</v>
      </c>
      <c r="J3628" s="0" t="s">
        <v>28</v>
      </c>
      <c r="K3628" s="0" t="str">
        <f aca="false">"6.13 %"</f>
        <v>6.13 %</v>
      </c>
      <c r="O3628" s="0" t="s">
        <v>12096</v>
      </c>
    </row>
    <row r="3629" customFormat="false" ht="13.8" hidden="false" customHeight="false" outlineLevel="0" collapsed="false">
      <c r="A3629" s="0" t="s">
        <v>12097</v>
      </c>
      <c r="F3629" s="0" t="s">
        <v>40</v>
      </c>
      <c r="G3629" s="0" t="n">
        <v>0</v>
      </c>
      <c r="H3629" s="0" t="s">
        <v>12098</v>
      </c>
      <c r="J3629" s="0" t="s">
        <v>40</v>
      </c>
      <c r="K3629" s="0" t="str">
        <f aca="false">"10 %"</f>
        <v>10 %</v>
      </c>
      <c r="O3629" s="0" t="s">
        <v>12099</v>
      </c>
    </row>
    <row r="3630" customFormat="false" ht="13.8" hidden="false" customHeight="false" outlineLevel="0" collapsed="false">
      <c r="A3630" s="0" t="s">
        <v>12100</v>
      </c>
      <c r="F3630" s="0" t="s">
        <v>40</v>
      </c>
      <c r="G3630" s="0" t="n">
        <v>1</v>
      </c>
      <c r="H3630" s="0" t="s">
        <v>33</v>
      </c>
      <c r="J3630" s="0" t="s">
        <v>34</v>
      </c>
      <c r="K3630" s="0" t="str">
        <f aca="false">"5.6 %"</f>
        <v>5.6 %</v>
      </c>
      <c r="O3630" s="0" t="s">
        <v>12101</v>
      </c>
    </row>
    <row r="3631" customFormat="false" ht="13.8" hidden="false" customHeight="false" outlineLevel="0" collapsed="false">
      <c r="A3631" s="0" t="s">
        <v>12102</v>
      </c>
      <c r="F3631" s="0" t="s">
        <v>40</v>
      </c>
      <c r="G3631" s="0" t="n">
        <v>1</v>
      </c>
      <c r="H3631" s="0" t="s">
        <v>1829</v>
      </c>
      <c r="J3631" s="0" t="s">
        <v>11228</v>
      </c>
      <c r="K3631" s="0" t="str">
        <f aca="false">"5.40 %"</f>
        <v>5.40 %</v>
      </c>
      <c r="O3631" s="0" t="s">
        <v>12103</v>
      </c>
    </row>
    <row r="3632" customFormat="false" ht="13.8" hidden="false" customHeight="false" outlineLevel="0" collapsed="false">
      <c r="A3632" s="0" t="s">
        <v>12104</v>
      </c>
      <c r="D3632" s="0" t="s">
        <v>85</v>
      </c>
      <c r="E3632" s="0" t="s">
        <v>86</v>
      </c>
      <c r="F3632" s="0" t="s">
        <v>1794</v>
      </c>
      <c r="G3632" s="0" t="n">
        <v>0</v>
      </c>
      <c r="J3632" s="0" t="s">
        <v>40</v>
      </c>
      <c r="K3632" s="0" t="str">
        <f aca="false">"2.81 %"</f>
        <v>2.81 %</v>
      </c>
      <c r="O3632" s="0" t="s">
        <v>12105</v>
      </c>
    </row>
    <row r="3633" customFormat="false" ht="13.8" hidden="false" customHeight="false" outlineLevel="0" collapsed="false">
      <c r="A3633" s="0" t="s">
        <v>12106</v>
      </c>
      <c r="D3633" s="0" t="s">
        <v>6362</v>
      </c>
      <c r="F3633" s="0" t="s">
        <v>8377</v>
      </c>
      <c r="G3633" s="0" t="n">
        <v>0</v>
      </c>
      <c r="J3633" s="0" t="s">
        <v>40</v>
      </c>
      <c r="K3633" s="0" t="str">
        <f aca="false">"1.9-4.1 %"</f>
        <v>1.9-4.1 %</v>
      </c>
      <c r="O3633" s="0" t="s">
        <v>12107</v>
      </c>
    </row>
    <row r="3634" customFormat="false" ht="13.8" hidden="false" customHeight="false" outlineLevel="0" collapsed="false">
      <c r="A3634" s="0" t="s">
        <v>12108</v>
      </c>
      <c r="F3634" s="0" t="s">
        <v>40</v>
      </c>
      <c r="G3634" s="0" t="n">
        <v>1</v>
      </c>
      <c r="H3634" s="0" t="s">
        <v>33</v>
      </c>
      <c r="J3634" s="0" t="s">
        <v>40</v>
      </c>
      <c r="K3634" s="0" t="str">
        <f aca="false">"2.84 %"</f>
        <v>2.84 %</v>
      </c>
      <c r="O3634" s="0" t="s">
        <v>12109</v>
      </c>
    </row>
    <row r="3635" customFormat="false" ht="13.8" hidden="false" customHeight="false" outlineLevel="0" collapsed="false">
      <c r="A3635" s="0" t="s">
        <v>12110</v>
      </c>
      <c r="D3635" s="0" t="s">
        <v>12111</v>
      </c>
      <c r="F3635" s="0" t="s">
        <v>12112</v>
      </c>
      <c r="G3635" s="0" t="n">
        <v>0</v>
      </c>
      <c r="J3635" s="0" t="s">
        <v>40</v>
      </c>
      <c r="O3635" s="0" t="s">
        <v>12113</v>
      </c>
    </row>
    <row r="3636" customFormat="false" ht="13.8" hidden="false" customHeight="false" outlineLevel="0" collapsed="false">
      <c r="A3636" s="0" t="s">
        <v>12110</v>
      </c>
      <c r="D3636" s="0" t="s">
        <v>12114</v>
      </c>
      <c r="F3636" s="0" t="s">
        <v>12115</v>
      </c>
      <c r="G3636" s="0" t="n">
        <v>0</v>
      </c>
      <c r="J3636" s="0" t="s">
        <v>40</v>
      </c>
      <c r="K3636" s="0" t="str">
        <f aca="false">"~6.8 %"</f>
        <v>~6.8 %</v>
      </c>
      <c r="O3636" s="0" t="s">
        <v>12116</v>
      </c>
    </row>
    <row r="3637" customFormat="false" ht="13.8" hidden="false" customHeight="false" outlineLevel="0" collapsed="false">
      <c r="A3637" s="0" t="s">
        <v>12117</v>
      </c>
      <c r="D3637" s="0" t="s">
        <v>1031</v>
      </c>
      <c r="E3637" s="0" t="s">
        <v>1032</v>
      </c>
      <c r="F3637" s="0" t="s">
        <v>1138</v>
      </c>
      <c r="G3637" s="0" t="n">
        <v>0</v>
      </c>
      <c r="J3637" s="0" t="s">
        <v>40</v>
      </c>
      <c r="K3637" s="0" t="str">
        <f aca="false">"3 %"</f>
        <v>3 %</v>
      </c>
      <c r="L3637" s="0" t="str">
        <f aca="false">"0.72 V"</f>
        <v>0.72 V</v>
      </c>
      <c r="O3637" s="0" t="s">
        <v>12118</v>
      </c>
    </row>
    <row r="3638" customFormat="false" ht="13.8" hidden="false" customHeight="false" outlineLevel="0" collapsed="false">
      <c r="A3638" s="0" t="s">
        <v>12119</v>
      </c>
      <c r="F3638" s="0" t="s">
        <v>40</v>
      </c>
      <c r="G3638" s="0" t="n">
        <v>1</v>
      </c>
      <c r="H3638" s="0" t="s">
        <v>27</v>
      </c>
      <c r="J3638" s="0" t="s">
        <v>28</v>
      </c>
      <c r="K3638" s="0" t="str">
        <f aca="false">"5.63 %"</f>
        <v>5.63 %</v>
      </c>
      <c r="M3638" s="0" t="str">
        <f aca="false">"10.24 mA cm^{-2}"</f>
        <v>10.24 mA cm^{-2}</v>
      </c>
      <c r="N3638" s="0" t="str">
        <f aca="false">"66.3 %"</f>
        <v>66.3 %</v>
      </c>
      <c r="O3638" s="0" t="s">
        <v>12120</v>
      </c>
    </row>
    <row r="3639" customFormat="false" ht="13.8" hidden="false" customHeight="false" outlineLevel="0" collapsed="false">
      <c r="A3639" s="0" t="s">
        <v>12121</v>
      </c>
      <c r="D3639" s="0" t="s">
        <v>12122</v>
      </c>
      <c r="E3639" s="0" t="s">
        <v>12019</v>
      </c>
      <c r="F3639" s="0" t="s">
        <v>12123</v>
      </c>
      <c r="G3639" s="0" t="n">
        <v>0</v>
      </c>
      <c r="J3639" s="0" t="s">
        <v>40</v>
      </c>
      <c r="K3639" s="0" t="str">
        <f aca="false">"9.48 %"</f>
        <v>9.48 %</v>
      </c>
      <c r="O3639" s="0" t="s">
        <v>12124</v>
      </c>
    </row>
    <row r="3640" customFormat="false" ht="13.8" hidden="false" customHeight="false" outlineLevel="0" collapsed="false">
      <c r="A3640" s="0" t="s">
        <v>12125</v>
      </c>
      <c r="D3640" s="0" t="s">
        <v>418</v>
      </c>
      <c r="E3640" s="0" t="s">
        <v>419</v>
      </c>
      <c r="F3640" s="0" t="s">
        <v>420</v>
      </c>
      <c r="G3640" s="0" t="n">
        <v>0</v>
      </c>
      <c r="J3640" s="0" t="s">
        <v>40</v>
      </c>
      <c r="K3640" s="0" t="str">
        <f aca="false">"9.1 %"</f>
        <v>9.1 %</v>
      </c>
      <c r="M3640" s="0" t="str">
        <f aca="false">"19.7 mA cm^{-2}"</f>
        <v>19.7 mA cm^{-2}</v>
      </c>
      <c r="N3640" s="0" t="str">
        <f aca="false">"73.9 %"</f>
        <v>73.9 %</v>
      </c>
      <c r="O3640" s="0" t="s">
        <v>12126</v>
      </c>
    </row>
    <row r="3641" customFormat="false" ht="13.8" hidden="false" customHeight="false" outlineLevel="0" collapsed="false">
      <c r="A3641" s="0" t="s">
        <v>12127</v>
      </c>
      <c r="D3641" s="0" t="s">
        <v>208</v>
      </c>
      <c r="E3641" s="0" t="s">
        <v>17</v>
      </c>
      <c r="F3641" s="0" t="s">
        <v>18</v>
      </c>
      <c r="G3641" s="0" t="n">
        <v>0</v>
      </c>
      <c r="J3641" s="0" t="s">
        <v>40</v>
      </c>
      <c r="K3641" s="0" t="str">
        <f aca="false">"0.19 %"</f>
        <v>0.19 %</v>
      </c>
      <c r="L3641" s="0" t="str">
        <f aca="false">"0.30 V"</f>
        <v>0.30 V</v>
      </c>
      <c r="M3641" s="0" t="str">
        <f aca="false">"1.72 mA cm^{-2}"</f>
        <v>1.72 mA cm^{-2}</v>
      </c>
      <c r="N3641" s="0" t="str">
        <f aca="false">"37 %"</f>
        <v>37 %</v>
      </c>
      <c r="O3641" s="0" t="s">
        <v>12128</v>
      </c>
    </row>
    <row r="3642" customFormat="false" ht="13.8" hidden="false" customHeight="false" outlineLevel="0" collapsed="false">
      <c r="A3642" s="0" t="s">
        <v>12129</v>
      </c>
      <c r="F3642" s="0" t="s">
        <v>40</v>
      </c>
      <c r="G3642" s="0" t="n">
        <v>1</v>
      </c>
      <c r="H3642" s="0" t="s">
        <v>33</v>
      </c>
      <c r="J3642" s="0" t="s">
        <v>34</v>
      </c>
      <c r="O3642" s="0" t="s">
        <v>12130</v>
      </c>
    </row>
    <row r="3643" customFormat="false" ht="13.8" hidden="false" customHeight="false" outlineLevel="0" collapsed="false">
      <c r="A3643" s="0" t="s">
        <v>12129</v>
      </c>
      <c r="D3643" s="0" t="s">
        <v>12131</v>
      </c>
      <c r="E3643" s="0" t="s">
        <v>12132</v>
      </c>
      <c r="F3643" s="0" t="s">
        <v>12133</v>
      </c>
      <c r="G3643" s="0" t="n">
        <v>1</v>
      </c>
      <c r="H3643" s="0" t="s">
        <v>33</v>
      </c>
      <c r="J3643" s="0" t="s">
        <v>34</v>
      </c>
      <c r="L3643" s="0" t="str">
        <f aca="false">"0.84 V"</f>
        <v>0.84 V</v>
      </c>
      <c r="O3643" s="0" t="s">
        <v>12134</v>
      </c>
    </row>
    <row r="3644" customFormat="false" ht="13.8" hidden="false" customHeight="false" outlineLevel="0" collapsed="false">
      <c r="A3644" s="0" t="s">
        <v>12129</v>
      </c>
      <c r="D3644" s="0" t="s">
        <v>12135</v>
      </c>
      <c r="F3644" s="0" t="s">
        <v>12136</v>
      </c>
      <c r="G3644" s="0" t="n">
        <v>1</v>
      </c>
      <c r="H3644" s="0" t="s">
        <v>33</v>
      </c>
      <c r="J3644" s="0" t="s">
        <v>34</v>
      </c>
      <c r="K3644" s="0" t="str">
        <f aca="false">"0.9 %"</f>
        <v>0.9 %</v>
      </c>
      <c r="O3644" s="0" t="s">
        <v>12137</v>
      </c>
    </row>
    <row r="3645" customFormat="false" ht="13.8" hidden="false" customHeight="false" outlineLevel="0" collapsed="false">
      <c r="A3645" s="0" t="s">
        <v>12138</v>
      </c>
      <c r="D3645" s="0" t="s">
        <v>12139</v>
      </c>
      <c r="F3645" s="0" t="s">
        <v>12140</v>
      </c>
      <c r="G3645" s="0" t="n">
        <v>0</v>
      </c>
      <c r="J3645" s="0" t="s">
        <v>40</v>
      </c>
      <c r="K3645" s="0" t="str">
        <f aca="false">"5 %"</f>
        <v>5 %</v>
      </c>
      <c r="O3645" s="0" t="s">
        <v>12141</v>
      </c>
    </row>
    <row r="3646" customFormat="false" ht="13.8" hidden="false" customHeight="false" outlineLevel="0" collapsed="false">
      <c r="A3646" s="0" t="s">
        <v>12142</v>
      </c>
      <c r="D3646" s="0" t="s">
        <v>12143</v>
      </c>
      <c r="F3646" s="0" t="s">
        <v>12144</v>
      </c>
      <c r="G3646" s="0" t="n">
        <v>0</v>
      </c>
      <c r="J3646" s="0" t="s">
        <v>40</v>
      </c>
      <c r="O3646" s="0" t="s">
        <v>12145</v>
      </c>
    </row>
    <row r="3647" customFormat="false" ht="13.8" hidden="false" customHeight="false" outlineLevel="0" collapsed="false">
      <c r="A3647" s="0" t="s">
        <v>12142</v>
      </c>
      <c r="F3647" s="0" t="s">
        <v>40</v>
      </c>
      <c r="G3647" s="0" t="n">
        <v>0</v>
      </c>
      <c r="J3647" s="0" t="s">
        <v>40</v>
      </c>
      <c r="K3647" s="0" t="str">
        <f aca="false">"2.6 %"</f>
        <v>2.6 %</v>
      </c>
      <c r="O3647" s="0" t="s">
        <v>12146</v>
      </c>
    </row>
    <row r="3648" customFormat="false" ht="13.8" hidden="false" customHeight="false" outlineLevel="0" collapsed="false">
      <c r="A3648" s="0" t="s">
        <v>12147</v>
      </c>
      <c r="F3648" s="0" t="s">
        <v>40</v>
      </c>
      <c r="G3648" s="0" t="n">
        <v>1</v>
      </c>
      <c r="H3648" s="0" t="s">
        <v>33</v>
      </c>
      <c r="J3648" s="0" t="s">
        <v>60</v>
      </c>
      <c r="K3648" s="0" t="str">
        <f aca="false">"2.64 %"</f>
        <v>2.64 %</v>
      </c>
      <c r="O3648" s="0" t="s">
        <v>12148</v>
      </c>
    </row>
    <row r="3649" customFormat="false" ht="13.8" hidden="false" customHeight="false" outlineLevel="0" collapsed="false">
      <c r="A3649" s="0" t="s">
        <v>12149</v>
      </c>
      <c r="D3649" s="0" t="s">
        <v>1924</v>
      </c>
      <c r="E3649" s="0" t="s">
        <v>1925</v>
      </c>
      <c r="F3649" s="0" t="s">
        <v>12150</v>
      </c>
      <c r="G3649" s="0" t="n">
        <v>0</v>
      </c>
      <c r="J3649" s="0" t="s">
        <v>40</v>
      </c>
      <c r="K3649" s="0" t="str">
        <f aca="false">"4.52 %"</f>
        <v>4.52 %</v>
      </c>
      <c r="O3649" s="0" t="s">
        <v>12151</v>
      </c>
    </row>
    <row r="3650" customFormat="false" ht="13.8" hidden="false" customHeight="false" outlineLevel="0" collapsed="false">
      <c r="A3650" s="0" t="s">
        <v>12152</v>
      </c>
      <c r="F3650" s="0" t="s">
        <v>40</v>
      </c>
      <c r="G3650" s="0" t="n">
        <v>1</v>
      </c>
      <c r="H3650" s="0" t="s">
        <v>33</v>
      </c>
      <c r="J3650" s="0" t="s">
        <v>34</v>
      </c>
      <c r="K3650" s="0" t="str">
        <f aca="false">"0.043 %"</f>
        <v>0.043 %</v>
      </c>
      <c r="M3650" s="0" t="str">
        <f aca="false">"0.287 to 1.599 mA/cm^{2}"</f>
        <v>0.287 to 1.599 mA/cm^{2}</v>
      </c>
      <c r="N3650" s="0" t="str">
        <f aca="false">"19.08 and 24.55 %"</f>
        <v>19.08 and 24.55 %</v>
      </c>
      <c r="O3650" s="0" t="s">
        <v>12153</v>
      </c>
    </row>
    <row r="3651" customFormat="false" ht="13.8" hidden="false" customHeight="false" outlineLevel="0" collapsed="false">
      <c r="A3651" s="0" t="s">
        <v>12154</v>
      </c>
      <c r="D3651" s="0" t="s">
        <v>16</v>
      </c>
      <c r="E3651" s="0" t="s">
        <v>17</v>
      </c>
      <c r="F3651" s="0" t="s">
        <v>18</v>
      </c>
      <c r="G3651" s="0" t="n">
        <v>0</v>
      </c>
      <c r="J3651" s="0" t="s">
        <v>40</v>
      </c>
      <c r="K3651" s="0" t="str">
        <f aca="false">"0.16 %"</f>
        <v>0.16 %</v>
      </c>
      <c r="O3651" s="0" t="s">
        <v>12155</v>
      </c>
    </row>
    <row r="3652" customFormat="false" ht="13.8" hidden="false" customHeight="false" outlineLevel="0" collapsed="false">
      <c r="A3652" s="0" t="s">
        <v>12156</v>
      </c>
      <c r="D3652" s="0" t="s">
        <v>6262</v>
      </c>
      <c r="E3652" s="0" t="s">
        <v>2149</v>
      </c>
      <c r="F3652" s="0" t="s">
        <v>6263</v>
      </c>
      <c r="G3652" s="0" t="n">
        <v>0</v>
      </c>
      <c r="J3652" s="0" t="s">
        <v>40</v>
      </c>
      <c r="K3652" s="0" t="str">
        <f aca="false">"1.30 %"</f>
        <v>1.30 %</v>
      </c>
      <c r="M3652" s="0" t="str">
        <f aca="false">"3.92 mA cm^{-2}"</f>
        <v>3.92 mA cm^{-2}</v>
      </c>
      <c r="O3652" s="0" t="s">
        <v>12157</v>
      </c>
    </row>
    <row r="3653" customFormat="false" ht="13.8" hidden="false" customHeight="false" outlineLevel="0" collapsed="false">
      <c r="A3653" s="0" t="s">
        <v>12158</v>
      </c>
      <c r="D3653" s="0" t="s">
        <v>12159</v>
      </c>
      <c r="F3653" s="0" t="s">
        <v>12160</v>
      </c>
      <c r="G3653" s="0" t="n">
        <v>0</v>
      </c>
      <c r="J3653" s="0" t="s">
        <v>40</v>
      </c>
      <c r="K3653" s="0" t="str">
        <f aca="false">"3 %"</f>
        <v>3 %</v>
      </c>
      <c r="O3653" s="0" t="s">
        <v>12161</v>
      </c>
    </row>
    <row r="3654" customFormat="false" ht="13.8" hidden="false" customHeight="false" outlineLevel="0" collapsed="false">
      <c r="A3654" s="0" t="s">
        <v>12162</v>
      </c>
      <c r="F3654" s="0" t="s">
        <v>40</v>
      </c>
      <c r="G3654" s="0" t="n">
        <v>1</v>
      </c>
      <c r="H3654" s="0" t="s">
        <v>27</v>
      </c>
      <c r="J3654" s="0" t="s">
        <v>28</v>
      </c>
      <c r="K3654" s="0" t="str">
        <f aca="false">"5.4 %"</f>
        <v>5.4 %</v>
      </c>
      <c r="O3654" s="0" t="s">
        <v>12163</v>
      </c>
    </row>
    <row r="3655" customFormat="false" ht="13.8" hidden="false" customHeight="false" outlineLevel="0" collapsed="false">
      <c r="A3655" s="0" t="s">
        <v>12164</v>
      </c>
      <c r="D3655" s="0" t="s">
        <v>12165</v>
      </c>
      <c r="F3655" s="0" t="s">
        <v>12166</v>
      </c>
      <c r="G3655" s="0" t="n">
        <v>0</v>
      </c>
      <c r="J3655" s="0" t="s">
        <v>40</v>
      </c>
      <c r="K3655" s="0" t="str">
        <f aca="false">"2.7 %"</f>
        <v>2.7 %</v>
      </c>
      <c r="O3655" s="0" t="s">
        <v>12167</v>
      </c>
    </row>
    <row r="3656" customFormat="false" ht="13.8" hidden="false" customHeight="false" outlineLevel="0" collapsed="false">
      <c r="A3656" s="0" t="s">
        <v>12168</v>
      </c>
      <c r="B3656" s="0" t="n">
        <v>1</v>
      </c>
      <c r="D3656" s="0" t="s">
        <v>8041</v>
      </c>
      <c r="E3656" s="0" t="s">
        <v>1812</v>
      </c>
      <c r="F3656" s="0" t="s">
        <v>8042</v>
      </c>
      <c r="G3656" s="0" t="n">
        <v>1</v>
      </c>
      <c r="H3656" s="0" t="s">
        <v>195</v>
      </c>
      <c r="J3656" s="0" t="s">
        <v>40</v>
      </c>
      <c r="K3656" s="0" t="str">
        <f aca="false">"5.1 %"</f>
        <v>5.1 %</v>
      </c>
      <c r="O3656" s="0" t="s">
        <v>12169</v>
      </c>
    </row>
    <row r="3657" customFormat="false" ht="13.8" hidden="false" customHeight="false" outlineLevel="0" collapsed="false">
      <c r="A3657" s="0" t="s">
        <v>12170</v>
      </c>
      <c r="D3657" s="0" t="s">
        <v>4213</v>
      </c>
      <c r="E3657" s="0" t="s">
        <v>404</v>
      </c>
      <c r="F3657" s="0" t="s">
        <v>4214</v>
      </c>
      <c r="G3657" s="0" t="n">
        <v>0</v>
      </c>
      <c r="J3657" s="0" t="s">
        <v>40</v>
      </c>
      <c r="K3657" s="0" t="str">
        <f aca="false">"8.4 %"</f>
        <v>8.4 %</v>
      </c>
      <c r="O3657" s="0" t="s">
        <v>12171</v>
      </c>
    </row>
    <row r="3658" customFormat="false" ht="13.8" hidden="false" customHeight="false" outlineLevel="0" collapsed="false">
      <c r="A3658" s="0" t="s">
        <v>12172</v>
      </c>
      <c r="D3658" s="0" t="s">
        <v>12173</v>
      </c>
      <c r="F3658" s="0" t="s">
        <v>12174</v>
      </c>
      <c r="G3658" s="0" t="n">
        <v>0</v>
      </c>
      <c r="J3658" s="0" t="s">
        <v>40</v>
      </c>
      <c r="K3658" s="0" t="str">
        <f aca="false">"9.1 %"</f>
        <v>9.1 %</v>
      </c>
      <c r="N3658" s="0" t="str">
        <f aca="false">"0.77"</f>
        <v>0.77</v>
      </c>
      <c r="O3658" s="0" t="s">
        <v>12175</v>
      </c>
    </row>
    <row r="3659" customFormat="false" ht="13.8" hidden="false" customHeight="false" outlineLevel="0" collapsed="false">
      <c r="A3659" s="0" t="s">
        <v>12176</v>
      </c>
      <c r="F3659" s="0" t="s">
        <v>40</v>
      </c>
      <c r="G3659" s="0" t="n">
        <v>1</v>
      </c>
      <c r="H3659" s="0" t="s">
        <v>117</v>
      </c>
      <c r="J3659" s="0" t="s">
        <v>40</v>
      </c>
      <c r="K3659" s="0" t="str">
        <f aca="false">"4.8 %"</f>
        <v>4.8 %</v>
      </c>
      <c r="L3659" s="0" t="str">
        <f aca="false">"0.82 V"</f>
        <v>0.82 V</v>
      </c>
      <c r="O3659" s="0" t="s">
        <v>12177</v>
      </c>
    </row>
    <row r="3660" customFormat="false" ht="13.8" hidden="false" customHeight="false" outlineLevel="0" collapsed="false">
      <c r="A3660" s="0" t="s">
        <v>12176</v>
      </c>
      <c r="D3660" s="0" t="s">
        <v>16</v>
      </c>
      <c r="E3660" s="0" t="s">
        <v>17</v>
      </c>
      <c r="F3660" s="0" t="s">
        <v>3850</v>
      </c>
      <c r="G3660" s="0" t="n">
        <v>1</v>
      </c>
      <c r="H3660" s="0" t="s">
        <v>117</v>
      </c>
      <c r="J3660" s="0" t="s">
        <v>40</v>
      </c>
      <c r="K3660" s="0" t="str">
        <f aca="false">"6.2 %"</f>
        <v>6.2 %</v>
      </c>
      <c r="O3660" s="0" t="s">
        <v>12178</v>
      </c>
    </row>
    <row r="3661" customFormat="false" ht="13.8" hidden="false" customHeight="false" outlineLevel="0" collapsed="false">
      <c r="A3661" s="0" t="s">
        <v>12179</v>
      </c>
      <c r="D3661" s="0" t="s">
        <v>12180</v>
      </c>
      <c r="F3661" s="0" t="s">
        <v>12181</v>
      </c>
      <c r="G3661" s="0" t="n">
        <v>0</v>
      </c>
      <c r="J3661" s="0" t="s">
        <v>40</v>
      </c>
      <c r="K3661" s="0" t="str">
        <f aca="false">"7.38 %"</f>
        <v>7.38 %</v>
      </c>
      <c r="O3661" s="0" t="s">
        <v>12182</v>
      </c>
    </row>
    <row r="3662" customFormat="false" ht="13.8" hidden="false" customHeight="false" outlineLevel="0" collapsed="false">
      <c r="A3662" s="0" t="s">
        <v>12183</v>
      </c>
      <c r="D3662" s="0" t="s">
        <v>12184</v>
      </c>
      <c r="F3662" s="0" t="s">
        <v>12185</v>
      </c>
      <c r="G3662" s="0" t="n">
        <v>0</v>
      </c>
      <c r="J3662" s="0" t="s">
        <v>40</v>
      </c>
      <c r="K3662" s="0" t="str">
        <f aca="false">"6.00 %"</f>
        <v>6.00 %</v>
      </c>
      <c r="O3662" s="0" t="s">
        <v>12186</v>
      </c>
    </row>
    <row r="3663" customFormat="false" ht="13.8" hidden="false" customHeight="false" outlineLevel="0" collapsed="false">
      <c r="A3663" s="0" t="s">
        <v>12183</v>
      </c>
      <c r="D3663" s="0" t="s">
        <v>12187</v>
      </c>
      <c r="F3663" s="0" t="s">
        <v>12188</v>
      </c>
      <c r="G3663" s="0" t="n">
        <v>0</v>
      </c>
      <c r="J3663" s="0" t="s">
        <v>40</v>
      </c>
      <c r="K3663" s="0" t="str">
        <f aca="false">"2.11 %"</f>
        <v>2.11 %</v>
      </c>
      <c r="O3663" s="0" t="s">
        <v>12189</v>
      </c>
    </row>
    <row r="3664" customFormat="false" ht="13.8" hidden="false" customHeight="false" outlineLevel="0" collapsed="false">
      <c r="A3664" s="0" t="s">
        <v>12190</v>
      </c>
      <c r="D3664" s="0" t="s">
        <v>12191</v>
      </c>
      <c r="F3664" s="0" t="s">
        <v>12192</v>
      </c>
      <c r="G3664" s="0" t="n">
        <v>0</v>
      </c>
      <c r="J3664" s="0" t="s">
        <v>40</v>
      </c>
      <c r="K3664" s="0" t="str">
        <f aca="false">"10.5 %"</f>
        <v>10.5 %</v>
      </c>
      <c r="O3664" s="0" t="s">
        <v>12193</v>
      </c>
    </row>
    <row r="3665" customFormat="false" ht="13.8" hidden="false" customHeight="false" outlineLevel="0" collapsed="false">
      <c r="A3665" s="0" t="s">
        <v>12194</v>
      </c>
      <c r="D3665" s="0" t="s">
        <v>12195</v>
      </c>
      <c r="F3665" s="0" t="s">
        <v>12196</v>
      </c>
      <c r="G3665" s="0" t="n">
        <v>0</v>
      </c>
      <c r="J3665" s="0" t="s">
        <v>40</v>
      </c>
      <c r="K3665" s="0" t="str">
        <f aca="false">"3.6 %"</f>
        <v>3.6 %</v>
      </c>
      <c r="O3665" s="0" t="s">
        <v>12197</v>
      </c>
    </row>
    <row r="3666" customFormat="false" ht="13.8" hidden="false" customHeight="false" outlineLevel="0" collapsed="false">
      <c r="A3666" s="0" t="s">
        <v>12198</v>
      </c>
      <c r="F3666" s="0" t="s">
        <v>40</v>
      </c>
      <c r="G3666" s="0" t="n">
        <v>1</v>
      </c>
      <c r="H3666" s="0" t="s">
        <v>27</v>
      </c>
      <c r="J3666" s="0" t="s">
        <v>28</v>
      </c>
      <c r="K3666" s="0" t="str">
        <f aca="false">"10.10 %"</f>
        <v>10.10 %</v>
      </c>
      <c r="O3666" s="0" t="s">
        <v>12199</v>
      </c>
    </row>
    <row r="3667" customFormat="false" ht="13.8" hidden="false" customHeight="false" outlineLevel="0" collapsed="false">
      <c r="A3667" s="0" t="s">
        <v>12200</v>
      </c>
      <c r="D3667" s="0" t="s">
        <v>12201</v>
      </c>
      <c r="E3667" s="0" t="s">
        <v>12202</v>
      </c>
      <c r="F3667" s="0" t="s">
        <v>12203</v>
      </c>
      <c r="G3667" s="0" t="n">
        <v>0</v>
      </c>
      <c r="J3667" s="0" t="s">
        <v>40</v>
      </c>
      <c r="K3667" s="0" t="str">
        <f aca="false">"6.58 %"</f>
        <v>6.58 %</v>
      </c>
      <c r="O3667" s="0" t="s">
        <v>12204</v>
      </c>
    </row>
    <row r="3668" customFormat="false" ht="13.8" hidden="false" customHeight="false" outlineLevel="0" collapsed="false">
      <c r="A3668" s="0" t="s">
        <v>12205</v>
      </c>
      <c r="F3668" s="0" t="s">
        <v>40</v>
      </c>
      <c r="G3668" s="0" t="n">
        <v>1</v>
      </c>
      <c r="H3668" s="0" t="s">
        <v>33</v>
      </c>
      <c r="J3668" s="0" t="s">
        <v>34</v>
      </c>
      <c r="K3668" s="0" t="str">
        <f aca="false">"2.04 %"</f>
        <v>2.04 %</v>
      </c>
      <c r="O3668" s="0" t="s">
        <v>12206</v>
      </c>
    </row>
    <row r="3669" customFormat="false" ht="13.8" hidden="false" customHeight="false" outlineLevel="0" collapsed="false">
      <c r="A3669" s="0" t="s">
        <v>12207</v>
      </c>
      <c r="F3669" s="0" t="s">
        <v>40</v>
      </c>
      <c r="G3669" s="0" t="n">
        <v>0</v>
      </c>
      <c r="H3669" s="0" t="s">
        <v>12208</v>
      </c>
      <c r="J3669" s="0" t="s">
        <v>12209</v>
      </c>
      <c r="K3669" s="0" t="str">
        <f aca="false">"8.71 %"</f>
        <v>8.71 %</v>
      </c>
      <c r="O3669" s="0" t="s">
        <v>12210</v>
      </c>
    </row>
    <row r="3670" customFormat="false" ht="13.8" hidden="false" customHeight="false" outlineLevel="0" collapsed="false">
      <c r="A3670" s="0" t="s">
        <v>12211</v>
      </c>
      <c r="F3670" s="0" t="s">
        <v>40</v>
      </c>
      <c r="G3670" s="0" t="n">
        <v>1</v>
      </c>
      <c r="H3670" s="0" t="s">
        <v>27</v>
      </c>
      <c r="J3670" s="0" t="s">
        <v>28</v>
      </c>
      <c r="K3670" s="0" t="str">
        <f aca="false">"5.0 %"</f>
        <v>5.0 %</v>
      </c>
      <c r="O3670" s="0" t="s">
        <v>12212</v>
      </c>
    </row>
    <row r="3671" customFormat="false" ht="13.8" hidden="false" customHeight="false" outlineLevel="0" collapsed="false">
      <c r="A3671" s="0" t="s">
        <v>12213</v>
      </c>
      <c r="D3671" s="0" t="s">
        <v>7785</v>
      </c>
      <c r="F3671" s="0" t="s">
        <v>40</v>
      </c>
      <c r="G3671" s="0" t="n">
        <v>0</v>
      </c>
      <c r="J3671" s="0" t="s">
        <v>40</v>
      </c>
      <c r="K3671" s="0" t="str">
        <f aca="false">"9.73 %"</f>
        <v>9.73 %</v>
      </c>
      <c r="O3671" s="0" t="s">
        <v>12214</v>
      </c>
    </row>
    <row r="3672" customFormat="false" ht="13.8" hidden="false" customHeight="false" outlineLevel="0" collapsed="false">
      <c r="A3672" s="0" t="s">
        <v>12215</v>
      </c>
      <c r="D3672" s="0" t="s">
        <v>12216</v>
      </c>
      <c r="F3672" s="0" t="s">
        <v>12217</v>
      </c>
      <c r="G3672" s="0" t="n">
        <v>0</v>
      </c>
      <c r="J3672" s="0" t="s">
        <v>40</v>
      </c>
      <c r="K3672" s="0" t="str">
        <f aca="false">"9.28 %"</f>
        <v>9.28 %</v>
      </c>
      <c r="O3672" s="0" t="s">
        <v>12218</v>
      </c>
    </row>
    <row r="3673" customFormat="false" ht="13.8" hidden="false" customHeight="false" outlineLevel="0" collapsed="false">
      <c r="A3673" s="0" t="s">
        <v>12219</v>
      </c>
      <c r="F3673" s="0" t="s">
        <v>40</v>
      </c>
      <c r="G3673" s="0" t="n">
        <v>0</v>
      </c>
      <c r="H3673" s="0" t="s">
        <v>12220</v>
      </c>
      <c r="J3673" s="0" t="s">
        <v>40</v>
      </c>
      <c r="K3673" s="0" t="str">
        <f aca="false">"7.7 %"</f>
        <v>7.7 %</v>
      </c>
      <c r="O3673" s="0" t="s">
        <v>12221</v>
      </c>
    </row>
    <row r="3674" customFormat="false" ht="13.8" hidden="false" customHeight="false" outlineLevel="0" collapsed="false">
      <c r="A3674" s="0" t="s">
        <v>12222</v>
      </c>
      <c r="D3674" s="0" t="s">
        <v>10891</v>
      </c>
      <c r="F3674" s="0" t="s">
        <v>10892</v>
      </c>
      <c r="G3674" s="0" t="n">
        <v>0</v>
      </c>
      <c r="J3674" s="0" t="s">
        <v>40</v>
      </c>
      <c r="K3674" s="0" t="str">
        <f aca="false">"13 %"</f>
        <v>13 %</v>
      </c>
      <c r="O3674" s="0" t="s">
        <v>12223</v>
      </c>
    </row>
    <row r="3675" customFormat="false" ht="13.8" hidden="false" customHeight="false" outlineLevel="0" collapsed="false">
      <c r="A3675" s="0" t="s">
        <v>12224</v>
      </c>
      <c r="D3675" s="0" t="s">
        <v>128</v>
      </c>
      <c r="F3675" s="0" t="s">
        <v>130</v>
      </c>
      <c r="G3675" s="0" t="n">
        <v>0</v>
      </c>
      <c r="J3675" s="0" t="s">
        <v>40</v>
      </c>
      <c r="K3675" s="0" t="str">
        <f aca="false">"14.2 %"</f>
        <v>14.2 %</v>
      </c>
      <c r="L3675" s="0" t="str">
        <f aca="false">"0.90 V"</f>
        <v>0.90 V</v>
      </c>
      <c r="N3675" s="0" t="str">
        <f aca="false">"0.76"</f>
        <v>0.76</v>
      </c>
      <c r="O3675" s="0" t="s">
        <v>12225</v>
      </c>
    </row>
    <row r="3676" customFormat="false" ht="13.8" hidden="false" customHeight="false" outlineLevel="0" collapsed="false">
      <c r="A3676" s="0" t="s">
        <v>12226</v>
      </c>
      <c r="F3676" s="0" t="s">
        <v>40</v>
      </c>
      <c r="G3676" s="0" t="n">
        <v>0</v>
      </c>
      <c r="H3676" s="0" t="s">
        <v>12227</v>
      </c>
      <c r="J3676" s="0" t="s">
        <v>40</v>
      </c>
      <c r="K3676" s="0" t="str">
        <f aca="false">"9.6 %"</f>
        <v>9.6 %</v>
      </c>
      <c r="O3676" s="0" t="s">
        <v>12228</v>
      </c>
    </row>
    <row r="3677" customFormat="false" ht="13.8" hidden="false" customHeight="false" outlineLevel="0" collapsed="false">
      <c r="A3677" s="0" t="s">
        <v>12229</v>
      </c>
      <c r="F3677" s="0" t="s">
        <v>40</v>
      </c>
      <c r="G3677" s="0" t="n">
        <v>1</v>
      </c>
      <c r="H3677" s="0" t="s">
        <v>33</v>
      </c>
      <c r="J3677" s="0" t="s">
        <v>34</v>
      </c>
      <c r="K3677" s="0" t="str">
        <f aca="false">"5.1 %"</f>
        <v>5.1 %</v>
      </c>
      <c r="L3677" s="0" t="str">
        <f aca="false">"140 mV"</f>
        <v>140 mV</v>
      </c>
      <c r="O3677" s="0" t="s">
        <v>12230</v>
      </c>
    </row>
    <row r="3678" customFormat="false" ht="13.8" hidden="false" customHeight="false" outlineLevel="0" collapsed="false">
      <c r="A3678" s="0" t="s">
        <v>12231</v>
      </c>
      <c r="F3678" s="0" t="s">
        <v>40</v>
      </c>
      <c r="G3678" s="0" t="n">
        <v>1</v>
      </c>
      <c r="H3678" s="0" t="s">
        <v>27</v>
      </c>
      <c r="J3678" s="0" t="s">
        <v>28</v>
      </c>
      <c r="K3678" s="0" t="str">
        <f aca="false">"9 %"</f>
        <v>9 %</v>
      </c>
      <c r="O3678" s="0" t="s">
        <v>12232</v>
      </c>
    </row>
    <row r="3679" customFormat="false" ht="13.8" hidden="false" customHeight="false" outlineLevel="0" collapsed="false">
      <c r="A3679" s="0" t="s">
        <v>12233</v>
      </c>
      <c r="D3679" s="0" t="s">
        <v>10553</v>
      </c>
      <c r="E3679" s="0" t="s">
        <v>1169</v>
      </c>
      <c r="F3679" s="0" t="s">
        <v>10769</v>
      </c>
      <c r="G3679" s="0" t="n">
        <v>0</v>
      </c>
      <c r="J3679" s="0" t="s">
        <v>40</v>
      </c>
      <c r="K3679" s="0" t="str">
        <f aca="false">"8.52 %"</f>
        <v>8.52 %</v>
      </c>
      <c r="O3679" s="0" t="s">
        <v>12234</v>
      </c>
    </row>
    <row r="3680" customFormat="false" ht="13.8" hidden="false" customHeight="false" outlineLevel="0" collapsed="false">
      <c r="A3680" s="0" t="s">
        <v>12235</v>
      </c>
      <c r="D3680" s="0" t="s">
        <v>6253</v>
      </c>
      <c r="E3680" s="0" t="s">
        <v>1169</v>
      </c>
      <c r="F3680" s="0" t="s">
        <v>6254</v>
      </c>
      <c r="G3680" s="0" t="n">
        <v>0</v>
      </c>
      <c r="J3680" s="0" t="s">
        <v>40</v>
      </c>
      <c r="K3680" s="0" t="str">
        <f aca="false">"13.2 %"</f>
        <v>13.2 %</v>
      </c>
      <c r="O3680" s="0" t="s">
        <v>12236</v>
      </c>
    </row>
    <row r="3681" customFormat="false" ht="13.8" hidden="false" customHeight="false" outlineLevel="0" collapsed="false">
      <c r="A3681" s="0" t="s">
        <v>12237</v>
      </c>
      <c r="D3681" s="0" t="s">
        <v>12238</v>
      </c>
      <c r="F3681" s="0" t="s">
        <v>12239</v>
      </c>
      <c r="G3681" s="0" t="n">
        <v>0</v>
      </c>
      <c r="J3681" s="0" t="s">
        <v>40</v>
      </c>
      <c r="K3681" s="0" t="str">
        <f aca="false">"18 %"</f>
        <v>18 %</v>
      </c>
      <c r="O3681" s="0" t="s">
        <v>12240</v>
      </c>
    </row>
    <row r="3682" customFormat="false" ht="13.8" hidden="false" customHeight="false" outlineLevel="0" collapsed="false">
      <c r="A3682" s="0" t="s">
        <v>12241</v>
      </c>
      <c r="D3682" s="0" t="s">
        <v>12242</v>
      </c>
      <c r="F3682" s="0" t="s">
        <v>12243</v>
      </c>
      <c r="G3682" s="0" t="n">
        <v>0</v>
      </c>
      <c r="J3682" s="0" t="s">
        <v>40</v>
      </c>
      <c r="K3682" s="0" t="str">
        <f aca="false">"6.5-6.7 %"</f>
        <v>6.5-6.7 %</v>
      </c>
      <c r="O3682" s="0" t="s">
        <v>12244</v>
      </c>
    </row>
    <row r="3683" customFormat="false" ht="13.8" hidden="false" customHeight="false" outlineLevel="0" collapsed="false">
      <c r="A3683" s="0" t="s">
        <v>12245</v>
      </c>
      <c r="D3683" s="0" t="s">
        <v>201</v>
      </c>
      <c r="E3683" s="0" t="s">
        <v>202</v>
      </c>
      <c r="F3683" s="0" t="s">
        <v>422</v>
      </c>
      <c r="G3683" s="0" t="n">
        <v>0</v>
      </c>
      <c r="J3683" s="0" t="s">
        <v>40</v>
      </c>
      <c r="K3683" s="0" t="str">
        <f aca="false">"9.24 %"</f>
        <v>9.24 %</v>
      </c>
      <c r="O3683" s="0" t="s">
        <v>12246</v>
      </c>
    </row>
    <row r="3684" customFormat="false" ht="13.8" hidden="false" customHeight="false" outlineLevel="0" collapsed="false">
      <c r="A3684" s="0" t="s">
        <v>12247</v>
      </c>
      <c r="D3684" s="0" t="s">
        <v>12248</v>
      </c>
      <c r="F3684" s="0" t="s">
        <v>12249</v>
      </c>
      <c r="G3684" s="0" t="n">
        <v>0</v>
      </c>
      <c r="J3684" s="0" t="s">
        <v>40</v>
      </c>
      <c r="K3684" s="0" t="str">
        <f aca="false">"8.55 %"</f>
        <v>8.55 %</v>
      </c>
      <c r="O3684" s="0" t="s">
        <v>12250</v>
      </c>
    </row>
    <row r="3685" customFormat="false" ht="13.8" hidden="false" customHeight="false" outlineLevel="0" collapsed="false">
      <c r="A3685" s="0" t="s">
        <v>12251</v>
      </c>
      <c r="C3685" s="0" t="n">
        <v>1</v>
      </c>
      <c r="D3685" s="0" t="s">
        <v>12252</v>
      </c>
      <c r="E3685" s="0" t="s">
        <v>1812</v>
      </c>
      <c r="F3685" s="0" t="s">
        <v>12253</v>
      </c>
      <c r="G3685" s="0" t="n">
        <v>0</v>
      </c>
      <c r="J3685" s="0" t="s">
        <v>40</v>
      </c>
      <c r="K3685" s="0" t="str">
        <f aca="false">"~3.4 %"</f>
        <v>~3.4 %</v>
      </c>
      <c r="O3685" s="0" t="s">
        <v>12254</v>
      </c>
    </row>
    <row r="3686" customFormat="false" ht="13.8" hidden="false" customHeight="false" outlineLevel="0" collapsed="false">
      <c r="A3686" s="0" t="s">
        <v>12255</v>
      </c>
      <c r="D3686" s="0" t="s">
        <v>12256</v>
      </c>
      <c r="F3686" s="0" t="s">
        <v>12257</v>
      </c>
      <c r="G3686" s="0" t="n">
        <v>0</v>
      </c>
      <c r="J3686" s="0" t="s">
        <v>40</v>
      </c>
      <c r="K3686" s="0" t="str">
        <f aca="false">"12 %"</f>
        <v>12 %</v>
      </c>
      <c r="O3686" s="0" t="s">
        <v>12258</v>
      </c>
    </row>
    <row r="3687" customFormat="false" ht="13.8" hidden="false" customHeight="false" outlineLevel="0" collapsed="false">
      <c r="A3687" s="0" t="s">
        <v>12259</v>
      </c>
      <c r="D3687" s="0" t="s">
        <v>1031</v>
      </c>
      <c r="E3687" s="0" t="s">
        <v>1032</v>
      </c>
      <c r="F3687" s="0" t="s">
        <v>8280</v>
      </c>
      <c r="G3687" s="0" t="n">
        <v>0</v>
      </c>
      <c r="J3687" s="0" t="s">
        <v>40</v>
      </c>
      <c r="K3687" s="0" t="str">
        <f aca="false">"3.7 ± 0.2 %"</f>
        <v>3.7 ± 0.2 %</v>
      </c>
      <c r="O3687" s="0" t="s">
        <v>12260</v>
      </c>
    </row>
    <row r="3688" customFormat="false" ht="13.8" hidden="false" customHeight="false" outlineLevel="0" collapsed="false">
      <c r="A3688" s="0" t="s">
        <v>12261</v>
      </c>
      <c r="D3688" s="0" t="s">
        <v>208</v>
      </c>
      <c r="E3688" s="0" t="s">
        <v>17</v>
      </c>
      <c r="F3688" s="0" t="s">
        <v>209</v>
      </c>
      <c r="G3688" s="0" t="n">
        <v>0</v>
      </c>
      <c r="J3688" s="0" t="s">
        <v>40</v>
      </c>
      <c r="K3688" s="0" t="str">
        <f aca="false">"15 %"</f>
        <v>15 %</v>
      </c>
      <c r="O3688" s="0" t="s">
        <v>12262</v>
      </c>
    </row>
    <row r="3689" customFormat="false" ht="13.8" hidden="false" customHeight="false" outlineLevel="0" collapsed="false">
      <c r="A3689" s="0" t="s">
        <v>12263</v>
      </c>
      <c r="D3689" s="0" t="s">
        <v>6253</v>
      </c>
      <c r="E3689" s="0" t="s">
        <v>1169</v>
      </c>
      <c r="F3689" s="0" t="s">
        <v>6254</v>
      </c>
      <c r="G3689" s="0" t="n">
        <v>0</v>
      </c>
      <c r="J3689" s="0" t="s">
        <v>40</v>
      </c>
      <c r="K3689" s="0" t="str">
        <f aca="false">"9.3 %"</f>
        <v>9.3 %</v>
      </c>
      <c r="O3689" s="0" t="s">
        <v>12264</v>
      </c>
    </row>
    <row r="3690" customFormat="false" ht="13.8" hidden="false" customHeight="false" outlineLevel="0" collapsed="false">
      <c r="A3690" s="0" t="s">
        <v>12265</v>
      </c>
      <c r="D3690" s="0" t="s">
        <v>6984</v>
      </c>
      <c r="E3690" s="0" t="s">
        <v>925</v>
      </c>
      <c r="F3690" s="0" t="s">
        <v>12266</v>
      </c>
      <c r="G3690" s="0" t="n">
        <v>0</v>
      </c>
      <c r="J3690" s="0" t="s">
        <v>40</v>
      </c>
      <c r="K3690" s="0" t="str">
        <f aca="false">"6.87 %"</f>
        <v>6.87 %</v>
      </c>
      <c r="L3690" s="0" t="str">
        <f aca="false">"0.89 V"</f>
        <v>0.89 V</v>
      </c>
      <c r="M3690" s="0" t="str">
        <f aca="false">"11.60 mA cm^{-2}"</f>
        <v>11.60 mA cm^{-2}</v>
      </c>
      <c r="N3690" s="0" t="str">
        <f aca="false">"66.87 %"</f>
        <v>66.87 %</v>
      </c>
      <c r="O3690" s="0" t="s">
        <v>12267</v>
      </c>
    </row>
    <row r="3691" customFormat="false" ht="13.8" hidden="false" customHeight="false" outlineLevel="0" collapsed="false">
      <c r="A3691" s="0" t="s">
        <v>12268</v>
      </c>
      <c r="F3691" s="0" t="s">
        <v>40</v>
      </c>
      <c r="G3691" s="0" t="n">
        <v>1</v>
      </c>
      <c r="H3691" s="0" t="s">
        <v>76</v>
      </c>
      <c r="J3691" s="0" t="s">
        <v>77</v>
      </c>
      <c r="K3691" s="0" t="str">
        <f aca="false">"2.04 %"</f>
        <v>2.04 %</v>
      </c>
      <c r="O3691" s="0" t="s">
        <v>12269</v>
      </c>
    </row>
    <row r="3692" customFormat="false" ht="13.8" hidden="false" customHeight="false" outlineLevel="0" collapsed="false">
      <c r="A3692" s="0" t="s">
        <v>12270</v>
      </c>
      <c r="D3692" s="0" t="s">
        <v>85</v>
      </c>
      <c r="E3692" s="0" t="s">
        <v>86</v>
      </c>
      <c r="F3692" s="0" t="s">
        <v>87</v>
      </c>
      <c r="G3692" s="0" t="n">
        <v>0</v>
      </c>
      <c r="J3692" s="0" t="s">
        <v>40</v>
      </c>
      <c r="K3692" s="0" t="str">
        <f aca="false">"2.79 %"</f>
        <v>2.79 %</v>
      </c>
      <c r="O3692" s="0" t="s">
        <v>12271</v>
      </c>
    </row>
    <row r="3693" customFormat="false" ht="13.8" hidden="false" customHeight="false" outlineLevel="0" collapsed="false">
      <c r="A3693" s="0" t="s">
        <v>12272</v>
      </c>
      <c r="D3693" s="0" t="s">
        <v>2267</v>
      </c>
      <c r="E3693" s="0" t="s">
        <v>2268</v>
      </c>
      <c r="F3693" s="0" t="s">
        <v>12273</v>
      </c>
      <c r="G3693" s="0" t="n">
        <v>0</v>
      </c>
      <c r="J3693" s="0" t="s">
        <v>40</v>
      </c>
      <c r="K3693" s="0" t="str">
        <f aca="false">"5.7 %"</f>
        <v>5.7 %</v>
      </c>
      <c r="M3693" s="0" t="str">
        <f aca="false">"21.1 mA/cm^{2}"</f>
        <v>21.1 mA/cm^{2}</v>
      </c>
      <c r="O3693" s="0" t="s">
        <v>12274</v>
      </c>
    </row>
    <row r="3694" customFormat="false" ht="13.8" hidden="false" customHeight="false" outlineLevel="0" collapsed="false">
      <c r="A3694" s="0" t="s">
        <v>12275</v>
      </c>
      <c r="D3694" s="0" t="s">
        <v>12276</v>
      </c>
      <c r="F3694" s="0" t="s">
        <v>12277</v>
      </c>
      <c r="G3694" s="0" t="n">
        <v>0</v>
      </c>
      <c r="J3694" s="0" t="s">
        <v>40</v>
      </c>
      <c r="K3694" s="0" t="str">
        <f aca="false">"13.9 %"</f>
        <v>13.9 %</v>
      </c>
      <c r="O3694" s="0" t="s">
        <v>12278</v>
      </c>
    </row>
    <row r="3695" customFormat="false" ht="13.8" hidden="false" customHeight="false" outlineLevel="0" collapsed="false">
      <c r="A3695" s="0" t="s">
        <v>12279</v>
      </c>
      <c r="F3695" s="0" t="s">
        <v>40</v>
      </c>
      <c r="G3695" s="0" t="n">
        <v>1</v>
      </c>
      <c r="H3695" s="0" t="s">
        <v>76</v>
      </c>
      <c r="J3695" s="0" t="s">
        <v>77</v>
      </c>
      <c r="K3695" s="0" t="str">
        <f aca="false">"9.68 %"</f>
        <v>9.68 %</v>
      </c>
      <c r="O3695" s="0" t="s">
        <v>12280</v>
      </c>
    </row>
    <row r="3696" customFormat="false" ht="13.8" hidden="false" customHeight="false" outlineLevel="0" collapsed="false">
      <c r="A3696" s="0" t="s">
        <v>12281</v>
      </c>
      <c r="D3696" s="0" t="s">
        <v>12282</v>
      </c>
      <c r="F3696" s="0" t="s">
        <v>40</v>
      </c>
      <c r="G3696" s="0" t="n">
        <v>0</v>
      </c>
      <c r="J3696" s="0" t="s">
        <v>40</v>
      </c>
      <c r="K3696" s="0" t="str">
        <f aca="false">"2.6 %"</f>
        <v>2.6 %</v>
      </c>
      <c r="O3696" s="0" t="s">
        <v>12283</v>
      </c>
    </row>
    <row r="3697" customFormat="false" ht="13.8" hidden="false" customHeight="false" outlineLevel="0" collapsed="false">
      <c r="A3697" s="0" t="s">
        <v>12284</v>
      </c>
      <c r="F3697" s="0" t="s">
        <v>40</v>
      </c>
      <c r="G3697" s="0" t="n">
        <v>0</v>
      </c>
      <c r="H3697" s="0" t="s">
        <v>12285</v>
      </c>
      <c r="I3697" s="0" t="s">
        <v>12286</v>
      </c>
      <c r="J3697" s="0" t="s">
        <v>12287</v>
      </c>
      <c r="K3697" s="0" t="str">
        <f aca="false">"11.95 %"</f>
        <v>11.95 %</v>
      </c>
      <c r="L3697" s="0" t="str">
        <f aca="false">"0.88 V"</f>
        <v>0.88 V</v>
      </c>
      <c r="M3697" s="0" t="str">
        <f aca="false">"19.76 mA cm^{-2}"</f>
        <v>19.76 mA cm^{-2}</v>
      </c>
      <c r="O3697" s="0" t="s">
        <v>12288</v>
      </c>
    </row>
    <row r="3698" customFormat="false" ht="13.8" hidden="false" customHeight="false" outlineLevel="0" collapsed="false">
      <c r="A3698" s="0" t="s">
        <v>12284</v>
      </c>
      <c r="D3698" s="0" t="s">
        <v>12289</v>
      </c>
      <c r="F3698" s="0" t="s">
        <v>12290</v>
      </c>
      <c r="G3698" s="0" t="n">
        <v>0</v>
      </c>
      <c r="H3698" s="0" t="s">
        <v>12285</v>
      </c>
      <c r="I3698" s="0" t="s">
        <v>12286</v>
      </c>
      <c r="J3698" s="0" t="s">
        <v>12287</v>
      </c>
      <c r="K3698" s="0" t="str">
        <f aca="false">"6.97 %"</f>
        <v>6.97 %</v>
      </c>
      <c r="L3698" s="0" t="str">
        <f aca="false">"0.81 V"</f>
        <v>0.81 V</v>
      </c>
      <c r="M3698" s="0" t="str">
        <f aca="false">"15.97 mA cm^{-2}"</f>
        <v>15.97 mA cm^{-2}</v>
      </c>
      <c r="N3698" s="0" t="str">
        <f aca="false">"53.9 %"</f>
        <v>53.9 %</v>
      </c>
      <c r="O3698" s="0" t="s">
        <v>12291</v>
      </c>
    </row>
    <row r="3699" customFormat="false" ht="13.8" hidden="false" customHeight="false" outlineLevel="0" collapsed="false">
      <c r="A3699" s="0" t="s">
        <v>12292</v>
      </c>
      <c r="D3699" s="0" t="s">
        <v>1924</v>
      </c>
      <c r="E3699" s="0" t="s">
        <v>1925</v>
      </c>
      <c r="F3699" s="0" t="s">
        <v>1926</v>
      </c>
      <c r="G3699" s="0" t="n">
        <v>0</v>
      </c>
      <c r="J3699" s="0" t="s">
        <v>40</v>
      </c>
      <c r="K3699" s="0" t="str">
        <f aca="false">"15 %"</f>
        <v>15 %</v>
      </c>
      <c r="O3699" s="0" t="s">
        <v>12293</v>
      </c>
    </row>
    <row r="3700" customFormat="false" ht="13.8" hidden="false" customHeight="false" outlineLevel="0" collapsed="false">
      <c r="A3700" s="0" t="s">
        <v>12292</v>
      </c>
      <c r="D3700" s="0" t="s">
        <v>10553</v>
      </c>
      <c r="E3700" s="0" t="s">
        <v>1169</v>
      </c>
      <c r="F3700" s="0" t="s">
        <v>10769</v>
      </c>
      <c r="G3700" s="0" t="n">
        <v>0</v>
      </c>
      <c r="J3700" s="0" t="s">
        <v>40</v>
      </c>
      <c r="K3700" s="0" t="str">
        <f aca="false">"13.38 %"</f>
        <v>13.38 %</v>
      </c>
      <c r="O3700" s="0" t="s">
        <v>12294</v>
      </c>
    </row>
    <row r="3701" customFormat="false" ht="13.8" hidden="false" customHeight="false" outlineLevel="0" collapsed="false">
      <c r="A3701" s="0" t="s">
        <v>12292</v>
      </c>
      <c r="D3701" s="0" t="s">
        <v>6253</v>
      </c>
      <c r="E3701" s="0" t="s">
        <v>1169</v>
      </c>
      <c r="F3701" s="0" t="s">
        <v>6254</v>
      </c>
      <c r="G3701" s="0" t="n">
        <v>0</v>
      </c>
      <c r="J3701" s="0" t="s">
        <v>40</v>
      </c>
      <c r="K3701" s="0" t="str">
        <f aca="false">"9.5 %"</f>
        <v>9.5 %</v>
      </c>
      <c r="O3701" s="0" t="s">
        <v>12295</v>
      </c>
    </row>
    <row r="3702" customFormat="false" ht="13.8" hidden="false" customHeight="false" outlineLevel="0" collapsed="false">
      <c r="A3702" s="0" t="s">
        <v>12296</v>
      </c>
      <c r="D3702" s="0" t="s">
        <v>16</v>
      </c>
      <c r="E3702" s="0" t="s">
        <v>17</v>
      </c>
      <c r="F3702" s="0" t="s">
        <v>18</v>
      </c>
      <c r="G3702" s="0" t="n">
        <v>0</v>
      </c>
      <c r="J3702" s="0" t="s">
        <v>40</v>
      </c>
      <c r="K3702" s="0" t="str">
        <f aca="false">"1.9 %"</f>
        <v>1.9 %</v>
      </c>
      <c r="L3702" s="0" t="str">
        <f aca="false">"0.80 V"</f>
        <v>0.80 V</v>
      </c>
      <c r="O3702" s="0" t="s">
        <v>12297</v>
      </c>
    </row>
    <row r="3703" customFormat="false" ht="13.8" hidden="false" customHeight="false" outlineLevel="0" collapsed="false">
      <c r="A3703" s="0" t="s">
        <v>12298</v>
      </c>
      <c r="F3703" s="0" t="s">
        <v>40</v>
      </c>
      <c r="G3703" s="0" t="n">
        <v>0</v>
      </c>
      <c r="H3703" s="0" t="s">
        <v>11043</v>
      </c>
      <c r="J3703" s="0" t="s">
        <v>12299</v>
      </c>
      <c r="K3703" s="0" t="str">
        <f aca="false">"0.041 %"</f>
        <v>0.041 %</v>
      </c>
      <c r="N3703" s="0" t="str">
        <f aca="false">"38 %"</f>
        <v>38 %</v>
      </c>
      <c r="O3703" s="0" t="s">
        <v>12300</v>
      </c>
    </row>
    <row r="3704" customFormat="false" ht="13.8" hidden="false" customHeight="false" outlineLevel="0" collapsed="false">
      <c r="A3704" s="0" t="s">
        <v>12301</v>
      </c>
      <c r="F3704" s="0" t="s">
        <v>40</v>
      </c>
      <c r="G3704" s="0" t="n">
        <v>1</v>
      </c>
      <c r="H3704" s="0" t="s">
        <v>33</v>
      </c>
      <c r="J3704" s="0" t="s">
        <v>34</v>
      </c>
      <c r="K3704" s="0" t="str">
        <f aca="false">"~2.58 %"</f>
        <v>~2.58 %</v>
      </c>
      <c r="O3704" s="0" t="s">
        <v>12302</v>
      </c>
    </row>
    <row r="3705" customFormat="false" ht="13.8" hidden="false" customHeight="false" outlineLevel="0" collapsed="false">
      <c r="A3705" s="0" t="s">
        <v>12303</v>
      </c>
      <c r="D3705" s="0" t="s">
        <v>6253</v>
      </c>
      <c r="E3705" s="0" t="s">
        <v>1169</v>
      </c>
      <c r="F3705" s="0" t="s">
        <v>6254</v>
      </c>
      <c r="G3705" s="0" t="n">
        <v>0</v>
      </c>
      <c r="J3705" s="0" t="s">
        <v>40</v>
      </c>
      <c r="K3705" s="0" t="str">
        <f aca="false">"8.0 %"</f>
        <v>8.0 %</v>
      </c>
      <c r="L3705" s="0" t="str">
        <f aca="false">"607 mV"</f>
        <v>607 mV</v>
      </c>
      <c r="M3705" s="0" t="str">
        <f aca="false">"34.0 mA/cm^{2}"</f>
        <v>34.0 mA/cm^{2}</v>
      </c>
      <c r="N3705" s="0" t="str">
        <f aca="false">"61.4 %"</f>
        <v>61.4 %</v>
      </c>
      <c r="O3705" s="0" t="s">
        <v>12304</v>
      </c>
    </row>
    <row r="3706" customFormat="false" ht="13.8" hidden="false" customHeight="false" outlineLevel="0" collapsed="false">
      <c r="A3706" s="0" t="s">
        <v>12305</v>
      </c>
      <c r="F3706" s="0" t="s">
        <v>40</v>
      </c>
      <c r="G3706" s="0" t="n">
        <v>1</v>
      </c>
      <c r="H3706" s="0" t="s">
        <v>33</v>
      </c>
      <c r="J3706" s="0" t="s">
        <v>34</v>
      </c>
      <c r="K3706" s="0" t="str">
        <f aca="false">"10-20 %"</f>
        <v>10-20 %</v>
      </c>
      <c r="O3706" s="0" t="s">
        <v>12306</v>
      </c>
    </row>
    <row r="3707" customFormat="false" ht="13.8" hidden="false" customHeight="false" outlineLevel="0" collapsed="false">
      <c r="A3707" s="0" t="s">
        <v>12307</v>
      </c>
      <c r="D3707" s="0" t="s">
        <v>12308</v>
      </c>
      <c r="F3707" s="0" t="s">
        <v>40</v>
      </c>
      <c r="G3707" s="0" t="n">
        <v>0</v>
      </c>
      <c r="J3707" s="0" t="s">
        <v>40</v>
      </c>
      <c r="K3707" s="0" t="str">
        <f aca="false">"14.5 %"</f>
        <v>14.5 %</v>
      </c>
      <c r="O3707" s="0" t="s">
        <v>12309</v>
      </c>
    </row>
    <row r="3708" customFormat="false" ht="13.8" hidden="false" customHeight="false" outlineLevel="0" collapsed="false">
      <c r="A3708" s="0" t="s">
        <v>12310</v>
      </c>
      <c r="D3708" s="0" t="s">
        <v>1924</v>
      </c>
      <c r="E3708" s="0" t="s">
        <v>1925</v>
      </c>
      <c r="F3708" s="0" t="s">
        <v>1926</v>
      </c>
      <c r="G3708" s="0" t="n">
        <v>0</v>
      </c>
      <c r="J3708" s="0" t="s">
        <v>40</v>
      </c>
      <c r="K3708" s="0" t="str">
        <f aca="false">"15 %"</f>
        <v>15 %</v>
      </c>
      <c r="O3708" s="0" t="s">
        <v>12311</v>
      </c>
    </row>
    <row r="3709" customFormat="false" ht="13.8" hidden="false" customHeight="false" outlineLevel="0" collapsed="false">
      <c r="A3709" s="0" t="s">
        <v>12312</v>
      </c>
      <c r="D3709" s="0" t="s">
        <v>12313</v>
      </c>
      <c r="F3709" s="0" t="s">
        <v>12314</v>
      </c>
      <c r="G3709" s="0" t="n">
        <v>0</v>
      </c>
      <c r="J3709" s="0" t="s">
        <v>40</v>
      </c>
      <c r="K3709" s="0" t="str">
        <f aca="false">"7.85 %"</f>
        <v>7.85 %</v>
      </c>
      <c r="O3709" s="0" t="s">
        <v>12315</v>
      </c>
    </row>
    <row r="3710" customFormat="false" ht="13.8" hidden="false" customHeight="false" outlineLevel="0" collapsed="false">
      <c r="A3710" s="0" t="s">
        <v>12316</v>
      </c>
      <c r="D3710" s="0" t="s">
        <v>12317</v>
      </c>
      <c r="F3710" s="0" t="s">
        <v>12318</v>
      </c>
      <c r="G3710" s="0" t="n">
        <v>0</v>
      </c>
      <c r="J3710" s="0" t="s">
        <v>40</v>
      </c>
      <c r="K3710" s="0" t="str">
        <f aca="false">"4.5 %"</f>
        <v>4.5 %</v>
      </c>
      <c r="O3710" s="0" t="s">
        <v>12319</v>
      </c>
    </row>
    <row r="3711" customFormat="false" ht="13.8" hidden="false" customHeight="false" outlineLevel="0" collapsed="false">
      <c r="A3711" s="0" t="s">
        <v>12320</v>
      </c>
      <c r="D3711" s="0" t="s">
        <v>9663</v>
      </c>
      <c r="E3711" s="0" t="s">
        <v>9424</v>
      </c>
      <c r="F3711" s="0" t="s">
        <v>12321</v>
      </c>
      <c r="G3711" s="0" t="n">
        <v>0</v>
      </c>
      <c r="J3711" s="0" t="s">
        <v>40</v>
      </c>
      <c r="K3711" s="0" t="str">
        <f aca="false">"7.70 %"</f>
        <v>7.70 %</v>
      </c>
      <c r="O3711" s="0" t="s">
        <v>12322</v>
      </c>
    </row>
    <row r="3712" customFormat="false" ht="13.8" hidden="false" customHeight="false" outlineLevel="0" collapsed="false">
      <c r="A3712" s="0" t="s">
        <v>12323</v>
      </c>
      <c r="D3712" s="0" t="s">
        <v>12324</v>
      </c>
      <c r="F3712" s="0" t="s">
        <v>12325</v>
      </c>
      <c r="G3712" s="0" t="n">
        <v>0</v>
      </c>
      <c r="J3712" s="0" t="s">
        <v>40</v>
      </c>
      <c r="K3712" s="0" t="str">
        <f aca="false">"4.5 %"</f>
        <v>4.5 %</v>
      </c>
      <c r="O3712" s="0" t="s">
        <v>12326</v>
      </c>
    </row>
    <row r="3713" customFormat="false" ht="13.8" hidden="false" customHeight="false" outlineLevel="0" collapsed="false">
      <c r="A3713" s="0" t="s">
        <v>12327</v>
      </c>
      <c r="F3713" s="0" t="s">
        <v>40</v>
      </c>
      <c r="G3713" s="0" t="n">
        <v>1</v>
      </c>
      <c r="H3713" s="0" t="s">
        <v>406</v>
      </c>
      <c r="J3713" s="0" t="s">
        <v>407</v>
      </c>
      <c r="K3713" s="0" t="str">
        <f aca="false">"3.5 %"</f>
        <v>3.5 %</v>
      </c>
      <c r="O3713" s="0" t="s">
        <v>12328</v>
      </c>
    </row>
    <row r="3714" customFormat="false" ht="13.8" hidden="false" customHeight="false" outlineLevel="0" collapsed="false">
      <c r="A3714" s="0" t="s">
        <v>12329</v>
      </c>
      <c r="D3714" s="0" t="s">
        <v>16</v>
      </c>
      <c r="E3714" s="0" t="s">
        <v>17</v>
      </c>
      <c r="F3714" s="0" t="s">
        <v>18</v>
      </c>
      <c r="G3714" s="0" t="n">
        <v>0</v>
      </c>
      <c r="J3714" s="0" t="s">
        <v>40</v>
      </c>
      <c r="K3714" s="0" t="str">
        <f aca="false">"6.48 %"</f>
        <v>6.48 %</v>
      </c>
      <c r="O3714" s="0" t="s">
        <v>12330</v>
      </c>
    </row>
    <row r="3715" customFormat="false" ht="13.8" hidden="false" customHeight="false" outlineLevel="0" collapsed="false">
      <c r="A3715" s="0" t="s">
        <v>12331</v>
      </c>
      <c r="D3715" s="0" t="s">
        <v>12332</v>
      </c>
      <c r="E3715" s="0" t="s">
        <v>511</v>
      </c>
      <c r="F3715" s="0" t="s">
        <v>12333</v>
      </c>
      <c r="G3715" s="0" t="n">
        <v>0</v>
      </c>
      <c r="J3715" s="0" t="s">
        <v>40</v>
      </c>
      <c r="K3715" s="0" t="str">
        <f aca="false">"0.58 %"</f>
        <v>0.58 %</v>
      </c>
      <c r="L3715" s="0" t="str">
        <f aca="false">"0.64 V"</f>
        <v>0.64 V</v>
      </c>
      <c r="N3715" s="0" t="str">
        <f aca="false">"0.43"</f>
        <v>0.43</v>
      </c>
      <c r="O3715" s="0" t="s">
        <v>12334</v>
      </c>
    </row>
    <row r="3716" customFormat="false" ht="13.8" hidden="false" customHeight="false" outlineLevel="0" collapsed="false">
      <c r="A3716" s="0" t="s">
        <v>12335</v>
      </c>
      <c r="D3716" s="0" t="s">
        <v>6253</v>
      </c>
      <c r="E3716" s="0" t="s">
        <v>1169</v>
      </c>
      <c r="F3716" s="0" t="s">
        <v>6254</v>
      </c>
      <c r="G3716" s="0" t="n">
        <v>0</v>
      </c>
      <c r="J3716" s="0" t="s">
        <v>40</v>
      </c>
      <c r="K3716" s="0" t="str">
        <f aca="false">"11.52 %"</f>
        <v>11.52 %</v>
      </c>
      <c r="O3716" s="0" t="s">
        <v>12336</v>
      </c>
    </row>
    <row r="3717" customFormat="false" ht="13.8" hidden="false" customHeight="false" outlineLevel="0" collapsed="false">
      <c r="A3717" s="0" t="s">
        <v>12337</v>
      </c>
      <c r="F3717" s="0" t="s">
        <v>40</v>
      </c>
      <c r="G3717" s="0" t="n">
        <v>1</v>
      </c>
      <c r="H3717" s="0" t="s">
        <v>12338</v>
      </c>
      <c r="J3717" s="0" t="s">
        <v>40</v>
      </c>
      <c r="K3717" s="0" t="str">
        <f aca="false">"7.78 %"</f>
        <v>7.78 %</v>
      </c>
      <c r="O3717" s="0" t="s">
        <v>12339</v>
      </c>
    </row>
    <row r="3718" customFormat="false" ht="13.8" hidden="false" customHeight="false" outlineLevel="0" collapsed="false">
      <c r="A3718" s="0" t="s">
        <v>12340</v>
      </c>
      <c r="D3718" s="0" t="s">
        <v>208</v>
      </c>
      <c r="E3718" s="0" t="s">
        <v>17</v>
      </c>
      <c r="F3718" s="0" t="s">
        <v>209</v>
      </c>
      <c r="G3718" s="0" t="n">
        <v>0</v>
      </c>
      <c r="J3718" s="0" t="s">
        <v>40</v>
      </c>
      <c r="K3718" s="0" t="str">
        <f aca="false">"2.47 %"</f>
        <v>2.47 %</v>
      </c>
      <c r="O3718" s="0" t="s">
        <v>12341</v>
      </c>
    </row>
    <row r="3719" customFormat="false" ht="13.8" hidden="false" customHeight="false" outlineLevel="0" collapsed="false">
      <c r="A3719" s="0" t="s">
        <v>12342</v>
      </c>
      <c r="D3719" s="0" t="s">
        <v>12343</v>
      </c>
      <c r="F3719" s="0" t="s">
        <v>40</v>
      </c>
      <c r="G3719" s="0" t="n">
        <v>0</v>
      </c>
      <c r="J3719" s="0" t="s">
        <v>40</v>
      </c>
      <c r="K3719" s="0" t="str">
        <f aca="false">"5.4 %"</f>
        <v>5.4 %</v>
      </c>
      <c r="L3719" s="0" t="str">
        <f aca="false">"0.90V"</f>
        <v>0.90V</v>
      </c>
      <c r="N3719" s="0" t="str">
        <f aca="false">"50.7 %"</f>
        <v>50.7 %</v>
      </c>
      <c r="O3719" s="0" t="s">
        <v>12344</v>
      </c>
    </row>
    <row r="3720" customFormat="false" ht="13.8" hidden="false" customHeight="false" outlineLevel="0" collapsed="false">
      <c r="A3720" s="0" t="s">
        <v>12345</v>
      </c>
      <c r="D3720" s="0" t="s">
        <v>6253</v>
      </c>
      <c r="E3720" s="0" t="s">
        <v>1169</v>
      </c>
      <c r="F3720" s="0" t="s">
        <v>6254</v>
      </c>
      <c r="G3720" s="0" t="n">
        <v>0</v>
      </c>
      <c r="J3720" s="0" t="s">
        <v>40</v>
      </c>
      <c r="K3720" s="0" t="str">
        <f aca="false">"2 %"</f>
        <v>2 %</v>
      </c>
      <c r="O3720" s="0" t="s">
        <v>12346</v>
      </c>
    </row>
    <row r="3721" customFormat="false" ht="13.8" hidden="false" customHeight="false" outlineLevel="0" collapsed="false">
      <c r="A3721" s="0" t="s">
        <v>12347</v>
      </c>
      <c r="D3721" s="0" t="s">
        <v>208</v>
      </c>
      <c r="E3721" s="0" t="s">
        <v>17</v>
      </c>
      <c r="F3721" s="0" t="s">
        <v>209</v>
      </c>
      <c r="G3721" s="0" t="n">
        <v>0</v>
      </c>
      <c r="J3721" s="0" t="s">
        <v>40</v>
      </c>
      <c r="K3721" s="0" t="str">
        <f aca="false">"2.78 %"</f>
        <v>2.78 %</v>
      </c>
      <c r="N3721" s="0" t="str">
        <f aca="false">"61.8 %"</f>
        <v>61.8 %</v>
      </c>
      <c r="O3721" s="0" t="s">
        <v>12348</v>
      </c>
    </row>
    <row r="3722" customFormat="false" ht="13.8" hidden="false" customHeight="false" outlineLevel="0" collapsed="false">
      <c r="A3722" s="0" t="s">
        <v>12349</v>
      </c>
      <c r="D3722" s="0" t="s">
        <v>208</v>
      </c>
      <c r="E3722" s="0" t="s">
        <v>17</v>
      </c>
      <c r="F3722" s="0" t="s">
        <v>209</v>
      </c>
      <c r="G3722" s="0" t="n">
        <v>0</v>
      </c>
      <c r="J3722" s="0" t="s">
        <v>40</v>
      </c>
      <c r="K3722" s="0" t="str">
        <f aca="false">"3.92 %"</f>
        <v>3.92 %</v>
      </c>
      <c r="L3722" s="0" t="str">
        <f aca="false">"0.583 V"</f>
        <v>0.583 V</v>
      </c>
      <c r="N3722" s="0" t="str">
        <f aca="false">"0.614"</f>
        <v>0.614</v>
      </c>
      <c r="O3722" s="0" t="s">
        <v>12350</v>
      </c>
    </row>
    <row r="3723" customFormat="false" ht="13.8" hidden="false" customHeight="false" outlineLevel="0" collapsed="false">
      <c r="A3723" s="0" t="s">
        <v>12351</v>
      </c>
      <c r="D3723" s="0" t="s">
        <v>12352</v>
      </c>
      <c r="E3723" s="0" t="s">
        <v>879</v>
      </c>
      <c r="F3723" s="0" t="s">
        <v>12353</v>
      </c>
      <c r="G3723" s="0" t="n">
        <v>0</v>
      </c>
      <c r="J3723" s="0" t="s">
        <v>40</v>
      </c>
      <c r="K3723" s="0" t="str">
        <f aca="false">"2.0 %"</f>
        <v>2.0 %</v>
      </c>
      <c r="O3723" s="0" t="s">
        <v>12354</v>
      </c>
    </row>
    <row r="3724" customFormat="false" ht="13.8" hidden="false" customHeight="false" outlineLevel="0" collapsed="false">
      <c r="A3724" s="0" t="s">
        <v>12355</v>
      </c>
      <c r="D3724" s="0" t="s">
        <v>12356</v>
      </c>
      <c r="E3724" s="0" t="s">
        <v>12357</v>
      </c>
      <c r="F3724" s="0" t="s">
        <v>12358</v>
      </c>
      <c r="G3724" s="0" t="n">
        <v>0</v>
      </c>
      <c r="J3724" s="0" t="s">
        <v>40</v>
      </c>
      <c r="K3724" s="0" t="str">
        <f aca="false">"1.06 %"</f>
        <v>1.06 %</v>
      </c>
      <c r="O3724" s="0" t="s">
        <v>12359</v>
      </c>
    </row>
    <row r="3725" customFormat="false" ht="13.8" hidden="false" customHeight="false" outlineLevel="0" collapsed="false">
      <c r="A3725" s="0" t="s">
        <v>12360</v>
      </c>
      <c r="D3725" s="0" t="s">
        <v>3930</v>
      </c>
      <c r="E3725" s="0" t="s">
        <v>110</v>
      </c>
      <c r="F3725" s="0" t="s">
        <v>12361</v>
      </c>
      <c r="G3725" s="0" t="n">
        <v>0</v>
      </c>
      <c r="J3725" s="0" t="s">
        <v>40</v>
      </c>
      <c r="K3725" s="0" t="str">
        <f aca="false">"6.27 %"</f>
        <v>6.27 %</v>
      </c>
      <c r="L3725" s="0" t="str">
        <f aca="false">"1 V"</f>
        <v>1 V</v>
      </c>
      <c r="O3725" s="0" t="s">
        <v>12362</v>
      </c>
    </row>
    <row r="3726" customFormat="false" ht="13.8" hidden="false" customHeight="false" outlineLevel="0" collapsed="false">
      <c r="A3726" s="0" t="s">
        <v>12363</v>
      </c>
      <c r="D3726" s="0" t="s">
        <v>12364</v>
      </c>
      <c r="F3726" s="0" t="s">
        <v>12365</v>
      </c>
      <c r="G3726" s="0" t="n">
        <v>0</v>
      </c>
      <c r="J3726" s="0" t="s">
        <v>40</v>
      </c>
      <c r="K3726" s="0" t="str">
        <f aca="false">"7.43 %"</f>
        <v>7.43 %</v>
      </c>
      <c r="O3726" s="0" t="s">
        <v>12366</v>
      </c>
    </row>
    <row r="3727" customFormat="false" ht="13.8" hidden="false" customHeight="false" outlineLevel="0" collapsed="false">
      <c r="A3727" s="0" t="s">
        <v>12367</v>
      </c>
      <c r="F3727" s="0" t="s">
        <v>40</v>
      </c>
      <c r="G3727" s="0" t="n">
        <v>0</v>
      </c>
      <c r="H3727" s="0" t="s">
        <v>12368</v>
      </c>
      <c r="I3727" s="0" t="s">
        <v>1169</v>
      </c>
      <c r="J3727" s="0" t="s">
        <v>12369</v>
      </c>
      <c r="K3727" s="0" t="str">
        <f aca="false">"2.92 %"</f>
        <v>2.92 %</v>
      </c>
      <c r="N3727" s="0" t="str">
        <f aca="false">"66.7 %"</f>
        <v>66.7 %</v>
      </c>
      <c r="O3727" s="0" t="s">
        <v>12370</v>
      </c>
    </row>
    <row r="3728" customFormat="false" ht="13.8" hidden="false" customHeight="false" outlineLevel="0" collapsed="false">
      <c r="A3728" s="0" t="s">
        <v>12371</v>
      </c>
      <c r="D3728" s="0" t="s">
        <v>31</v>
      </c>
      <c r="E3728" s="0" t="s">
        <v>17</v>
      </c>
      <c r="F3728" s="0" t="s">
        <v>1351</v>
      </c>
      <c r="G3728" s="0" t="n">
        <v>0</v>
      </c>
      <c r="J3728" s="0" t="s">
        <v>40</v>
      </c>
      <c r="K3728" s="0" t="str">
        <f aca="false">"4.2 %"</f>
        <v>4.2 %</v>
      </c>
      <c r="O3728" s="0" t="s">
        <v>12372</v>
      </c>
    </row>
    <row r="3729" customFormat="false" ht="13.8" hidden="false" customHeight="false" outlineLevel="0" collapsed="false">
      <c r="A3729" s="0" t="s">
        <v>12373</v>
      </c>
      <c r="D3729" s="0" t="s">
        <v>10535</v>
      </c>
      <c r="E3729" s="0" t="s">
        <v>1169</v>
      </c>
      <c r="F3729" s="0" t="s">
        <v>10536</v>
      </c>
      <c r="G3729" s="0" t="n">
        <v>0</v>
      </c>
      <c r="J3729" s="0" t="s">
        <v>40</v>
      </c>
      <c r="K3729" s="0" t="str">
        <f aca="false">"9.84 %"</f>
        <v>9.84 %</v>
      </c>
      <c r="O3729" s="0" t="s">
        <v>12374</v>
      </c>
    </row>
    <row r="3730" customFormat="false" ht="13.8" hidden="false" customHeight="false" outlineLevel="0" collapsed="false">
      <c r="A3730" s="0" t="s">
        <v>12375</v>
      </c>
      <c r="D3730" s="0" t="s">
        <v>3930</v>
      </c>
      <c r="E3730" s="0" t="s">
        <v>110</v>
      </c>
      <c r="F3730" s="0" t="s">
        <v>3931</v>
      </c>
      <c r="G3730" s="0" t="n">
        <v>0</v>
      </c>
      <c r="J3730" s="0" t="s">
        <v>40</v>
      </c>
      <c r="K3730" s="0" t="str">
        <f aca="false">"6.27 %"</f>
        <v>6.27 %</v>
      </c>
      <c r="O3730" s="0" t="s">
        <v>12376</v>
      </c>
    </row>
    <row r="3731" customFormat="false" ht="13.8" hidden="false" customHeight="false" outlineLevel="0" collapsed="false">
      <c r="A3731" s="0" t="s">
        <v>12377</v>
      </c>
      <c r="D3731" s="0" t="s">
        <v>208</v>
      </c>
      <c r="E3731" s="0" t="s">
        <v>17</v>
      </c>
      <c r="F3731" s="0" t="s">
        <v>12378</v>
      </c>
      <c r="G3731" s="0" t="n">
        <v>0</v>
      </c>
      <c r="J3731" s="0" t="s">
        <v>40</v>
      </c>
      <c r="K3731" s="0" t="str">
        <f aca="false">"4.1 %"</f>
        <v>4.1 %</v>
      </c>
      <c r="O3731" s="0" t="s">
        <v>12379</v>
      </c>
    </row>
    <row r="3732" customFormat="false" ht="13.8" hidden="false" customHeight="false" outlineLevel="0" collapsed="false">
      <c r="A3732" s="0" t="s">
        <v>12380</v>
      </c>
      <c r="D3732" s="0" t="s">
        <v>10553</v>
      </c>
      <c r="E3732" s="0" t="s">
        <v>1925</v>
      </c>
      <c r="F3732" s="0" t="s">
        <v>10554</v>
      </c>
      <c r="G3732" s="0" t="n">
        <v>0</v>
      </c>
      <c r="J3732" s="0" t="s">
        <v>40</v>
      </c>
      <c r="K3732" s="0" t="str">
        <f aca="false">"10.86 %"</f>
        <v>10.86 %</v>
      </c>
      <c r="O3732" s="0" t="s">
        <v>12381</v>
      </c>
    </row>
    <row r="3733" customFormat="false" ht="13.8" hidden="false" customHeight="false" outlineLevel="0" collapsed="false">
      <c r="A3733" s="0" t="s">
        <v>12380</v>
      </c>
      <c r="D3733" s="0" t="s">
        <v>6253</v>
      </c>
      <c r="E3733" s="0" t="s">
        <v>1169</v>
      </c>
      <c r="F3733" s="0" t="s">
        <v>6254</v>
      </c>
      <c r="G3733" s="0" t="n">
        <v>0</v>
      </c>
      <c r="J3733" s="0" t="s">
        <v>40</v>
      </c>
      <c r="M3733" s="0" t="str">
        <f aca="false">"32.5 mA/cm^{2}"</f>
        <v>32.5 mA/cm^{2}</v>
      </c>
      <c r="O3733" s="0" t="s">
        <v>12382</v>
      </c>
    </row>
    <row r="3734" customFormat="false" ht="13.8" hidden="false" customHeight="false" outlineLevel="0" collapsed="false">
      <c r="A3734" s="0" t="s">
        <v>12383</v>
      </c>
      <c r="D3734" s="0" t="s">
        <v>6253</v>
      </c>
      <c r="E3734" s="0" t="s">
        <v>1169</v>
      </c>
      <c r="F3734" s="0" t="s">
        <v>6254</v>
      </c>
      <c r="G3734" s="0" t="n">
        <v>0</v>
      </c>
      <c r="J3734" s="0" t="s">
        <v>40</v>
      </c>
      <c r="K3734" s="0" t="str">
        <f aca="false">"8.3 %"</f>
        <v>8.3 %</v>
      </c>
      <c r="O3734" s="0" t="s">
        <v>12384</v>
      </c>
    </row>
    <row r="3735" customFormat="false" ht="13.8" hidden="false" customHeight="false" outlineLevel="0" collapsed="false">
      <c r="A3735" s="0" t="s">
        <v>12385</v>
      </c>
      <c r="D3735" s="0" t="s">
        <v>1924</v>
      </c>
      <c r="E3735" s="0" t="s">
        <v>1925</v>
      </c>
      <c r="F3735" s="0" t="s">
        <v>1926</v>
      </c>
      <c r="G3735" s="0" t="n">
        <v>0</v>
      </c>
      <c r="J3735" s="0" t="s">
        <v>40</v>
      </c>
      <c r="K3735" s="0" t="str">
        <f aca="false">"11.09 %"</f>
        <v>11.09 %</v>
      </c>
      <c r="O3735" s="0" t="s">
        <v>12386</v>
      </c>
    </row>
    <row r="3736" customFormat="false" ht="13.8" hidden="false" customHeight="false" outlineLevel="0" collapsed="false">
      <c r="A3736" s="0" t="s">
        <v>12387</v>
      </c>
      <c r="D3736" s="0" t="s">
        <v>208</v>
      </c>
      <c r="E3736" s="0" t="s">
        <v>17</v>
      </c>
      <c r="F3736" s="0" t="s">
        <v>209</v>
      </c>
      <c r="G3736" s="0" t="n">
        <v>0</v>
      </c>
      <c r="J3736" s="0" t="s">
        <v>40</v>
      </c>
      <c r="K3736" s="0" t="str">
        <f aca="false">"2 %"</f>
        <v>2 %</v>
      </c>
      <c r="O3736" s="0" t="s">
        <v>12388</v>
      </c>
    </row>
    <row r="3737" customFormat="false" ht="13.8" hidden="false" customHeight="false" outlineLevel="0" collapsed="false">
      <c r="A3737" s="0" t="s">
        <v>12389</v>
      </c>
      <c r="D3737" s="0" t="s">
        <v>12390</v>
      </c>
      <c r="F3737" s="0" t="s">
        <v>12391</v>
      </c>
      <c r="G3737" s="0" t="n">
        <v>0</v>
      </c>
      <c r="J3737" s="0" t="s">
        <v>40</v>
      </c>
      <c r="K3737" s="0" t="str">
        <f aca="false">"1.48 %"</f>
        <v>1.48 %</v>
      </c>
      <c r="O3737" s="0" t="s">
        <v>12392</v>
      </c>
    </row>
    <row r="3738" customFormat="false" ht="13.8" hidden="false" customHeight="false" outlineLevel="0" collapsed="false">
      <c r="A3738" s="0" t="s">
        <v>12393</v>
      </c>
      <c r="D3738" s="0" t="s">
        <v>12394</v>
      </c>
      <c r="F3738" s="0" t="s">
        <v>12395</v>
      </c>
      <c r="G3738" s="0" t="n">
        <v>0</v>
      </c>
      <c r="J3738" s="0" t="s">
        <v>40</v>
      </c>
      <c r="K3738" s="0" t="str">
        <f aca="false">"9.33 %"</f>
        <v>9.33 %</v>
      </c>
      <c r="O3738" s="0" t="s">
        <v>12396</v>
      </c>
    </row>
    <row r="3739" customFormat="false" ht="13.8" hidden="false" customHeight="false" outlineLevel="0" collapsed="false">
      <c r="A3739" s="0" t="s">
        <v>12397</v>
      </c>
      <c r="D3739" s="0" t="s">
        <v>12398</v>
      </c>
      <c r="E3739" s="0" t="s">
        <v>12399</v>
      </c>
      <c r="F3739" s="0" t="s">
        <v>12400</v>
      </c>
      <c r="G3739" s="0" t="n">
        <v>0</v>
      </c>
      <c r="J3739" s="0" t="s">
        <v>40</v>
      </c>
      <c r="K3739" s="0" t="str">
        <f aca="false">"0.43±0.02 %"</f>
        <v>0.43±0.02 %</v>
      </c>
      <c r="L3739" s="0" t="str">
        <f aca="false">"0.67±0.02V"</f>
        <v>0.67±0.02V</v>
      </c>
      <c r="N3739" s="0" t="str">
        <f aca="false">"0.53±0.02"</f>
        <v>0.53±0.02</v>
      </c>
      <c r="O3739" s="0" t="s">
        <v>12401</v>
      </c>
    </row>
    <row r="3740" customFormat="false" ht="13.8" hidden="false" customHeight="false" outlineLevel="0" collapsed="false">
      <c r="A3740" s="0" t="s">
        <v>12402</v>
      </c>
      <c r="D3740" s="0" t="s">
        <v>208</v>
      </c>
      <c r="E3740" s="0" t="s">
        <v>17</v>
      </c>
      <c r="F3740" s="0" t="s">
        <v>12403</v>
      </c>
      <c r="G3740" s="0" t="n">
        <v>0</v>
      </c>
      <c r="J3740" s="0" t="s">
        <v>40</v>
      </c>
      <c r="K3740" s="0" t="str">
        <f aca="false">"3.80 %"</f>
        <v>3.80 %</v>
      </c>
      <c r="N3740" s="0" t="str">
        <f aca="false">"73 %"</f>
        <v>73 %</v>
      </c>
      <c r="O3740" s="0" t="s">
        <v>12404</v>
      </c>
    </row>
    <row r="3741" customFormat="false" ht="13.8" hidden="false" customHeight="false" outlineLevel="0" collapsed="false">
      <c r="A3741" s="0" t="s">
        <v>12405</v>
      </c>
      <c r="D3741" s="0" t="s">
        <v>58</v>
      </c>
      <c r="F3741" s="0" t="s">
        <v>12406</v>
      </c>
      <c r="G3741" s="0" t="n">
        <v>0</v>
      </c>
      <c r="J3741" s="0" t="s">
        <v>40</v>
      </c>
      <c r="K3741" s="0" t="str">
        <f aca="false">"2.25 %"</f>
        <v>2.25 %</v>
      </c>
      <c r="L3741" s="0" t="str">
        <f aca="false">"0.56V"</f>
        <v>0.56V</v>
      </c>
      <c r="O3741" s="0" t="s">
        <v>12407</v>
      </c>
    </row>
    <row r="3742" customFormat="false" ht="13.8" hidden="false" customHeight="false" outlineLevel="0" collapsed="false">
      <c r="A3742" s="0" t="s">
        <v>12408</v>
      </c>
      <c r="D3742" s="0" t="s">
        <v>201</v>
      </c>
      <c r="E3742" s="0" t="s">
        <v>202</v>
      </c>
      <c r="F3742" s="0" t="s">
        <v>422</v>
      </c>
      <c r="G3742" s="0" t="n">
        <v>0</v>
      </c>
      <c r="J3742" s="0" t="s">
        <v>40</v>
      </c>
      <c r="K3742" s="0" t="str">
        <f aca="false">"13.1 %"</f>
        <v>13.1 %</v>
      </c>
      <c r="O3742" s="0" t="s">
        <v>12409</v>
      </c>
    </row>
    <row r="3743" customFormat="false" ht="13.8" hidden="false" customHeight="false" outlineLevel="0" collapsed="false">
      <c r="A3743" s="0" t="s">
        <v>12410</v>
      </c>
      <c r="D3743" s="0" t="s">
        <v>16</v>
      </c>
      <c r="E3743" s="0" t="s">
        <v>17</v>
      </c>
      <c r="F3743" s="0" t="s">
        <v>18</v>
      </c>
      <c r="G3743" s="0" t="n">
        <v>0</v>
      </c>
      <c r="J3743" s="0" t="s">
        <v>40</v>
      </c>
      <c r="K3743" s="0" t="str">
        <f aca="false">"5.4 %"</f>
        <v>5.4 %</v>
      </c>
      <c r="O3743" s="0" t="s">
        <v>12411</v>
      </c>
    </row>
    <row r="3744" customFormat="false" ht="13.8" hidden="false" customHeight="false" outlineLevel="0" collapsed="false">
      <c r="A3744" s="0" t="s">
        <v>12412</v>
      </c>
      <c r="D3744" s="0" t="s">
        <v>6692</v>
      </c>
      <c r="F3744" s="0" t="s">
        <v>6693</v>
      </c>
      <c r="G3744" s="0" t="n">
        <v>0</v>
      </c>
      <c r="J3744" s="0" t="s">
        <v>40</v>
      </c>
      <c r="K3744" s="0" t="str">
        <f aca="false">"1.9 %"</f>
        <v>1.9 %</v>
      </c>
      <c r="O3744" s="0" t="s">
        <v>12413</v>
      </c>
    </row>
    <row r="3745" customFormat="false" ht="13.8" hidden="false" customHeight="false" outlineLevel="0" collapsed="false">
      <c r="A3745" s="0" t="s">
        <v>12414</v>
      </c>
      <c r="D3745" s="0" t="s">
        <v>12415</v>
      </c>
      <c r="F3745" s="0" t="s">
        <v>12416</v>
      </c>
      <c r="G3745" s="0" t="n">
        <v>0</v>
      </c>
      <c r="J3745" s="0" t="s">
        <v>40</v>
      </c>
      <c r="K3745" s="0" t="str">
        <f aca="false">"15 %"</f>
        <v>15 %</v>
      </c>
      <c r="O3745" s="0" t="s">
        <v>12417</v>
      </c>
    </row>
    <row r="3746" customFormat="false" ht="13.8" hidden="false" customHeight="false" outlineLevel="0" collapsed="false">
      <c r="A3746" s="0" t="s">
        <v>12418</v>
      </c>
      <c r="D3746" s="0" t="s">
        <v>10186</v>
      </c>
      <c r="F3746" s="0" t="s">
        <v>10187</v>
      </c>
      <c r="G3746" s="0" t="n">
        <v>0</v>
      </c>
      <c r="J3746" s="0" t="s">
        <v>40</v>
      </c>
      <c r="L3746" s="0" t="str">
        <f aca="false">"0.90 V"</f>
        <v>0.90 V</v>
      </c>
      <c r="O3746" s="0" t="s">
        <v>12419</v>
      </c>
    </row>
    <row r="3747" customFormat="false" ht="13.8" hidden="false" customHeight="false" outlineLevel="0" collapsed="false">
      <c r="A3747" s="0" t="s">
        <v>12418</v>
      </c>
      <c r="D3747" s="0" t="s">
        <v>12420</v>
      </c>
      <c r="F3747" s="0" t="s">
        <v>12421</v>
      </c>
      <c r="G3747" s="0" t="n">
        <v>0</v>
      </c>
      <c r="J3747" s="0" t="s">
        <v>40</v>
      </c>
      <c r="K3747" s="0" t="str">
        <f aca="false">"10.30 %"</f>
        <v>10.30 %</v>
      </c>
      <c r="L3747" s="0" t="str">
        <f aca="false">"0.97 V"</f>
        <v>0.97 V</v>
      </c>
      <c r="O3747" s="0" t="s">
        <v>12422</v>
      </c>
    </row>
    <row r="3748" customFormat="false" ht="13.8" hidden="false" customHeight="false" outlineLevel="0" collapsed="false">
      <c r="A3748" s="0" t="s">
        <v>12423</v>
      </c>
      <c r="F3748" s="0" t="s">
        <v>40</v>
      </c>
      <c r="G3748" s="0" t="n">
        <v>1</v>
      </c>
      <c r="H3748" s="0" t="s">
        <v>66</v>
      </c>
      <c r="J3748" s="0" t="s">
        <v>67</v>
      </c>
      <c r="K3748" s="0" t="str">
        <f aca="false">"86 %"</f>
        <v>86 %</v>
      </c>
      <c r="O3748" s="0" t="s">
        <v>12424</v>
      </c>
    </row>
    <row r="3749" customFormat="false" ht="13.8" hidden="false" customHeight="false" outlineLevel="0" collapsed="false">
      <c r="A3749" s="0" t="s">
        <v>12425</v>
      </c>
      <c r="D3749" s="0" t="s">
        <v>12426</v>
      </c>
      <c r="F3749" s="0" t="s">
        <v>12427</v>
      </c>
      <c r="G3749" s="0" t="n">
        <v>0</v>
      </c>
      <c r="J3749" s="0" t="s">
        <v>40</v>
      </c>
      <c r="K3749" s="0" t="str">
        <f aca="false">"22.1 %"</f>
        <v>22.1 %</v>
      </c>
      <c r="O3749" s="0" t="s">
        <v>12428</v>
      </c>
    </row>
    <row r="3750" customFormat="false" ht="13.8" hidden="false" customHeight="false" outlineLevel="0" collapsed="false">
      <c r="A3750" s="0" t="s">
        <v>12429</v>
      </c>
      <c r="D3750" s="0" t="s">
        <v>510</v>
      </c>
      <c r="E3750" s="0" t="s">
        <v>511</v>
      </c>
      <c r="F3750" s="0" t="s">
        <v>12430</v>
      </c>
      <c r="G3750" s="0" t="n">
        <v>0</v>
      </c>
      <c r="J3750" s="0" t="s">
        <v>40</v>
      </c>
      <c r="K3750" s="0" t="str">
        <f aca="false">"1.37 %"</f>
        <v>1.37 %</v>
      </c>
      <c r="O3750" s="0" t="s">
        <v>12431</v>
      </c>
    </row>
    <row r="3751" customFormat="false" ht="13.8" hidden="false" customHeight="false" outlineLevel="0" collapsed="false">
      <c r="A3751" s="0" t="s">
        <v>12432</v>
      </c>
      <c r="D3751" s="0" t="s">
        <v>12433</v>
      </c>
      <c r="E3751" s="0" t="s">
        <v>12434</v>
      </c>
      <c r="F3751" s="0" t="s">
        <v>12435</v>
      </c>
      <c r="G3751" s="0" t="n">
        <v>0</v>
      </c>
      <c r="J3751" s="0" t="s">
        <v>40</v>
      </c>
      <c r="K3751" s="0" t="str">
        <f aca="false">"1.02 %"</f>
        <v>1.02 %</v>
      </c>
      <c r="L3751" s="0" t="str">
        <f aca="false">"0.50 V"</f>
        <v>0.50 V</v>
      </c>
      <c r="M3751" s="0" t="str">
        <f aca="false">"7.34 mA/cm^{2}"</f>
        <v>7.34 mA/cm^{2}</v>
      </c>
      <c r="N3751" s="0" t="str">
        <f aca="false">"22.28 %"</f>
        <v>22.28 %</v>
      </c>
      <c r="O3751" s="0" t="s">
        <v>12436</v>
      </c>
    </row>
    <row r="3752" customFormat="false" ht="13.8" hidden="false" customHeight="false" outlineLevel="0" collapsed="false">
      <c r="A3752" s="0" t="s">
        <v>12437</v>
      </c>
      <c r="D3752" s="0" t="s">
        <v>12438</v>
      </c>
      <c r="F3752" s="0" t="s">
        <v>12439</v>
      </c>
      <c r="G3752" s="0" t="n">
        <v>0</v>
      </c>
      <c r="J3752" s="0" t="s">
        <v>40</v>
      </c>
      <c r="K3752" s="0" t="str">
        <f aca="false">"8.74 %"</f>
        <v>8.74 %</v>
      </c>
      <c r="O3752" s="0" t="s">
        <v>12440</v>
      </c>
    </row>
    <row r="3753" customFormat="false" ht="13.8" hidden="false" customHeight="false" outlineLevel="0" collapsed="false">
      <c r="A3753" s="0" t="s">
        <v>12441</v>
      </c>
      <c r="F3753" s="0" t="s">
        <v>40</v>
      </c>
      <c r="G3753" s="0" t="n">
        <v>1</v>
      </c>
      <c r="H3753" s="0" t="s">
        <v>27</v>
      </c>
      <c r="J3753" s="0" t="s">
        <v>40</v>
      </c>
      <c r="K3753" s="0" t="str">
        <f aca="false">"5.33 %"</f>
        <v>5.33 %</v>
      </c>
      <c r="O3753" s="0" t="s">
        <v>12442</v>
      </c>
    </row>
    <row r="3754" customFormat="false" ht="13.8" hidden="false" customHeight="false" outlineLevel="0" collapsed="false">
      <c r="A3754" s="0" t="s">
        <v>12443</v>
      </c>
      <c r="D3754" s="0" t="s">
        <v>12444</v>
      </c>
      <c r="F3754" s="0" t="s">
        <v>12445</v>
      </c>
      <c r="G3754" s="0" t="n">
        <v>0</v>
      </c>
      <c r="J3754" s="0" t="s">
        <v>40</v>
      </c>
      <c r="K3754" s="0" t="str">
        <f aca="false">"4.5 %"</f>
        <v>4.5 %</v>
      </c>
      <c r="O3754" s="0" t="s">
        <v>12446</v>
      </c>
    </row>
    <row r="3755" customFormat="false" ht="13.8" hidden="false" customHeight="false" outlineLevel="0" collapsed="false">
      <c r="A3755" s="0" t="s">
        <v>12447</v>
      </c>
      <c r="F3755" s="0" t="s">
        <v>40</v>
      </c>
      <c r="G3755" s="0" t="n">
        <v>1</v>
      </c>
      <c r="H3755" s="0" t="s">
        <v>27</v>
      </c>
      <c r="J3755" s="0" t="s">
        <v>28</v>
      </c>
      <c r="K3755" s="0" t="str">
        <f aca="false">"4 %"</f>
        <v>4 %</v>
      </c>
      <c r="L3755" s="0" t="str">
        <f aca="false">"0.9 V"</f>
        <v>0.9 V</v>
      </c>
      <c r="O3755" s="0" t="s">
        <v>12448</v>
      </c>
    </row>
    <row r="3756" customFormat="false" ht="13.8" hidden="false" customHeight="false" outlineLevel="0" collapsed="false">
      <c r="A3756" s="0" t="s">
        <v>12449</v>
      </c>
      <c r="D3756" s="0" t="s">
        <v>201</v>
      </c>
      <c r="E3756" s="0" t="s">
        <v>202</v>
      </c>
      <c r="F3756" s="0" t="s">
        <v>422</v>
      </c>
      <c r="G3756" s="0" t="n">
        <v>0</v>
      </c>
      <c r="J3756" s="0" t="s">
        <v>40</v>
      </c>
      <c r="K3756" s="0" t="str">
        <f aca="false">"8.1 %"</f>
        <v>8.1 %</v>
      </c>
      <c r="O3756" s="0" t="s">
        <v>12450</v>
      </c>
    </row>
    <row r="3757" customFormat="false" ht="13.8" hidden="false" customHeight="false" outlineLevel="0" collapsed="false">
      <c r="A3757" s="0" t="s">
        <v>12451</v>
      </c>
      <c r="D3757" s="0" t="s">
        <v>12452</v>
      </c>
      <c r="F3757" s="0" t="s">
        <v>12453</v>
      </c>
      <c r="G3757" s="0" t="n">
        <v>0</v>
      </c>
      <c r="J3757" s="0" t="s">
        <v>40</v>
      </c>
      <c r="K3757" s="0" t="str">
        <f aca="false">"7.3 %"</f>
        <v>7.3 %</v>
      </c>
      <c r="O3757" s="0" t="s">
        <v>12454</v>
      </c>
    </row>
    <row r="3758" customFormat="false" ht="13.8" hidden="false" customHeight="false" outlineLevel="0" collapsed="false">
      <c r="A3758" s="0" t="s">
        <v>12455</v>
      </c>
      <c r="D3758" s="0" t="n">
        <v>3</v>
      </c>
      <c r="F3758" s="0" t="s">
        <v>12456</v>
      </c>
      <c r="G3758" s="0" t="n">
        <v>0</v>
      </c>
      <c r="J3758" s="0" t="s">
        <v>40</v>
      </c>
      <c r="K3758" s="0" t="str">
        <f aca="false">"8.79 %"</f>
        <v>8.79 %</v>
      </c>
      <c r="O3758" s="0" t="s">
        <v>12457</v>
      </c>
    </row>
    <row r="3759" customFormat="false" ht="13.8" hidden="false" customHeight="false" outlineLevel="0" collapsed="false">
      <c r="A3759" s="0" t="s">
        <v>12458</v>
      </c>
      <c r="F3759" s="0" t="s">
        <v>40</v>
      </c>
      <c r="G3759" s="0" t="n">
        <v>0</v>
      </c>
      <c r="H3759" s="0" t="s">
        <v>12459</v>
      </c>
      <c r="J3759" s="0" t="s">
        <v>12460</v>
      </c>
      <c r="K3759" s="0" t="str">
        <f aca="false">"6.2 %"</f>
        <v>6.2 %</v>
      </c>
      <c r="O3759" s="0" t="s">
        <v>12461</v>
      </c>
    </row>
    <row r="3760" customFormat="false" ht="13.8" hidden="false" customHeight="false" outlineLevel="0" collapsed="false">
      <c r="A3760" s="0" t="s">
        <v>12462</v>
      </c>
      <c r="D3760" s="0" t="s">
        <v>1116</v>
      </c>
      <c r="E3760" s="0" t="s">
        <v>1117</v>
      </c>
      <c r="F3760" s="0" t="s">
        <v>1118</v>
      </c>
      <c r="G3760" s="0" t="n">
        <v>0</v>
      </c>
      <c r="J3760" s="0" t="s">
        <v>40</v>
      </c>
      <c r="K3760" s="0" t="str">
        <f aca="false">"13.36 %"</f>
        <v>13.36 %</v>
      </c>
      <c r="M3760" s="0" t="str">
        <f aca="false">"20.90 mA cm^{-2}"</f>
        <v>20.90 mA cm^{-2}</v>
      </c>
      <c r="O3760" s="0" t="s">
        <v>12463</v>
      </c>
    </row>
    <row r="3761" customFormat="false" ht="13.8" hidden="false" customHeight="false" outlineLevel="0" collapsed="false">
      <c r="A3761" s="0" t="s">
        <v>12464</v>
      </c>
      <c r="F3761" s="0" t="s">
        <v>40</v>
      </c>
      <c r="G3761" s="0" t="n">
        <v>0</v>
      </c>
      <c r="H3761" s="0" t="s">
        <v>12465</v>
      </c>
      <c r="J3761" s="0" t="s">
        <v>40</v>
      </c>
      <c r="K3761" s="0" t="str">
        <f aca="false">"14.62 %"</f>
        <v>14.62 %</v>
      </c>
      <c r="L3761" s="0" t="str">
        <f aca="false">"0.88 V"</f>
        <v>0.88 V</v>
      </c>
      <c r="M3761" s="0" t="str">
        <f aca="false">"22.15 mA cm^{-2}"</f>
        <v>22.15 mA cm^{-2}</v>
      </c>
      <c r="N3761" s="0" t="str">
        <f aca="false">"75.01 %"</f>
        <v>75.01 %</v>
      </c>
      <c r="O3761" s="0" t="s">
        <v>12466</v>
      </c>
    </row>
    <row r="3762" customFormat="false" ht="13.8" hidden="false" customHeight="false" outlineLevel="0" collapsed="false">
      <c r="A3762" s="0" t="s">
        <v>12467</v>
      </c>
      <c r="D3762" s="0" t="s">
        <v>201</v>
      </c>
      <c r="E3762" s="0" t="s">
        <v>202</v>
      </c>
      <c r="F3762" s="0" t="s">
        <v>12468</v>
      </c>
      <c r="G3762" s="0" t="n">
        <v>0</v>
      </c>
      <c r="J3762" s="0" t="s">
        <v>40</v>
      </c>
      <c r="K3762" s="0" t="str">
        <f aca="false">"7.4 %"</f>
        <v>7.4 %</v>
      </c>
      <c r="O3762" s="0" t="s">
        <v>12469</v>
      </c>
    </row>
    <row r="3763" customFormat="false" ht="13.8" hidden="false" customHeight="false" outlineLevel="0" collapsed="false">
      <c r="A3763" s="0" t="s">
        <v>12470</v>
      </c>
      <c r="D3763" s="0" t="s">
        <v>7864</v>
      </c>
      <c r="F3763" s="0" t="s">
        <v>12471</v>
      </c>
      <c r="G3763" s="0" t="n">
        <v>0</v>
      </c>
      <c r="J3763" s="0" t="s">
        <v>40</v>
      </c>
      <c r="K3763" s="0" t="str">
        <f aca="false">"10.34 %"</f>
        <v>10.34 %</v>
      </c>
      <c r="L3763" s="0" t="str">
        <f aca="false">"1.00 V"</f>
        <v>1.00 V</v>
      </c>
      <c r="O3763" s="0" t="s">
        <v>12472</v>
      </c>
    </row>
    <row r="3764" customFormat="false" ht="13.8" hidden="false" customHeight="false" outlineLevel="0" collapsed="false">
      <c r="A3764" s="0" t="s">
        <v>12473</v>
      </c>
      <c r="D3764" s="0" t="s">
        <v>12474</v>
      </c>
      <c r="F3764" s="0" t="s">
        <v>12475</v>
      </c>
      <c r="G3764" s="0" t="n">
        <v>0</v>
      </c>
      <c r="J3764" s="0" t="s">
        <v>40</v>
      </c>
      <c r="K3764" s="0" t="str">
        <f aca="false">"8.54 %"</f>
        <v>8.54 %</v>
      </c>
      <c r="O3764" s="0" t="s">
        <v>12476</v>
      </c>
    </row>
    <row r="3765" customFormat="false" ht="13.8" hidden="false" customHeight="false" outlineLevel="0" collapsed="false">
      <c r="A3765" s="0" t="s">
        <v>12477</v>
      </c>
      <c r="F3765" s="0" t="s">
        <v>40</v>
      </c>
      <c r="G3765" s="0" t="n">
        <v>0</v>
      </c>
      <c r="H3765" s="0" t="s">
        <v>12478</v>
      </c>
      <c r="J3765" s="0" t="s">
        <v>40</v>
      </c>
      <c r="K3765" s="0" t="str">
        <f aca="false">"3.8 %"</f>
        <v>3.8 %</v>
      </c>
      <c r="L3765" s="0" t="str">
        <f aca="false">"0.88 V"</f>
        <v>0.88 V</v>
      </c>
      <c r="M3765" s="0" t="str">
        <f aca="false">"9.1 mA cm^{-2}"</f>
        <v>9.1 mA cm^{-2}</v>
      </c>
      <c r="N3765" s="0" t="str">
        <f aca="false">"48 %"</f>
        <v>48 %</v>
      </c>
      <c r="O3765" s="0" t="s">
        <v>12479</v>
      </c>
    </row>
    <row r="3766" customFormat="false" ht="13.8" hidden="false" customHeight="false" outlineLevel="0" collapsed="false">
      <c r="A3766" s="0" t="s">
        <v>12480</v>
      </c>
      <c r="D3766" s="0" t="s">
        <v>1472</v>
      </c>
      <c r="E3766" s="0" t="s">
        <v>6174</v>
      </c>
      <c r="F3766" s="0" t="s">
        <v>5341</v>
      </c>
      <c r="G3766" s="0" t="n">
        <v>0</v>
      </c>
      <c r="J3766" s="0" t="s">
        <v>40</v>
      </c>
      <c r="K3766" s="0" t="str">
        <f aca="false">"~9.4 %"</f>
        <v>~9.4 %</v>
      </c>
      <c r="O3766" s="0" t="s">
        <v>12481</v>
      </c>
    </row>
    <row r="3767" customFormat="false" ht="13.8" hidden="false" customHeight="false" outlineLevel="0" collapsed="false">
      <c r="A3767" s="0" t="s">
        <v>12482</v>
      </c>
      <c r="D3767" s="0" t="s">
        <v>12483</v>
      </c>
      <c r="F3767" s="0" t="s">
        <v>12484</v>
      </c>
      <c r="G3767" s="0" t="n">
        <v>0</v>
      </c>
      <c r="J3767" s="0" t="s">
        <v>40</v>
      </c>
      <c r="K3767" s="0" t="str">
        <f aca="false">"10.46 %"</f>
        <v>10.46 %</v>
      </c>
      <c r="O3767" s="0" t="s">
        <v>12485</v>
      </c>
    </row>
    <row r="3768" customFormat="false" ht="13.8" hidden="false" customHeight="false" outlineLevel="0" collapsed="false">
      <c r="A3768" s="0" t="s">
        <v>12482</v>
      </c>
      <c r="D3768" s="0" t="s">
        <v>12486</v>
      </c>
      <c r="F3768" s="0" t="s">
        <v>12487</v>
      </c>
      <c r="G3768" s="0" t="n">
        <v>0</v>
      </c>
      <c r="J3768" s="0" t="s">
        <v>40</v>
      </c>
      <c r="K3768" s="0" t="str">
        <f aca="false">"11.56 %"</f>
        <v>11.56 %</v>
      </c>
      <c r="O3768" s="0" t="s">
        <v>12488</v>
      </c>
    </row>
    <row r="3769" customFormat="false" ht="13.8" hidden="false" customHeight="false" outlineLevel="0" collapsed="false">
      <c r="A3769" s="0" t="s">
        <v>12489</v>
      </c>
      <c r="D3769" s="0" t="s">
        <v>6253</v>
      </c>
      <c r="E3769" s="0" t="s">
        <v>1169</v>
      </c>
      <c r="F3769" s="0" t="s">
        <v>6254</v>
      </c>
      <c r="G3769" s="0" t="n">
        <v>0</v>
      </c>
      <c r="J3769" s="0" t="s">
        <v>40</v>
      </c>
      <c r="K3769" s="0" t="str">
        <f aca="false">"10.19 %"</f>
        <v>10.19 %</v>
      </c>
      <c r="O3769" s="0" t="s">
        <v>12490</v>
      </c>
    </row>
    <row r="3770" customFormat="false" ht="13.8" hidden="false" customHeight="false" outlineLevel="0" collapsed="false">
      <c r="A3770" s="0" t="s">
        <v>12489</v>
      </c>
      <c r="F3770" s="0" t="s">
        <v>40</v>
      </c>
      <c r="G3770" s="0" t="n">
        <v>0</v>
      </c>
      <c r="J3770" s="0" t="s">
        <v>40</v>
      </c>
      <c r="K3770" s="0" t="str">
        <f aca="false">"10.55 %"</f>
        <v>10.55 %</v>
      </c>
      <c r="O3770" s="0" t="s">
        <v>12491</v>
      </c>
    </row>
    <row r="3771" customFormat="false" ht="13.8" hidden="false" customHeight="false" outlineLevel="0" collapsed="false">
      <c r="A3771" s="0" t="s">
        <v>12492</v>
      </c>
      <c r="D3771" s="0" t="s">
        <v>12493</v>
      </c>
      <c r="F3771" s="0" t="s">
        <v>40</v>
      </c>
      <c r="G3771" s="0" t="n">
        <v>0</v>
      </c>
      <c r="J3771" s="0" t="s">
        <v>40</v>
      </c>
      <c r="K3771" s="0" t="str">
        <f aca="false">"2.36 %"</f>
        <v>2.36 %</v>
      </c>
      <c r="O3771" s="0" t="s">
        <v>12494</v>
      </c>
    </row>
    <row r="3772" customFormat="false" ht="13.8" hidden="false" customHeight="false" outlineLevel="0" collapsed="false">
      <c r="A3772" s="0" t="s">
        <v>12495</v>
      </c>
      <c r="F3772" s="0" t="s">
        <v>40</v>
      </c>
      <c r="G3772" s="0" t="n">
        <v>0</v>
      </c>
      <c r="H3772" s="0" t="s">
        <v>12496</v>
      </c>
      <c r="J3772" s="0" t="s">
        <v>40</v>
      </c>
      <c r="K3772" s="0" t="str">
        <f aca="false">"0.39 %"</f>
        <v>0.39 %</v>
      </c>
      <c r="O3772" s="0" t="s">
        <v>12497</v>
      </c>
    </row>
    <row r="3773" customFormat="false" ht="13.8" hidden="false" customHeight="false" outlineLevel="0" collapsed="false">
      <c r="A3773" s="0" t="s">
        <v>12498</v>
      </c>
      <c r="F3773" s="0" t="s">
        <v>40</v>
      </c>
      <c r="G3773" s="0" t="n">
        <v>0</v>
      </c>
      <c r="H3773" s="0" t="s">
        <v>965</v>
      </c>
      <c r="J3773" s="0" t="s">
        <v>12499</v>
      </c>
      <c r="K3773" s="0" t="str">
        <f aca="false">"4.43 %"</f>
        <v>4.43 %</v>
      </c>
      <c r="O3773" s="0" t="s">
        <v>12500</v>
      </c>
    </row>
    <row r="3774" customFormat="false" ht="13.8" hidden="false" customHeight="false" outlineLevel="0" collapsed="false">
      <c r="A3774" s="0" t="s">
        <v>12501</v>
      </c>
      <c r="D3774" s="0" t="n">
        <v>2</v>
      </c>
      <c r="F3774" s="0" t="s">
        <v>3378</v>
      </c>
      <c r="G3774" s="0" t="n">
        <v>0</v>
      </c>
      <c r="J3774" s="0" t="s">
        <v>40</v>
      </c>
      <c r="K3774" s="0" t="str">
        <f aca="false">"1.84 %"</f>
        <v>1.84 %</v>
      </c>
      <c r="O3774" s="0" t="s">
        <v>12502</v>
      </c>
    </row>
    <row r="3775" customFormat="false" ht="13.8" hidden="false" customHeight="false" outlineLevel="0" collapsed="false">
      <c r="A3775" s="0" t="s">
        <v>12503</v>
      </c>
      <c r="D3775" s="0" t="s">
        <v>12504</v>
      </c>
      <c r="F3775" s="0" t="s">
        <v>12505</v>
      </c>
      <c r="G3775" s="0" t="n">
        <v>0</v>
      </c>
      <c r="J3775" s="0" t="s">
        <v>40</v>
      </c>
      <c r="K3775" s="0" t="str">
        <f aca="false">"2.22 %"</f>
        <v>2.22 %</v>
      </c>
      <c r="L3775" s="0" t="str">
        <f aca="false">"0.80 V"</f>
        <v>0.80 V</v>
      </c>
      <c r="M3775" s="0" t="str">
        <f aca="false">"4.84 mA cm^{-2}"</f>
        <v>4.84 mA cm^{-2}</v>
      </c>
      <c r="N3775" s="0" t="str">
        <f aca="false">"50 %"</f>
        <v>50 %</v>
      </c>
      <c r="O3775" s="0" t="s">
        <v>12506</v>
      </c>
    </row>
    <row r="3776" customFormat="false" ht="13.8" hidden="false" customHeight="false" outlineLevel="0" collapsed="false">
      <c r="A3776" s="0" t="s">
        <v>12507</v>
      </c>
      <c r="D3776" s="0" t="s">
        <v>12508</v>
      </c>
      <c r="F3776" s="0" t="s">
        <v>12509</v>
      </c>
      <c r="G3776" s="0" t="n">
        <v>0</v>
      </c>
      <c r="J3776" s="0" t="s">
        <v>40</v>
      </c>
      <c r="K3776" s="0" t="str">
        <f aca="false">"7.33 %"</f>
        <v>7.33 %</v>
      </c>
      <c r="O3776" s="0" t="s">
        <v>12510</v>
      </c>
    </row>
    <row r="3777" customFormat="false" ht="13.8" hidden="false" customHeight="false" outlineLevel="0" collapsed="false">
      <c r="A3777" s="0" t="s">
        <v>12511</v>
      </c>
      <c r="F3777" s="0" t="s">
        <v>40</v>
      </c>
      <c r="G3777" s="0" t="n">
        <v>1</v>
      </c>
      <c r="H3777" s="0" t="s">
        <v>33</v>
      </c>
      <c r="J3777" s="0" t="s">
        <v>34</v>
      </c>
      <c r="K3777" s="0" t="str">
        <f aca="false">"0.1 %"</f>
        <v>0.1 %</v>
      </c>
      <c r="L3777" s="0" t="str">
        <f aca="false">"0.4 V"</f>
        <v>0.4 V</v>
      </c>
      <c r="M3777" s="0" t="str">
        <f aca="false">"0.5 mA cm^{-2}"</f>
        <v>0.5 mA cm^{-2}</v>
      </c>
      <c r="O3777" s="0" t="s">
        <v>12512</v>
      </c>
    </row>
    <row r="3778" customFormat="false" ht="13.8" hidden="false" customHeight="false" outlineLevel="0" collapsed="false">
      <c r="A3778" s="0" t="s">
        <v>12513</v>
      </c>
      <c r="D3778" s="0" t="s">
        <v>1924</v>
      </c>
      <c r="E3778" s="0" t="s">
        <v>1925</v>
      </c>
      <c r="F3778" s="0" t="s">
        <v>1926</v>
      </c>
      <c r="G3778" s="0" t="n">
        <v>0</v>
      </c>
      <c r="J3778" s="0" t="s">
        <v>40</v>
      </c>
      <c r="K3778" s="0" t="str">
        <f aca="false">"14.60 %"</f>
        <v>14.60 %</v>
      </c>
      <c r="O3778" s="0" t="s">
        <v>12514</v>
      </c>
    </row>
    <row r="3779" customFormat="false" ht="13.8" hidden="false" customHeight="false" outlineLevel="0" collapsed="false">
      <c r="A3779" s="0" t="s">
        <v>12515</v>
      </c>
      <c r="F3779" s="0" t="s">
        <v>40</v>
      </c>
      <c r="G3779" s="0" t="n">
        <v>0</v>
      </c>
      <c r="H3779" s="0" t="s">
        <v>224</v>
      </c>
      <c r="I3779" s="0" t="s">
        <v>225</v>
      </c>
      <c r="J3779" s="0" t="s">
        <v>12516</v>
      </c>
      <c r="K3779" s="0" t="str">
        <f aca="false">"18 %"</f>
        <v>18 %</v>
      </c>
      <c r="O3779" s="0" t="s">
        <v>12517</v>
      </c>
    </row>
    <row r="3780" customFormat="false" ht="13.8" hidden="false" customHeight="false" outlineLevel="0" collapsed="false">
      <c r="A3780" s="0" t="s">
        <v>12518</v>
      </c>
      <c r="D3780" s="0" t="s">
        <v>12519</v>
      </c>
      <c r="F3780" s="0" t="s">
        <v>12520</v>
      </c>
      <c r="G3780" s="0" t="n">
        <v>0</v>
      </c>
      <c r="J3780" s="0" t="s">
        <v>40</v>
      </c>
      <c r="K3780" s="0" t="str">
        <f aca="false">"11.03 %"</f>
        <v>11.03 %</v>
      </c>
      <c r="O3780" s="0" t="s">
        <v>12521</v>
      </c>
    </row>
    <row r="3781" customFormat="false" ht="13.8" hidden="false" customHeight="false" outlineLevel="0" collapsed="false">
      <c r="A3781" s="0" t="s">
        <v>12522</v>
      </c>
      <c r="D3781" s="0" t="s">
        <v>201</v>
      </c>
      <c r="E3781" s="0" t="s">
        <v>202</v>
      </c>
      <c r="F3781" s="0" t="s">
        <v>422</v>
      </c>
      <c r="G3781" s="0" t="n">
        <v>0</v>
      </c>
      <c r="J3781" s="0" t="s">
        <v>40</v>
      </c>
      <c r="K3781" s="0" t="str">
        <f aca="false">"9.0 %"</f>
        <v>9.0 %</v>
      </c>
      <c r="M3781" s="0" t="str">
        <f aca="false">"22.8 mA cm^{-2}"</f>
        <v>22.8 mA cm^{-2}</v>
      </c>
      <c r="O3781" s="0" t="s">
        <v>12523</v>
      </c>
    </row>
    <row r="3782" customFormat="false" ht="13.8" hidden="false" customHeight="false" outlineLevel="0" collapsed="false">
      <c r="A3782" s="0" t="s">
        <v>12524</v>
      </c>
      <c r="D3782" s="0" t="s">
        <v>12525</v>
      </c>
      <c r="F3782" s="0" t="s">
        <v>12526</v>
      </c>
      <c r="G3782" s="0" t="n">
        <v>0</v>
      </c>
      <c r="J3782" s="0" t="s">
        <v>40</v>
      </c>
      <c r="K3782" s="0" t="str">
        <f aca="false">"8 %"</f>
        <v>8 %</v>
      </c>
      <c r="O3782" s="0" t="s">
        <v>12527</v>
      </c>
    </row>
    <row r="3783" customFormat="false" ht="13.8" hidden="false" customHeight="false" outlineLevel="0" collapsed="false">
      <c r="A3783" s="0" t="s">
        <v>12524</v>
      </c>
      <c r="D3783" s="0" t="s">
        <v>8829</v>
      </c>
      <c r="E3783" s="0" t="s">
        <v>5041</v>
      </c>
      <c r="F3783" s="0" t="s">
        <v>8830</v>
      </c>
      <c r="G3783" s="0" t="n">
        <v>0</v>
      </c>
      <c r="J3783" s="0" t="s">
        <v>40</v>
      </c>
      <c r="K3783" s="0" t="str">
        <f aca="false">"15.17 %"</f>
        <v>15.17 %</v>
      </c>
      <c r="O3783" s="0" t="s">
        <v>12528</v>
      </c>
    </row>
    <row r="3784" customFormat="false" ht="13.8" hidden="false" customHeight="false" outlineLevel="0" collapsed="false">
      <c r="A3784" s="0" t="s">
        <v>12529</v>
      </c>
      <c r="D3784" s="0" t="s">
        <v>201</v>
      </c>
      <c r="E3784" s="0" t="s">
        <v>202</v>
      </c>
      <c r="F3784" s="0" t="s">
        <v>422</v>
      </c>
      <c r="G3784" s="0" t="n">
        <v>0</v>
      </c>
      <c r="J3784" s="0" t="s">
        <v>40</v>
      </c>
      <c r="K3784" s="0" t="str">
        <f aca="false">"14.64 %"</f>
        <v>14.64 %</v>
      </c>
      <c r="O3784" s="0" t="s">
        <v>12530</v>
      </c>
    </row>
    <row r="3785" customFormat="false" ht="13.8" hidden="false" customHeight="false" outlineLevel="0" collapsed="false">
      <c r="A3785" s="0" t="s">
        <v>12531</v>
      </c>
      <c r="D3785" s="0" t="s">
        <v>5940</v>
      </c>
      <c r="F3785" s="0" t="s">
        <v>10993</v>
      </c>
      <c r="G3785" s="0" t="n">
        <v>0</v>
      </c>
      <c r="J3785" s="0" t="s">
        <v>40</v>
      </c>
      <c r="K3785" s="0" t="str">
        <f aca="false">"16.1 %"</f>
        <v>16.1 %</v>
      </c>
      <c r="O3785" s="0" t="s">
        <v>12532</v>
      </c>
    </row>
    <row r="3786" customFormat="false" ht="13.8" hidden="false" customHeight="false" outlineLevel="0" collapsed="false">
      <c r="A3786" s="0" t="s">
        <v>12533</v>
      </c>
      <c r="D3786" s="0" t="s">
        <v>1116</v>
      </c>
      <c r="E3786" s="0" t="s">
        <v>1117</v>
      </c>
      <c r="F3786" s="0" t="s">
        <v>1118</v>
      </c>
      <c r="G3786" s="0" t="n">
        <v>0</v>
      </c>
      <c r="J3786" s="0" t="s">
        <v>40</v>
      </c>
      <c r="K3786" s="0" t="str">
        <f aca="false">"4.21 %"</f>
        <v>4.21 %</v>
      </c>
      <c r="L3786" s="0" t="str">
        <f aca="false">"0.83 V"</f>
        <v>0.83 V</v>
      </c>
      <c r="O3786" s="0" t="s">
        <v>12534</v>
      </c>
    </row>
    <row r="3787" customFormat="false" ht="13.8" hidden="false" customHeight="false" outlineLevel="0" collapsed="false">
      <c r="A3787" s="0" t="s">
        <v>12535</v>
      </c>
      <c r="D3787" s="0" t="s">
        <v>12536</v>
      </c>
      <c r="F3787" s="0" t="s">
        <v>12537</v>
      </c>
      <c r="G3787" s="0" t="n">
        <v>0</v>
      </c>
      <c r="J3787" s="0" t="s">
        <v>40</v>
      </c>
      <c r="K3787" s="0" t="str">
        <f aca="false">"13.46 %"</f>
        <v>13.46 %</v>
      </c>
      <c r="L3787" s="0" t="str">
        <f aca="false">"0.84 V"</f>
        <v>0.84 V</v>
      </c>
      <c r="M3787" s="0" t="str">
        <f aca="false">"23.16 mA cm^{-2}"</f>
        <v>23.16 mA cm^{-2}</v>
      </c>
      <c r="N3787" s="0" t="str">
        <f aca="false">"69.2 %"</f>
        <v>69.2 %</v>
      </c>
      <c r="O3787" s="0" t="s">
        <v>12538</v>
      </c>
    </row>
    <row r="3788" customFormat="false" ht="13.8" hidden="false" customHeight="false" outlineLevel="0" collapsed="false">
      <c r="A3788" s="0" t="s">
        <v>12539</v>
      </c>
      <c r="D3788" s="0" t="s">
        <v>12540</v>
      </c>
      <c r="F3788" s="0" t="s">
        <v>12541</v>
      </c>
      <c r="G3788" s="0" t="n">
        <v>0</v>
      </c>
      <c r="J3788" s="0" t="s">
        <v>40</v>
      </c>
      <c r="K3788" s="0" t="str">
        <f aca="false">"9.04 %"</f>
        <v>9.04 %</v>
      </c>
      <c r="O3788" s="0" t="s">
        <v>12542</v>
      </c>
    </row>
    <row r="3789" customFormat="false" ht="13.8" hidden="false" customHeight="false" outlineLevel="0" collapsed="false">
      <c r="A3789" s="0" t="s">
        <v>12543</v>
      </c>
      <c r="D3789" s="0" t="s">
        <v>12544</v>
      </c>
      <c r="F3789" s="0" t="s">
        <v>12545</v>
      </c>
      <c r="G3789" s="0" t="n">
        <v>0</v>
      </c>
      <c r="J3789" s="0" t="s">
        <v>40</v>
      </c>
      <c r="M3789" s="0" t="str">
        <f aca="false">"26.92 mA cm^{-2}"</f>
        <v>26.92 mA cm^{-2}</v>
      </c>
      <c r="N3789" s="0" t="str">
        <f aca="false">"70.44 %"</f>
        <v>70.44 %</v>
      </c>
      <c r="O3789" s="0" t="s">
        <v>12546</v>
      </c>
    </row>
    <row r="3790" customFormat="false" ht="13.8" hidden="false" customHeight="false" outlineLevel="0" collapsed="false">
      <c r="A3790" s="0" t="s">
        <v>12547</v>
      </c>
      <c r="D3790" s="0" t="s">
        <v>9426</v>
      </c>
      <c r="F3790" s="0" t="s">
        <v>12548</v>
      </c>
      <c r="G3790" s="0" t="n">
        <v>0</v>
      </c>
      <c r="J3790" s="0" t="s">
        <v>40</v>
      </c>
      <c r="K3790" s="0" t="str">
        <f aca="false">"15.0 %"</f>
        <v>15.0 %</v>
      </c>
      <c r="O3790" s="0" t="s">
        <v>12549</v>
      </c>
    </row>
    <row r="3791" customFormat="false" ht="13.8" hidden="false" customHeight="false" outlineLevel="0" collapsed="false">
      <c r="A3791" s="0" t="s">
        <v>12550</v>
      </c>
      <c r="D3791" s="0" t="s">
        <v>599</v>
      </c>
      <c r="E3791" s="0" t="s">
        <v>600</v>
      </c>
      <c r="F3791" s="0" t="s">
        <v>601</v>
      </c>
      <c r="G3791" s="0" t="n">
        <v>0</v>
      </c>
      <c r="J3791" s="0" t="s">
        <v>40</v>
      </c>
      <c r="K3791" s="0" t="str">
        <f aca="false">"10.98 %"</f>
        <v>10.98 %</v>
      </c>
      <c r="O3791" s="0" t="s">
        <v>12551</v>
      </c>
    </row>
    <row r="3792" customFormat="false" ht="13.8" hidden="false" customHeight="false" outlineLevel="0" collapsed="false">
      <c r="A3792" s="0" t="s">
        <v>12552</v>
      </c>
      <c r="D3792" s="0" t="s">
        <v>12553</v>
      </c>
      <c r="E3792" s="0" t="s">
        <v>12554</v>
      </c>
      <c r="F3792" s="0" t="s">
        <v>12555</v>
      </c>
      <c r="G3792" s="0" t="n">
        <v>0</v>
      </c>
      <c r="J3792" s="0" t="s">
        <v>40</v>
      </c>
      <c r="K3792" s="0" t="str">
        <f aca="false">"16.6 %"</f>
        <v>16.6 %</v>
      </c>
      <c r="O3792" s="0" t="s">
        <v>12556</v>
      </c>
    </row>
    <row r="3793" customFormat="false" ht="13.8" hidden="false" customHeight="false" outlineLevel="0" collapsed="false">
      <c r="A3793" s="0" t="s">
        <v>12557</v>
      </c>
      <c r="D3793" s="0" t="s">
        <v>678</v>
      </c>
      <c r="E3793" s="0" t="s">
        <v>679</v>
      </c>
      <c r="F3793" s="0" t="s">
        <v>12558</v>
      </c>
      <c r="G3793" s="0" t="n">
        <v>0</v>
      </c>
      <c r="J3793" s="0" t="s">
        <v>40</v>
      </c>
      <c r="K3793" s="0" t="str">
        <f aca="false">"11.9 %"</f>
        <v>11.9 %</v>
      </c>
      <c r="O3793" s="0" t="s">
        <v>12559</v>
      </c>
    </row>
    <row r="3794" customFormat="false" ht="13.8" hidden="false" customHeight="false" outlineLevel="0" collapsed="false">
      <c r="A3794" s="0" t="s">
        <v>12560</v>
      </c>
      <c r="D3794" s="0" t="s">
        <v>1121</v>
      </c>
      <c r="E3794" s="0" t="s">
        <v>225</v>
      </c>
      <c r="F3794" s="0" t="s">
        <v>1122</v>
      </c>
      <c r="G3794" s="0" t="n">
        <v>0</v>
      </c>
      <c r="J3794" s="0" t="s">
        <v>40</v>
      </c>
      <c r="K3794" s="0" t="str">
        <f aca="false">"11 %"</f>
        <v>11 %</v>
      </c>
      <c r="O3794" s="0" t="s">
        <v>12561</v>
      </c>
    </row>
    <row r="3795" customFormat="false" ht="13.8" hidden="false" customHeight="false" outlineLevel="0" collapsed="false">
      <c r="A3795" s="0" t="s">
        <v>12562</v>
      </c>
      <c r="D3795" s="0" t="s">
        <v>12563</v>
      </c>
      <c r="E3795" s="0" t="s">
        <v>1117</v>
      </c>
      <c r="F3795" s="0" t="s">
        <v>12564</v>
      </c>
      <c r="G3795" s="0" t="n">
        <v>0</v>
      </c>
      <c r="J3795" s="0" t="s">
        <v>40</v>
      </c>
      <c r="K3795" s="0" t="str">
        <f aca="false">"17.6 %"</f>
        <v>17.6 %</v>
      </c>
      <c r="N3795" s="0" t="str">
        <f aca="false">"0.72"</f>
        <v>0.72</v>
      </c>
      <c r="O3795" s="0" t="s">
        <v>12565</v>
      </c>
    </row>
    <row r="3796" customFormat="false" ht="13.8" hidden="false" customHeight="false" outlineLevel="0" collapsed="false">
      <c r="A3796" s="0" t="s">
        <v>12562</v>
      </c>
      <c r="D3796" s="0" t="s">
        <v>1116</v>
      </c>
      <c r="E3796" s="0" t="s">
        <v>1117</v>
      </c>
      <c r="F3796" s="0" t="s">
        <v>12564</v>
      </c>
      <c r="G3796" s="0" t="n">
        <v>0</v>
      </c>
      <c r="J3796" s="0" t="s">
        <v>40</v>
      </c>
      <c r="K3796" s="0" t="str">
        <f aca="false">"15.7 %"</f>
        <v>15.7 %</v>
      </c>
      <c r="O3796" s="0" t="s">
        <v>12566</v>
      </c>
    </row>
    <row r="3797" customFormat="false" ht="13.8" hidden="false" customHeight="false" outlineLevel="0" collapsed="false">
      <c r="A3797" s="0" t="s">
        <v>12567</v>
      </c>
      <c r="D3797" s="0" t="s">
        <v>12568</v>
      </c>
      <c r="F3797" s="0" t="s">
        <v>40</v>
      </c>
      <c r="G3797" s="0" t="n">
        <v>0</v>
      </c>
      <c r="J3797" s="0" t="s">
        <v>40</v>
      </c>
      <c r="K3797" s="0" t="str">
        <f aca="false">"9.8 %"</f>
        <v>9.8 %</v>
      </c>
      <c r="O3797" s="0" t="s">
        <v>12569</v>
      </c>
    </row>
    <row r="3798" customFormat="false" ht="13.8" hidden="false" customHeight="false" outlineLevel="0" collapsed="false">
      <c r="A3798" s="0" t="s">
        <v>12570</v>
      </c>
      <c r="D3798" s="0" t="s">
        <v>12571</v>
      </c>
      <c r="F3798" s="0" t="s">
        <v>12572</v>
      </c>
      <c r="G3798" s="0" t="n">
        <v>0</v>
      </c>
      <c r="J3798" s="0" t="s">
        <v>40</v>
      </c>
      <c r="K3798" s="0" t="str">
        <f aca="false">"9 %"</f>
        <v>9 %</v>
      </c>
      <c r="O3798" s="0" t="s">
        <v>12573</v>
      </c>
    </row>
    <row r="3799" customFormat="false" ht="13.8" hidden="false" customHeight="false" outlineLevel="0" collapsed="false">
      <c r="A3799" s="0" t="s">
        <v>12574</v>
      </c>
      <c r="F3799" s="0" t="s">
        <v>40</v>
      </c>
      <c r="G3799" s="0" t="n">
        <v>1</v>
      </c>
      <c r="H3799" s="0" t="s">
        <v>76</v>
      </c>
      <c r="J3799" s="0" t="s">
        <v>77</v>
      </c>
      <c r="K3799" s="0" t="str">
        <f aca="false">"4.83 %"</f>
        <v>4.83 %</v>
      </c>
      <c r="O3799" s="0" t="s">
        <v>12575</v>
      </c>
    </row>
    <row r="3800" customFormat="false" ht="13.8" hidden="false" customHeight="false" outlineLevel="0" collapsed="false">
      <c r="A3800" s="0" t="s">
        <v>12576</v>
      </c>
      <c r="D3800" s="0" t="s">
        <v>12577</v>
      </c>
      <c r="F3800" s="0" t="s">
        <v>12578</v>
      </c>
      <c r="G3800" s="0" t="n">
        <v>0</v>
      </c>
      <c r="J3800" s="0" t="s">
        <v>40</v>
      </c>
      <c r="K3800" s="0" t="str">
        <f aca="false">"16 %"</f>
        <v>16 %</v>
      </c>
      <c r="O3800" s="0" t="s">
        <v>12579</v>
      </c>
    </row>
    <row r="3801" customFormat="false" ht="13.8" hidden="false" customHeight="false" outlineLevel="0" collapsed="false">
      <c r="A3801" s="0" t="s">
        <v>12580</v>
      </c>
      <c r="D3801" s="0" t="s">
        <v>12581</v>
      </c>
      <c r="F3801" s="0" t="s">
        <v>12582</v>
      </c>
      <c r="G3801" s="0" t="n">
        <v>0</v>
      </c>
      <c r="J3801" s="0" t="s">
        <v>40</v>
      </c>
      <c r="K3801" s="0" t="str">
        <f aca="false">"4.65 %"</f>
        <v>4.65 %</v>
      </c>
      <c r="O3801" s="0" t="s">
        <v>12583</v>
      </c>
    </row>
    <row r="3802" customFormat="false" ht="13.8" hidden="false" customHeight="false" outlineLevel="0" collapsed="false">
      <c r="A3802" s="0" t="s">
        <v>12584</v>
      </c>
      <c r="D3802" s="0" t="s">
        <v>12585</v>
      </c>
      <c r="F3802" s="0" t="s">
        <v>12586</v>
      </c>
      <c r="G3802" s="0" t="n">
        <v>0</v>
      </c>
      <c r="J3802" s="0" t="s">
        <v>40</v>
      </c>
      <c r="K3802" s="0" t="str">
        <f aca="false">"11.02 %"</f>
        <v>11.02 %</v>
      </c>
      <c r="O3802" s="0" t="s">
        <v>12587</v>
      </c>
    </row>
    <row r="3803" customFormat="false" ht="13.8" hidden="false" customHeight="false" outlineLevel="0" collapsed="false">
      <c r="A3803" s="0" t="s">
        <v>12588</v>
      </c>
      <c r="D3803" s="0" t="s">
        <v>12589</v>
      </c>
      <c r="F3803" s="0" t="s">
        <v>12590</v>
      </c>
      <c r="G3803" s="0" t="n">
        <v>0</v>
      </c>
      <c r="J3803" s="0" t="s">
        <v>40</v>
      </c>
      <c r="K3803" s="0" t="str">
        <f aca="false">"7.54 %"</f>
        <v>7.54 %</v>
      </c>
      <c r="O3803" s="0" t="s">
        <v>12591</v>
      </c>
    </row>
    <row r="3804" customFormat="false" ht="13.8" hidden="false" customHeight="false" outlineLevel="0" collapsed="false">
      <c r="A3804" s="0" t="s">
        <v>12592</v>
      </c>
      <c r="D3804" s="0" t="s">
        <v>12593</v>
      </c>
      <c r="F3804" s="0" t="s">
        <v>12594</v>
      </c>
      <c r="G3804" s="0" t="n">
        <v>0</v>
      </c>
      <c r="J3804" s="0" t="s">
        <v>40</v>
      </c>
      <c r="K3804" s="0" t="str">
        <f aca="false">"13.56 %"</f>
        <v>13.56 %</v>
      </c>
      <c r="L3804" s="0" t="str">
        <f aca="false">"0.90 V"</f>
        <v>0.90 V</v>
      </c>
      <c r="M3804" s="0" t="str">
        <f aca="false">"21.53 mA/cm^{2}"</f>
        <v>21.53 mA/cm^{2}</v>
      </c>
      <c r="N3804" s="0" t="str">
        <f aca="false">"69.68 %"</f>
        <v>69.68 %</v>
      </c>
      <c r="O3804" s="0" t="s">
        <v>12595</v>
      </c>
    </row>
    <row r="3805" customFormat="false" ht="13.8" hidden="false" customHeight="false" outlineLevel="0" collapsed="false">
      <c r="A3805" s="0" t="s">
        <v>12596</v>
      </c>
      <c r="D3805" s="0" t="s">
        <v>6214</v>
      </c>
      <c r="F3805" s="0" t="s">
        <v>40</v>
      </c>
      <c r="G3805" s="0" t="n">
        <v>0</v>
      </c>
      <c r="J3805" s="0" t="s">
        <v>40</v>
      </c>
      <c r="K3805" s="0" t="str">
        <f aca="false">"12.33 %"</f>
        <v>12.33 %</v>
      </c>
      <c r="M3805" s="0" t="str">
        <f aca="false">"20 mA/cm^{2}"</f>
        <v>20 mA/cm^{2}</v>
      </c>
      <c r="O3805" s="0" t="s">
        <v>12597</v>
      </c>
    </row>
    <row r="3806" customFormat="false" ht="13.8" hidden="false" customHeight="false" outlineLevel="0" collapsed="false">
      <c r="A3806" s="0" t="s">
        <v>12598</v>
      </c>
      <c r="D3806" s="0" t="s">
        <v>12599</v>
      </c>
      <c r="F3806" s="0" t="s">
        <v>12600</v>
      </c>
      <c r="G3806" s="0" t="n">
        <v>0</v>
      </c>
      <c r="J3806" s="0" t="s">
        <v>40</v>
      </c>
      <c r="K3806" s="0" t="str">
        <f aca="false">"14.0 %"</f>
        <v>14.0 %</v>
      </c>
      <c r="O3806" s="0" t="s">
        <v>12601</v>
      </c>
    </row>
    <row r="3807" customFormat="false" ht="13.8" hidden="false" customHeight="false" outlineLevel="0" collapsed="false">
      <c r="A3807" s="0" t="s">
        <v>12602</v>
      </c>
      <c r="D3807" s="0" t="s">
        <v>12603</v>
      </c>
      <c r="F3807" s="0" t="s">
        <v>12604</v>
      </c>
      <c r="G3807" s="0" t="n">
        <v>0</v>
      </c>
      <c r="J3807" s="0" t="s">
        <v>40</v>
      </c>
      <c r="K3807" s="0" t="str">
        <f aca="false">"10.64 %"</f>
        <v>10.64 %</v>
      </c>
      <c r="O3807" s="0" t="s">
        <v>12605</v>
      </c>
    </row>
    <row r="3808" customFormat="false" ht="13.8" hidden="false" customHeight="false" outlineLevel="0" collapsed="false">
      <c r="A3808" s="0" t="s">
        <v>12606</v>
      </c>
      <c r="D3808" s="0" t="s">
        <v>12607</v>
      </c>
      <c r="F3808" s="0" t="s">
        <v>12608</v>
      </c>
      <c r="G3808" s="0" t="n">
        <v>0</v>
      </c>
      <c r="J3808" s="0" t="s">
        <v>40</v>
      </c>
      <c r="K3808" s="0" t="str">
        <f aca="false">"4.1 %"</f>
        <v>4.1 %</v>
      </c>
      <c r="O3808" s="0" t="s">
        <v>12609</v>
      </c>
    </row>
    <row r="3809" customFormat="false" ht="13.8" hidden="false" customHeight="false" outlineLevel="0" collapsed="false">
      <c r="A3809" s="0" t="s">
        <v>12610</v>
      </c>
      <c r="D3809" s="0" t="s">
        <v>12611</v>
      </c>
      <c r="F3809" s="0" t="s">
        <v>12612</v>
      </c>
      <c r="G3809" s="0" t="n">
        <v>0</v>
      </c>
      <c r="J3809" s="0" t="s">
        <v>40</v>
      </c>
      <c r="K3809" s="0" t="str">
        <f aca="false">"10 %"</f>
        <v>10 %</v>
      </c>
      <c r="O3809" s="0" t="s">
        <v>12613</v>
      </c>
    </row>
    <row r="3810" customFormat="false" ht="13.8" hidden="false" customHeight="false" outlineLevel="0" collapsed="false">
      <c r="A3810" s="0" t="s">
        <v>12614</v>
      </c>
      <c r="F3810" s="0" t="s">
        <v>40</v>
      </c>
      <c r="G3810" s="0" t="n">
        <v>0</v>
      </c>
      <c r="H3810" s="0" t="s">
        <v>12615</v>
      </c>
      <c r="J3810" s="0" t="s">
        <v>12616</v>
      </c>
      <c r="K3810" s="0" t="str">
        <f aca="false">"7.35 %"</f>
        <v>7.35 %</v>
      </c>
      <c r="O3810" s="0" t="s">
        <v>12617</v>
      </c>
    </row>
    <row r="3811" customFormat="false" ht="13.8" hidden="false" customHeight="false" outlineLevel="0" collapsed="false">
      <c r="A3811" s="0" t="s">
        <v>12618</v>
      </c>
      <c r="D3811" s="0" t="s">
        <v>12619</v>
      </c>
      <c r="F3811" s="0" t="s">
        <v>12620</v>
      </c>
      <c r="G3811" s="0" t="n">
        <v>0</v>
      </c>
      <c r="J3811" s="0" t="s">
        <v>40</v>
      </c>
      <c r="K3811" s="0" t="str">
        <f aca="false">"9.33 %"</f>
        <v>9.33 %</v>
      </c>
      <c r="L3811" s="0" t="str">
        <f aca="false">"0.95 V"</f>
        <v>0.95 V</v>
      </c>
      <c r="O3811" s="0" t="s">
        <v>12621</v>
      </c>
    </row>
    <row r="3812" customFormat="false" ht="13.8" hidden="false" customHeight="false" outlineLevel="0" collapsed="false">
      <c r="A3812" s="0" t="s">
        <v>12618</v>
      </c>
      <c r="D3812" s="0" t="s">
        <v>12622</v>
      </c>
      <c r="F3812" s="0" t="s">
        <v>12623</v>
      </c>
      <c r="G3812" s="0" t="n">
        <v>0</v>
      </c>
      <c r="J3812" s="0" t="s">
        <v>40</v>
      </c>
      <c r="M3812" s="0" t="str">
        <f aca="false">"16.91 mA cm^{-2}"</f>
        <v>16.91 mA cm^{-2}</v>
      </c>
      <c r="N3812" s="0" t="str">
        <f aca="false">"5.91 %"</f>
        <v>5.91 %</v>
      </c>
      <c r="O3812" s="0" t="s">
        <v>12624</v>
      </c>
    </row>
    <row r="3813" customFormat="false" ht="13.8" hidden="false" customHeight="false" outlineLevel="0" collapsed="false">
      <c r="A3813" s="0" t="s">
        <v>12625</v>
      </c>
      <c r="D3813" s="0" t="s">
        <v>12626</v>
      </c>
      <c r="F3813" s="0" t="s">
        <v>12627</v>
      </c>
      <c r="G3813" s="0" t="n">
        <v>0</v>
      </c>
      <c r="J3813" s="0" t="s">
        <v>40</v>
      </c>
      <c r="K3813" s="0" t="str">
        <f aca="false">"9.11 %"</f>
        <v>9.11 %</v>
      </c>
      <c r="O3813" s="0" t="s">
        <v>12628</v>
      </c>
    </row>
    <row r="3814" customFormat="false" ht="13.8" hidden="false" customHeight="false" outlineLevel="0" collapsed="false">
      <c r="A3814" s="0" t="s">
        <v>12629</v>
      </c>
      <c r="D3814" s="0" t="s">
        <v>12630</v>
      </c>
      <c r="F3814" s="0" t="s">
        <v>12631</v>
      </c>
      <c r="G3814" s="0" t="n">
        <v>0</v>
      </c>
      <c r="J3814" s="0" t="s">
        <v>40</v>
      </c>
      <c r="K3814" s="0" t="str">
        <f aca="false">"2.74 %"</f>
        <v>2.74 %</v>
      </c>
      <c r="O3814" s="0" t="s">
        <v>12632</v>
      </c>
    </row>
    <row r="3815" customFormat="false" ht="13.8" hidden="false" customHeight="false" outlineLevel="0" collapsed="false">
      <c r="A3815" s="0" t="s">
        <v>12633</v>
      </c>
      <c r="D3815" s="0" t="s">
        <v>6213</v>
      </c>
      <c r="F3815" s="0" t="s">
        <v>12634</v>
      </c>
      <c r="G3815" s="0" t="n">
        <v>0</v>
      </c>
      <c r="J3815" s="0" t="s">
        <v>40</v>
      </c>
      <c r="K3815" s="0" t="str">
        <f aca="false">"3.97 %"</f>
        <v>3.97 %</v>
      </c>
      <c r="O3815" s="0" t="s">
        <v>12635</v>
      </c>
    </row>
    <row r="3816" customFormat="false" ht="13.8" hidden="false" customHeight="false" outlineLevel="0" collapsed="false">
      <c r="A3816" s="0" t="s">
        <v>12636</v>
      </c>
      <c r="D3816" s="0" t="s">
        <v>12637</v>
      </c>
      <c r="F3816" s="0" t="s">
        <v>12638</v>
      </c>
      <c r="G3816" s="0" t="n">
        <v>0</v>
      </c>
      <c r="J3816" s="0" t="s">
        <v>40</v>
      </c>
      <c r="K3816" s="0" t="str">
        <f aca="false">"4.49 %"</f>
        <v>4.49 %</v>
      </c>
      <c r="O3816" s="0" t="s">
        <v>12639</v>
      </c>
    </row>
    <row r="3817" customFormat="false" ht="13.8" hidden="false" customHeight="false" outlineLevel="0" collapsed="false">
      <c r="A3817" s="0" t="s">
        <v>12640</v>
      </c>
      <c r="D3817" s="0" t="s">
        <v>6749</v>
      </c>
      <c r="E3817" s="0" t="s">
        <v>6750</v>
      </c>
      <c r="F3817" s="0" t="s">
        <v>12641</v>
      </c>
      <c r="G3817" s="0" t="n">
        <v>0</v>
      </c>
      <c r="J3817" s="0" t="s">
        <v>40</v>
      </c>
      <c r="K3817" s="0" t="str">
        <f aca="false">"12.66 %"</f>
        <v>12.66 %</v>
      </c>
      <c r="N3817" s="0" t="str">
        <f aca="false">"71.45 %"</f>
        <v>71.45 %</v>
      </c>
      <c r="O3817" s="0" t="s">
        <v>12642</v>
      </c>
    </row>
    <row r="3818" customFormat="false" ht="13.8" hidden="false" customHeight="false" outlineLevel="0" collapsed="false">
      <c r="A3818" s="0" t="s">
        <v>12643</v>
      </c>
      <c r="F3818" s="0" t="s">
        <v>40</v>
      </c>
      <c r="G3818" s="0" t="n">
        <v>0</v>
      </c>
      <c r="H3818" s="0" t="s">
        <v>12644</v>
      </c>
      <c r="I3818" s="0" t="s">
        <v>1169</v>
      </c>
      <c r="J3818" s="0" t="s">
        <v>12645</v>
      </c>
      <c r="K3818" s="0" t="str">
        <f aca="false">"17.52 %"</f>
        <v>17.52 %</v>
      </c>
      <c r="O3818" s="0" t="s">
        <v>12646</v>
      </c>
    </row>
    <row r="3819" customFormat="false" ht="13.8" hidden="false" customHeight="false" outlineLevel="0" collapsed="false">
      <c r="A3819" s="0" t="s">
        <v>12647</v>
      </c>
      <c r="D3819" s="0" t="s">
        <v>1116</v>
      </c>
      <c r="E3819" s="0" t="s">
        <v>1117</v>
      </c>
      <c r="F3819" s="0" t="s">
        <v>1118</v>
      </c>
      <c r="G3819" s="0" t="n">
        <v>0</v>
      </c>
      <c r="J3819" s="0" t="s">
        <v>40</v>
      </c>
      <c r="K3819" s="0" t="str">
        <f aca="false">"8.06 %"</f>
        <v>8.06 %</v>
      </c>
      <c r="M3819" s="0" t="str">
        <f aca="false">"23.44 mA cm^{-2}"</f>
        <v>23.44 mA cm^{-2}</v>
      </c>
      <c r="N3819" s="0" t="str">
        <f aca="false">"71.52 %"</f>
        <v>71.52 %</v>
      </c>
      <c r="O3819" s="0" t="s">
        <v>12648</v>
      </c>
    </row>
    <row r="3820" customFormat="false" ht="13.8" hidden="false" customHeight="false" outlineLevel="0" collapsed="false">
      <c r="A3820" s="0" t="s">
        <v>12649</v>
      </c>
      <c r="D3820" s="0" t="s">
        <v>12650</v>
      </c>
      <c r="F3820" s="0" t="s">
        <v>12651</v>
      </c>
      <c r="G3820" s="0" t="n">
        <v>0</v>
      </c>
      <c r="J3820" s="0" t="s">
        <v>40</v>
      </c>
      <c r="K3820" s="0" t="str">
        <f aca="false">"9.80 %"</f>
        <v>9.80 %</v>
      </c>
      <c r="M3820" s="0" t="str">
        <f aca="false">"22.57 mA cm^{-2}"</f>
        <v>22.57 mA cm^{-2}</v>
      </c>
      <c r="O3820" s="0" t="s">
        <v>12652</v>
      </c>
    </row>
    <row r="3821" customFormat="false" ht="13.8" hidden="false" customHeight="false" outlineLevel="0" collapsed="false">
      <c r="A3821" s="0" t="s">
        <v>12653</v>
      </c>
      <c r="D3821" s="0" t="s">
        <v>12654</v>
      </c>
      <c r="F3821" s="0" t="s">
        <v>12655</v>
      </c>
      <c r="G3821" s="0" t="n">
        <v>0</v>
      </c>
      <c r="J3821" s="0" t="s">
        <v>40</v>
      </c>
      <c r="K3821" s="0" t="str">
        <f aca="false">"8.25 %"</f>
        <v>8.25 %</v>
      </c>
      <c r="O3821" s="0" t="s">
        <v>12656</v>
      </c>
    </row>
    <row r="3822" customFormat="false" ht="13.8" hidden="false" customHeight="false" outlineLevel="0" collapsed="false">
      <c r="A3822" s="0" t="s">
        <v>12657</v>
      </c>
      <c r="D3822" s="0" t="s">
        <v>5289</v>
      </c>
      <c r="E3822" s="0" t="s">
        <v>1169</v>
      </c>
      <c r="F3822" s="0" t="s">
        <v>5290</v>
      </c>
      <c r="G3822" s="0" t="n">
        <v>0</v>
      </c>
      <c r="J3822" s="0" t="s">
        <v>40</v>
      </c>
      <c r="K3822" s="0" t="str">
        <f aca="false">"11.2 %"</f>
        <v>11.2 %</v>
      </c>
      <c r="L3822" s="0" t="str">
        <f aca="false">"0.81 V"</f>
        <v>0.81 V</v>
      </c>
      <c r="M3822" s="0" t="str">
        <f aca="false">"21.3 mA cm^{-2}"</f>
        <v>21.3 mA cm^{-2}</v>
      </c>
      <c r="N3822" s="0" t="str">
        <f aca="false">"0.65"</f>
        <v>0.65</v>
      </c>
      <c r="O3822" s="0" t="s">
        <v>12658</v>
      </c>
    </row>
    <row r="3823" customFormat="false" ht="13.8" hidden="false" customHeight="false" outlineLevel="0" collapsed="false">
      <c r="A3823" s="0" t="s">
        <v>12659</v>
      </c>
      <c r="D3823" s="0" t="s">
        <v>1116</v>
      </c>
      <c r="E3823" s="0" t="s">
        <v>1117</v>
      </c>
      <c r="F3823" s="0" t="s">
        <v>12660</v>
      </c>
      <c r="G3823" s="0" t="n">
        <v>0</v>
      </c>
      <c r="J3823" s="0" t="s">
        <v>40</v>
      </c>
      <c r="K3823" s="0" t="str">
        <f aca="false">"9.60 %"</f>
        <v>9.60 %</v>
      </c>
      <c r="O3823" s="0" t="s">
        <v>12661</v>
      </c>
    </row>
    <row r="3824" customFormat="false" ht="13.8" hidden="false" customHeight="false" outlineLevel="0" collapsed="false">
      <c r="A3824" s="0" t="s">
        <v>12662</v>
      </c>
      <c r="D3824" s="0" t="s">
        <v>12663</v>
      </c>
      <c r="F3824" s="0" t="s">
        <v>12664</v>
      </c>
      <c r="G3824" s="0" t="n">
        <v>0</v>
      </c>
      <c r="J3824" s="0" t="s">
        <v>40</v>
      </c>
      <c r="O3824" s="0" t="s">
        <v>12665</v>
      </c>
    </row>
    <row r="3825" customFormat="false" ht="13.8" hidden="false" customHeight="false" outlineLevel="0" collapsed="false">
      <c r="A3825" s="0" t="s">
        <v>12662</v>
      </c>
      <c r="D3825" s="0" t="s">
        <v>1154</v>
      </c>
      <c r="F3825" s="0" t="s">
        <v>7364</v>
      </c>
      <c r="G3825" s="0" t="n">
        <v>0</v>
      </c>
      <c r="J3825" s="0" t="s">
        <v>40</v>
      </c>
      <c r="K3825" s="0" t="str">
        <f aca="false">"7.4 %"</f>
        <v>7.4 %</v>
      </c>
      <c r="O3825" s="0" t="s">
        <v>12666</v>
      </c>
    </row>
    <row r="3826" customFormat="false" ht="13.8" hidden="false" customHeight="false" outlineLevel="0" collapsed="false">
      <c r="A3826" s="0" t="s">
        <v>12667</v>
      </c>
      <c r="D3826" s="0" t="s">
        <v>201</v>
      </c>
      <c r="E3826" s="0" t="s">
        <v>202</v>
      </c>
      <c r="F3826" s="0" t="s">
        <v>12668</v>
      </c>
      <c r="G3826" s="0" t="n">
        <v>0</v>
      </c>
      <c r="J3826" s="0" t="s">
        <v>40</v>
      </c>
      <c r="K3826" s="0" t="str">
        <f aca="false">"3.46 %"</f>
        <v>3.46 %</v>
      </c>
      <c r="L3826" s="0" t="str">
        <f aca="false">"0.880 V"</f>
        <v>0.880 V</v>
      </c>
      <c r="O3826" s="0" t="s">
        <v>12669</v>
      </c>
    </row>
    <row r="3827" customFormat="false" ht="13.8" hidden="false" customHeight="false" outlineLevel="0" collapsed="false">
      <c r="A3827" s="0" t="s">
        <v>12667</v>
      </c>
      <c r="D3827" s="0" t="s">
        <v>12670</v>
      </c>
      <c r="F3827" s="0" t="s">
        <v>40</v>
      </c>
      <c r="G3827" s="0" t="n">
        <v>0</v>
      </c>
      <c r="J3827" s="0" t="s">
        <v>40</v>
      </c>
      <c r="L3827" s="0" t="str">
        <f aca="false">"0.790 V"</f>
        <v>0.790 V</v>
      </c>
      <c r="O3827" s="0" t="s">
        <v>12671</v>
      </c>
    </row>
    <row r="3828" customFormat="false" ht="13.8" hidden="false" customHeight="false" outlineLevel="0" collapsed="false">
      <c r="A3828" s="0" t="s">
        <v>12672</v>
      </c>
      <c r="D3828" s="0" t="s">
        <v>201</v>
      </c>
      <c r="E3828" s="0" t="s">
        <v>202</v>
      </c>
      <c r="F3828" s="0" t="s">
        <v>422</v>
      </c>
      <c r="G3828" s="0" t="n">
        <v>0</v>
      </c>
      <c r="J3828" s="0" t="s">
        <v>40</v>
      </c>
      <c r="K3828" s="0" t="str">
        <f aca="false">"9.1 %"</f>
        <v>9.1 %</v>
      </c>
      <c r="O3828" s="0" t="s">
        <v>12673</v>
      </c>
    </row>
    <row r="3829" customFormat="false" ht="13.8" hidden="false" customHeight="false" outlineLevel="0" collapsed="false">
      <c r="A3829" s="0" t="s">
        <v>12674</v>
      </c>
      <c r="D3829" s="0" t="s">
        <v>201</v>
      </c>
      <c r="E3829" s="0" t="s">
        <v>202</v>
      </c>
      <c r="F3829" s="0" t="s">
        <v>422</v>
      </c>
      <c r="G3829" s="0" t="n">
        <v>0</v>
      </c>
      <c r="J3829" s="0" t="s">
        <v>40</v>
      </c>
      <c r="K3829" s="0" t="str">
        <f aca="false">"9.07 %"</f>
        <v>9.07 %</v>
      </c>
      <c r="O3829" s="0" t="s">
        <v>12675</v>
      </c>
    </row>
    <row r="3830" customFormat="false" ht="13.8" hidden="false" customHeight="false" outlineLevel="0" collapsed="false">
      <c r="A3830" s="0" t="s">
        <v>12676</v>
      </c>
      <c r="D3830" s="0" t="s">
        <v>201</v>
      </c>
      <c r="E3830" s="0" t="s">
        <v>202</v>
      </c>
      <c r="F3830" s="0" t="s">
        <v>422</v>
      </c>
      <c r="G3830" s="0" t="n">
        <v>0</v>
      </c>
      <c r="J3830" s="0" t="s">
        <v>40</v>
      </c>
      <c r="K3830" s="0" t="str">
        <f aca="false">"9.5 %"</f>
        <v>9.5 %</v>
      </c>
      <c r="O3830" s="0" t="s">
        <v>12677</v>
      </c>
    </row>
    <row r="3831" customFormat="false" ht="13.8" hidden="false" customHeight="false" outlineLevel="0" collapsed="false">
      <c r="A3831" s="0" t="s">
        <v>12678</v>
      </c>
      <c r="D3831" s="0" t="s">
        <v>12679</v>
      </c>
      <c r="F3831" s="0" t="s">
        <v>12680</v>
      </c>
      <c r="G3831" s="0" t="n">
        <v>0</v>
      </c>
      <c r="J3831" s="0" t="s">
        <v>40</v>
      </c>
      <c r="N3831" s="0" t="str">
        <f aca="false">"68 %"</f>
        <v>68 %</v>
      </c>
      <c r="O3831" s="0" t="s">
        <v>12681</v>
      </c>
    </row>
    <row r="3832" customFormat="false" ht="13.8" hidden="false" customHeight="false" outlineLevel="0" collapsed="false">
      <c r="A3832" s="0" t="s">
        <v>12682</v>
      </c>
      <c r="D3832" s="0" t="s">
        <v>12683</v>
      </c>
      <c r="F3832" s="0" t="s">
        <v>40</v>
      </c>
      <c r="G3832" s="0" t="n">
        <v>0</v>
      </c>
      <c r="J3832" s="0" t="s">
        <v>40</v>
      </c>
      <c r="K3832" s="0" t="str">
        <f aca="false">"7.30 %"</f>
        <v>7.30 %</v>
      </c>
      <c r="O3832" s="0" t="s">
        <v>12684</v>
      </c>
    </row>
    <row r="3833" customFormat="false" ht="13.8" hidden="false" customHeight="false" outlineLevel="0" collapsed="false">
      <c r="A3833" s="0" t="s">
        <v>12682</v>
      </c>
      <c r="D3833" s="0" t="s">
        <v>12685</v>
      </c>
      <c r="F3833" s="0" t="s">
        <v>12686</v>
      </c>
      <c r="G3833" s="0" t="n">
        <v>0</v>
      </c>
      <c r="J3833" s="0" t="s">
        <v>40</v>
      </c>
      <c r="M3833" s="0" t="str">
        <f aca="false">"14.05 mA/cm^{2}"</f>
        <v>14.05 mA/cm^{2}</v>
      </c>
      <c r="O3833" s="0" t="s">
        <v>12687</v>
      </c>
    </row>
    <row r="3834" customFormat="false" ht="13.8" hidden="false" customHeight="false" outlineLevel="0" collapsed="false">
      <c r="A3834" s="0" t="s">
        <v>12688</v>
      </c>
      <c r="D3834" s="0" t="s">
        <v>31</v>
      </c>
      <c r="E3834" s="0" t="s">
        <v>17</v>
      </c>
      <c r="F3834" s="0" t="s">
        <v>32</v>
      </c>
      <c r="G3834" s="0" t="n">
        <v>0</v>
      </c>
      <c r="J3834" s="0" t="s">
        <v>40</v>
      </c>
      <c r="K3834" s="0" t="str">
        <f aca="false">"~5.4 %"</f>
        <v>~5.4 %</v>
      </c>
      <c r="O3834" s="0" t="s">
        <v>12689</v>
      </c>
    </row>
    <row r="3835" customFormat="false" ht="13.8" hidden="false" customHeight="false" outlineLevel="0" collapsed="false">
      <c r="A3835" s="0" t="s">
        <v>12690</v>
      </c>
      <c r="D3835" s="0" t="s">
        <v>1116</v>
      </c>
      <c r="E3835" s="0" t="s">
        <v>1117</v>
      </c>
      <c r="F3835" s="0" t="s">
        <v>1118</v>
      </c>
      <c r="G3835" s="0" t="n">
        <v>0</v>
      </c>
      <c r="J3835" s="0" t="s">
        <v>40</v>
      </c>
      <c r="K3835" s="0" t="str">
        <f aca="false">"12.30 %"</f>
        <v>12.30 %</v>
      </c>
      <c r="L3835" s="0" t="str">
        <f aca="false">"0.97 V"</f>
        <v>0.97 V</v>
      </c>
      <c r="M3835" s="0" t="str">
        <f aca="false">"18.08 mA cm^{-2}"</f>
        <v>18.08 mA cm^{-2}</v>
      </c>
      <c r="N3835" s="0" t="str">
        <f aca="false">"72.38 %"</f>
        <v>72.38 %</v>
      </c>
      <c r="O3835" s="0" t="s">
        <v>12691</v>
      </c>
    </row>
    <row r="3836" customFormat="false" ht="13.8" hidden="false" customHeight="false" outlineLevel="0" collapsed="false">
      <c r="A3836" s="0" t="s">
        <v>12692</v>
      </c>
      <c r="D3836" s="0" t="s">
        <v>1116</v>
      </c>
      <c r="E3836" s="0" t="s">
        <v>1117</v>
      </c>
      <c r="F3836" s="0" t="s">
        <v>1118</v>
      </c>
      <c r="G3836" s="0" t="n">
        <v>0</v>
      </c>
      <c r="J3836" s="0" t="s">
        <v>40</v>
      </c>
      <c r="K3836" s="0" t="str">
        <f aca="false">"15.01 %"</f>
        <v>15.01 %</v>
      </c>
      <c r="M3836" s="0" t="str">
        <f aca="false">"20.39 mA cm^{-2}"</f>
        <v>20.39 mA cm^{-2}</v>
      </c>
      <c r="N3836" s="0" t="str">
        <f aca="false">"62.55 %"</f>
        <v>62.55 %</v>
      </c>
      <c r="O3836" s="0" t="s">
        <v>12693</v>
      </c>
    </row>
    <row r="3837" customFormat="false" ht="13.8" hidden="false" customHeight="false" outlineLevel="0" collapsed="false">
      <c r="A3837" s="0" t="s">
        <v>12694</v>
      </c>
      <c r="D3837" s="0" t="s">
        <v>12695</v>
      </c>
      <c r="F3837" s="0" t="s">
        <v>12696</v>
      </c>
      <c r="G3837" s="0" t="n">
        <v>0</v>
      </c>
      <c r="J3837" s="0" t="s">
        <v>40</v>
      </c>
      <c r="K3837" s="0" t="str">
        <f aca="false">"2.15 %"</f>
        <v>2.15 %</v>
      </c>
      <c r="O3837" s="0" t="s">
        <v>12697</v>
      </c>
    </row>
    <row r="3838" customFormat="false" ht="13.8" hidden="false" customHeight="false" outlineLevel="0" collapsed="false">
      <c r="A3838" s="0" t="s">
        <v>12698</v>
      </c>
      <c r="D3838" s="0" t="s">
        <v>12699</v>
      </c>
      <c r="F3838" s="0" t="s">
        <v>12700</v>
      </c>
      <c r="G3838" s="0" t="n">
        <v>0</v>
      </c>
      <c r="J3838" s="0" t="s">
        <v>40</v>
      </c>
      <c r="K3838" s="0" t="str">
        <f aca="false">"8.16 %"</f>
        <v>8.16 %</v>
      </c>
      <c r="L3838" s="0" t="str">
        <f aca="false">"1 V"</f>
        <v>1 V</v>
      </c>
      <c r="O3838" s="0" t="s">
        <v>12701</v>
      </c>
    </row>
    <row r="3839" customFormat="false" ht="13.8" hidden="false" customHeight="false" outlineLevel="0" collapsed="false">
      <c r="A3839" s="0" t="s">
        <v>12702</v>
      </c>
      <c r="D3839" s="0" t="s">
        <v>12703</v>
      </c>
      <c r="F3839" s="0" t="s">
        <v>12704</v>
      </c>
      <c r="G3839" s="0" t="n">
        <v>0</v>
      </c>
      <c r="J3839" s="0" t="s">
        <v>40</v>
      </c>
      <c r="K3839" s="0" t="str">
        <f aca="false">"7.4 %"</f>
        <v>7.4 %</v>
      </c>
      <c r="L3839" s="0" t="str">
        <f aca="false">"0.95 V"</f>
        <v>0.95 V</v>
      </c>
      <c r="O3839" s="0" t="s">
        <v>12705</v>
      </c>
    </row>
    <row r="3840" customFormat="false" ht="13.8" hidden="false" customHeight="false" outlineLevel="0" collapsed="false">
      <c r="A3840" s="0" t="s">
        <v>12706</v>
      </c>
      <c r="D3840" s="0" t="s">
        <v>12707</v>
      </c>
      <c r="F3840" s="0" t="s">
        <v>12708</v>
      </c>
      <c r="G3840" s="0" t="n">
        <v>0</v>
      </c>
      <c r="J3840" s="0" t="s">
        <v>40</v>
      </c>
      <c r="K3840" s="0" t="str">
        <f aca="false">"10.40 %"</f>
        <v>10.40 %</v>
      </c>
      <c r="O3840" s="0" t="s">
        <v>12709</v>
      </c>
    </row>
    <row r="3841" customFormat="false" ht="13.8" hidden="false" customHeight="false" outlineLevel="0" collapsed="false">
      <c r="A3841" s="0" t="s">
        <v>12710</v>
      </c>
      <c r="F3841" s="0" t="s">
        <v>40</v>
      </c>
      <c r="G3841" s="0" t="n">
        <v>0</v>
      </c>
      <c r="H3841" s="0" t="s">
        <v>12711</v>
      </c>
      <c r="J3841" s="0" t="s">
        <v>12712</v>
      </c>
      <c r="K3841" s="0" t="str">
        <f aca="false">"9.5 %"</f>
        <v>9.5 %</v>
      </c>
      <c r="O3841" s="0" t="s">
        <v>12713</v>
      </c>
    </row>
    <row r="3842" customFormat="false" ht="13.8" hidden="false" customHeight="false" outlineLevel="0" collapsed="false">
      <c r="A3842" s="0" t="s">
        <v>12714</v>
      </c>
      <c r="D3842" s="0" t="s">
        <v>12715</v>
      </c>
      <c r="F3842" s="0" t="s">
        <v>40</v>
      </c>
      <c r="G3842" s="0" t="n">
        <v>0</v>
      </c>
      <c r="J3842" s="0" t="s">
        <v>40</v>
      </c>
      <c r="K3842" s="0" t="str">
        <f aca="false">"4.25 %"</f>
        <v>4.25 %</v>
      </c>
      <c r="O3842" s="0" t="s">
        <v>12716</v>
      </c>
    </row>
    <row r="3843" customFormat="false" ht="13.8" hidden="false" customHeight="false" outlineLevel="0" collapsed="false">
      <c r="A3843" s="0" t="s">
        <v>12717</v>
      </c>
      <c r="D3843" s="0" t="s">
        <v>12718</v>
      </c>
      <c r="F3843" s="0" t="s">
        <v>12719</v>
      </c>
      <c r="G3843" s="0" t="n">
        <v>0</v>
      </c>
      <c r="J3843" s="0" t="s">
        <v>40</v>
      </c>
      <c r="K3843" s="0" t="str">
        <f aca="false">"8.23 %"</f>
        <v>8.23 %</v>
      </c>
      <c r="O3843" s="0" t="s">
        <v>12720</v>
      </c>
    </row>
    <row r="3844" customFormat="false" ht="13.8" hidden="false" customHeight="false" outlineLevel="0" collapsed="false">
      <c r="A3844" s="0" t="s">
        <v>12721</v>
      </c>
      <c r="D3844" s="0" t="s">
        <v>5782</v>
      </c>
      <c r="E3844" s="0" t="s">
        <v>1169</v>
      </c>
      <c r="F3844" s="0" t="s">
        <v>5783</v>
      </c>
      <c r="G3844" s="0" t="n">
        <v>0</v>
      </c>
      <c r="J3844" s="0" t="s">
        <v>40</v>
      </c>
      <c r="K3844" s="0" t="str">
        <f aca="false">"0.4 %"</f>
        <v>0.4 %</v>
      </c>
      <c r="N3844" s="0" t="str">
        <f aca="false">"43 %"</f>
        <v>43 %</v>
      </c>
      <c r="O3844" s="0" t="s">
        <v>12722</v>
      </c>
    </row>
    <row r="3845" customFormat="false" ht="13.8" hidden="false" customHeight="false" outlineLevel="0" collapsed="false">
      <c r="A3845" s="0" t="s">
        <v>12723</v>
      </c>
      <c r="D3845" s="0" t="s">
        <v>1116</v>
      </c>
      <c r="E3845" s="0" t="s">
        <v>1117</v>
      </c>
      <c r="F3845" s="0" t="s">
        <v>12724</v>
      </c>
      <c r="G3845" s="0" t="n">
        <v>0</v>
      </c>
      <c r="J3845" s="0" t="s">
        <v>40</v>
      </c>
      <c r="K3845" s="0" t="str">
        <f aca="false">"~6 %"</f>
        <v>~6 %</v>
      </c>
      <c r="O3845" s="0" t="s">
        <v>12725</v>
      </c>
    </row>
    <row r="3846" customFormat="false" ht="13.8" hidden="false" customHeight="false" outlineLevel="0" collapsed="false">
      <c r="A3846" s="0" t="s">
        <v>12726</v>
      </c>
      <c r="D3846" s="0" t="s">
        <v>201</v>
      </c>
      <c r="E3846" s="0" t="s">
        <v>202</v>
      </c>
      <c r="F3846" s="0" t="s">
        <v>422</v>
      </c>
      <c r="G3846" s="0" t="n">
        <v>0</v>
      </c>
      <c r="J3846" s="0" t="s">
        <v>40</v>
      </c>
      <c r="K3846" s="0" t="str">
        <f aca="false">"11.0 %"</f>
        <v>11.0 %</v>
      </c>
      <c r="O3846" s="0" t="s">
        <v>12727</v>
      </c>
    </row>
    <row r="3847" customFormat="false" ht="13.8" hidden="false" customHeight="false" outlineLevel="0" collapsed="false">
      <c r="A3847" s="0" t="s">
        <v>12728</v>
      </c>
      <c r="D3847" s="0" t="s">
        <v>12729</v>
      </c>
      <c r="F3847" s="0" t="s">
        <v>40</v>
      </c>
      <c r="G3847" s="0" t="n">
        <v>0</v>
      </c>
      <c r="J3847" s="0" t="s">
        <v>40</v>
      </c>
      <c r="K3847" s="0" t="str">
        <f aca="false">"10.73 %"</f>
        <v>10.73 %</v>
      </c>
      <c r="O3847" s="0" t="s">
        <v>12730</v>
      </c>
    </row>
    <row r="3848" customFormat="false" ht="13.8" hidden="false" customHeight="false" outlineLevel="0" collapsed="false">
      <c r="A3848" s="0" t="s">
        <v>12731</v>
      </c>
      <c r="D3848" s="0" t="s">
        <v>9426</v>
      </c>
      <c r="F3848" s="0" t="s">
        <v>12548</v>
      </c>
      <c r="G3848" s="0" t="n">
        <v>0</v>
      </c>
      <c r="J3848" s="0" t="s">
        <v>40</v>
      </c>
      <c r="K3848" s="0" t="str">
        <f aca="false">"10.8 %"</f>
        <v>10.8 %</v>
      </c>
      <c r="O3848" s="0" t="s">
        <v>12732</v>
      </c>
    </row>
    <row r="3849" customFormat="false" ht="13.8" hidden="false" customHeight="false" outlineLevel="0" collapsed="false">
      <c r="A3849" s="0" t="s">
        <v>12733</v>
      </c>
      <c r="D3849" s="0" t="s">
        <v>5289</v>
      </c>
      <c r="E3849" s="0" t="s">
        <v>1169</v>
      </c>
      <c r="F3849" s="0" t="s">
        <v>5290</v>
      </c>
      <c r="G3849" s="0" t="n">
        <v>0</v>
      </c>
      <c r="J3849" s="0" t="s">
        <v>40</v>
      </c>
      <c r="K3849" s="0" t="str">
        <f aca="false">"15.02 %"</f>
        <v>15.02 %</v>
      </c>
      <c r="O3849" s="0" t="s">
        <v>12734</v>
      </c>
    </row>
    <row r="3850" customFormat="false" ht="13.8" hidden="false" customHeight="false" outlineLevel="0" collapsed="false">
      <c r="A3850" s="0" t="s">
        <v>12735</v>
      </c>
      <c r="D3850" s="0" t="s">
        <v>12736</v>
      </c>
      <c r="F3850" s="0" t="s">
        <v>12737</v>
      </c>
      <c r="G3850" s="0" t="n">
        <v>0</v>
      </c>
      <c r="J3850" s="0" t="s">
        <v>40</v>
      </c>
      <c r="K3850" s="0" t="str">
        <f aca="false">"9.4 %"</f>
        <v>9.4 %</v>
      </c>
      <c r="O3850" s="0" t="s">
        <v>12738</v>
      </c>
    </row>
    <row r="3851" customFormat="false" ht="13.8" hidden="false" customHeight="false" outlineLevel="0" collapsed="false">
      <c r="A3851" s="0" t="s">
        <v>12739</v>
      </c>
      <c r="D3851" s="0" t="s">
        <v>1116</v>
      </c>
      <c r="E3851" s="0" t="s">
        <v>1117</v>
      </c>
      <c r="F3851" s="0" t="s">
        <v>1118</v>
      </c>
      <c r="G3851" s="0" t="n">
        <v>0</v>
      </c>
      <c r="J3851" s="0" t="s">
        <v>40</v>
      </c>
      <c r="K3851" s="0" t="str">
        <f aca="false">"18.0 %"</f>
        <v>18.0 %</v>
      </c>
      <c r="O3851" s="0" t="s">
        <v>12740</v>
      </c>
    </row>
    <row r="3852" customFormat="false" ht="13.8" hidden="false" customHeight="false" outlineLevel="0" collapsed="false">
      <c r="A3852" s="0" t="s">
        <v>12741</v>
      </c>
      <c r="D3852" s="0" t="s">
        <v>163</v>
      </c>
      <c r="E3852" s="0" t="s">
        <v>164</v>
      </c>
      <c r="F3852" s="0" t="s">
        <v>165</v>
      </c>
      <c r="G3852" s="0" t="n">
        <v>0</v>
      </c>
      <c r="J3852" s="0" t="s">
        <v>40</v>
      </c>
      <c r="K3852" s="0" t="str">
        <f aca="false">"18 %"</f>
        <v>18 %</v>
      </c>
      <c r="O3852" s="0" t="s">
        <v>12742</v>
      </c>
    </row>
    <row r="3853" customFormat="false" ht="13.8" hidden="false" customHeight="false" outlineLevel="0" collapsed="false">
      <c r="A3853" s="0" t="s">
        <v>12743</v>
      </c>
      <c r="F3853" s="0" t="s">
        <v>40</v>
      </c>
      <c r="G3853" s="0" t="n">
        <v>0</v>
      </c>
      <c r="H3853" s="0" t="s">
        <v>12744</v>
      </c>
      <c r="J3853" s="0" t="s">
        <v>12745</v>
      </c>
      <c r="K3853" s="0" t="str">
        <f aca="false">"14.34 %"</f>
        <v>14.34 %</v>
      </c>
      <c r="O3853" s="0" t="s">
        <v>12746</v>
      </c>
    </row>
    <row r="3854" customFormat="false" ht="13.8" hidden="false" customHeight="false" outlineLevel="0" collapsed="false">
      <c r="A3854" s="0" t="s">
        <v>12743</v>
      </c>
      <c r="D3854" s="0" t="s">
        <v>1116</v>
      </c>
      <c r="E3854" s="0" t="s">
        <v>1117</v>
      </c>
      <c r="F3854" s="0" t="s">
        <v>1118</v>
      </c>
      <c r="G3854" s="0" t="n">
        <v>0</v>
      </c>
      <c r="H3854" s="0" t="s">
        <v>12744</v>
      </c>
      <c r="J3854" s="0" t="s">
        <v>12745</v>
      </c>
      <c r="L3854" s="0" t="str">
        <f aca="false">"0.95 V"</f>
        <v>0.95 V</v>
      </c>
      <c r="O3854" s="0" t="s">
        <v>12747</v>
      </c>
    </row>
    <row r="3855" customFormat="false" ht="13.8" hidden="false" customHeight="false" outlineLevel="0" collapsed="false">
      <c r="A3855" s="0" t="s">
        <v>12748</v>
      </c>
      <c r="D3855" s="0" t="s">
        <v>201</v>
      </c>
      <c r="E3855" s="0" t="s">
        <v>202</v>
      </c>
      <c r="F3855" s="0" t="s">
        <v>422</v>
      </c>
      <c r="G3855" s="0" t="n">
        <v>0</v>
      </c>
      <c r="J3855" s="0" t="s">
        <v>40</v>
      </c>
      <c r="K3855" s="0" t="str">
        <f aca="false">"10.1 %"</f>
        <v>10.1 %</v>
      </c>
      <c r="O3855" s="0" t="s">
        <v>12749</v>
      </c>
    </row>
    <row r="3856" customFormat="false" ht="13.8" hidden="false" customHeight="false" outlineLevel="0" collapsed="false">
      <c r="A3856" s="0" t="s">
        <v>12750</v>
      </c>
      <c r="D3856" s="0" t="s">
        <v>12751</v>
      </c>
      <c r="F3856" s="0" t="s">
        <v>12752</v>
      </c>
      <c r="G3856" s="0" t="n">
        <v>0</v>
      </c>
      <c r="J3856" s="0" t="s">
        <v>40</v>
      </c>
      <c r="K3856" s="0" t="str">
        <f aca="false">"10.15 %"</f>
        <v>10.15 %</v>
      </c>
      <c r="O3856" s="0" t="s">
        <v>12753</v>
      </c>
    </row>
    <row r="3857" customFormat="false" ht="13.8" hidden="false" customHeight="false" outlineLevel="0" collapsed="false">
      <c r="A3857" s="0" t="s">
        <v>12750</v>
      </c>
      <c r="D3857" s="0" t="s">
        <v>599</v>
      </c>
      <c r="E3857" s="0" t="s">
        <v>600</v>
      </c>
      <c r="F3857" s="0" t="s">
        <v>601</v>
      </c>
      <c r="G3857" s="0" t="n">
        <v>0</v>
      </c>
      <c r="H3857" s="0" t="s">
        <v>12751</v>
      </c>
      <c r="J3857" s="0" t="s">
        <v>12752</v>
      </c>
      <c r="K3857" s="0" t="str">
        <f aca="false">"12.04 %"</f>
        <v>12.04 %</v>
      </c>
      <c r="O3857" s="0" t="s">
        <v>12754</v>
      </c>
    </row>
    <row r="3858" customFormat="false" ht="13.8" hidden="false" customHeight="false" outlineLevel="0" collapsed="false">
      <c r="A3858" s="0" t="s">
        <v>12755</v>
      </c>
      <c r="D3858" s="0" t="s">
        <v>12756</v>
      </c>
      <c r="F3858" s="0" t="s">
        <v>40</v>
      </c>
      <c r="G3858" s="0" t="n">
        <v>0</v>
      </c>
      <c r="J3858" s="0" t="s">
        <v>40</v>
      </c>
      <c r="K3858" s="0" t="str">
        <f aca="false">"15.45 %"</f>
        <v>15.45 %</v>
      </c>
      <c r="O3858" s="0" t="s">
        <v>12757</v>
      </c>
    </row>
    <row r="3859" customFormat="false" ht="13.8" hidden="false" customHeight="false" outlineLevel="0" collapsed="false">
      <c r="A3859" s="0" t="s">
        <v>12758</v>
      </c>
      <c r="D3859" s="0" t="s">
        <v>599</v>
      </c>
      <c r="E3859" s="0" t="s">
        <v>600</v>
      </c>
      <c r="F3859" s="0" t="s">
        <v>601</v>
      </c>
      <c r="G3859" s="0" t="n">
        <v>0</v>
      </c>
      <c r="J3859" s="0" t="s">
        <v>40</v>
      </c>
      <c r="K3859" s="0" t="str">
        <f aca="false">"8.64 %"</f>
        <v>8.64 %</v>
      </c>
      <c r="M3859" s="0" t="str">
        <f aca="false">"15 mA cm^{-2}"</f>
        <v>15 mA cm^{-2}</v>
      </c>
      <c r="O3859" s="0" t="s">
        <v>12759</v>
      </c>
    </row>
    <row r="3860" customFormat="false" ht="13.8" hidden="false" customHeight="false" outlineLevel="0" collapsed="false">
      <c r="A3860" s="0" t="s">
        <v>12760</v>
      </c>
      <c r="D3860" s="0" t="s">
        <v>1924</v>
      </c>
      <c r="E3860" s="0" t="s">
        <v>1925</v>
      </c>
      <c r="F3860" s="0" t="s">
        <v>1926</v>
      </c>
      <c r="G3860" s="0" t="n">
        <v>0</v>
      </c>
      <c r="J3860" s="0" t="s">
        <v>40</v>
      </c>
      <c r="N3860" s="0" t="str">
        <f aca="false">"80.79 %"</f>
        <v>80.79 %</v>
      </c>
      <c r="O3860" s="0" t="s">
        <v>12761</v>
      </c>
    </row>
    <row r="3861" customFormat="false" ht="13.8" hidden="false" customHeight="false" outlineLevel="0" collapsed="false">
      <c r="A3861" s="0" t="s">
        <v>12762</v>
      </c>
      <c r="D3861" s="0" t="s">
        <v>201</v>
      </c>
      <c r="E3861" s="0" t="s">
        <v>202</v>
      </c>
      <c r="F3861" s="0" t="s">
        <v>422</v>
      </c>
      <c r="G3861" s="0" t="n">
        <v>0</v>
      </c>
      <c r="J3861" s="0" t="s">
        <v>40</v>
      </c>
      <c r="K3861" s="0" t="str">
        <f aca="false">"9.77 %"</f>
        <v>9.77 %</v>
      </c>
      <c r="O3861" s="0" t="s">
        <v>12763</v>
      </c>
    </row>
    <row r="3862" customFormat="false" ht="13.8" hidden="false" customHeight="false" outlineLevel="0" collapsed="false">
      <c r="A3862" s="0" t="s">
        <v>12764</v>
      </c>
      <c r="D3862" s="0" t="s">
        <v>12765</v>
      </c>
      <c r="F3862" s="0" t="s">
        <v>12766</v>
      </c>
      <c r="G3862" s="0" t="n">
        <v>0</v>
      </c>
      <c r="J3862" s="0" t="s">
        <v>40</v>
      </c>
      <c r="K3862" s="0" t="str">
        <f aca="false">"15.3 %"</f>
        <v>15.3 %</v>
      </c>
      <c r="M3862" s="0" t="str">
        <f aca="false">"24.58 mA cm^{-2}"</f>
        <v>24.58 mA cm^{-2}</v>
      </c>
      <c r="N3862" s="0" t="str">
        <f aca="false">"75.36 %"</f>
        <v>75.36 %</v>
      </c>
      <c r="O3862" s="0" t="s">
        <v>12767</v>
      </c>
    </row>
    <row r="3863" customFormat="false" ht="13.8" hidden="false" customHeight="false" outlineLevel="0" collapsed="false">
      <c r="A3863" s="0" t="s">
        <v>12768</v>
      </c>
      <c r="F3863" s="0" t="s">
        <v>40</v>
      </c>
      <c r="G3863" s="0" t="n">
        <v>0</v>
      </c>
      <c r="H3863" s="0" t="s">
        <v>12769</v>
      </c>
      <c r="J3863" s="0" t="s">
        <v>12770</v>
      </c>
      <c r="K3863" s="0" t="str">
        <f aca="false">"16.1 %"</f>
        <v>16.1 %</v>
      </c>
      <c r="O3863" s="0" t="s">
        <v>12771</v>
      </c>
    </row>
    <row r="3864" customFormat="false" ht="13.8" hidden="false" customHeight="false" outlineLevel="0" collapsed="false">
      <c r="A3864" s="0" t="s">
        <v>12772</v>
      </c>
      <c r="D3864" s="0" t="s">
        <v>12773</v>
      </c>
      <c r="F3864" s="0" t="s">
        <v>12774</v>
      </c>
      <c r="G3864" s="0" t="n">
        <v>0</v>
      </c>
      <c r="J3864" s="0" t="s">
        <v>40</v>
      </c>
      <c r="K3864" s="0" t="str">
        <f aca="false">"15.1 %"</f>
        <v>15.1 %</v>
      </c>
      <c r="M3864" s="0" t="str">
        <f aca="false">"23.6 mA cm^{-2}"</f>
        <v>23.6 mA cm^{-2}</v>
      </c>
      <c r="N3864" s="0" t="str">
        <f aca="false">"0.737"</f>
        <v>0.737</v>
      </c>
      <c r="O3864" s="0" t="s">
        <v>12775</v>
      </c>
    </row>
    <row r="3865" customFormat="false" ht="13.8" hidden="false" customHeight="false" outlineLevel="0" collapsed="false">
      <c r="A3865" s="0" t="s">
        <v>12772</v>
      </c>
      <c r="D3865" s="0" t="s">
        <v>12776</v>
      </c>
      <c r="F3865" s="0" t="s">
        <v>12777</v>
      </c>
      <c r="G3865" s="0" t="n">
        <v>0</v>
      </c>
      <c r="J3865" s="0" t="s">
        <v>40</v>
      </c>
      <c r="K3865" s="0" t="str">
        <f aca="false">"13.0 %"</f>
        <v>13.0 %</v>
      </c>
      <c r="O3865" s="0" t="s">
        <v>12778</v>
      </c>
    </row>
    <row r="3866" customFormat="false" ht="13.8" hidden="false" customHeight="false" outlineLevel="0" collapsed="false">
      <c r="A3866" s="0" t="s">
        <v>12779</v>
      </c>
      <c r="D3866" s="0" t="s">
        <v>12780</v>
      </c>
      <c r="F3866" s="0" t="s">
        <v>12781</v>
      </c>
      <c r="G3866" s="0" t="n">
        <v>0</v>
      </c>
      <c r="J3866" s="0" t="s">
        <v>40</v>
      </c>
      <c r="K3866" s="0" t="str">
        <f aca="false">"17.51 %"</f>
        <v>17.51 %</v>
      </c>
      <c r="O3866" s="0" t="s">
        <v>12782</v>
      </c>
    </row>
    <row r="3867" customFormat="false" ht="13.8" hidden="false" customHeight="false" outlineLevel="0" collapsed="false">
      <c r="A3867" s="0" t="s">
        <v>12783</v>
      </c>
      <c r="D3867" s="0" t="s">
        <v>1924</v>
      </c>
      <c r="E3867" s="0" t="s">
        <v>1925</v>
      </c>
      <c r="F3867" s="0" t="s">
        <v>1926</v>
      </c>
      <c r="G3867" s="0" t="n">
        <v>0</v>
      </c>
      <c r="J3867" s="0" t="s">
        <v>40</v>
      </c>
      <c r="K3867" s="0" t="str">
        <f aca="false">"18.02 %"</f>
        <v>18.02 %</v>
      </c>
      <c r="O3867" s="0" t="s">
        <v>12784</v>
      </c>
    </row>
    <row r="3868" customFormat="false" ht="13.8" hidden="false" customHeight="false" outlineLevel="0" collapsed="false">
      <c r="A3868" s="0" t="s">
        <v>12785</v>
      </c>
      <c r="F3868" s="0" t="s">
        <v>40</v>
      </c>
      <c r="G3868" s="0" t="n">
        <v>0</v>
      </c>
      <c r="H3868" s="0" t="s">
        <v>12786</v>
      </c>
      <c r="I3868" s="0" t="s">
        <v>12787</v>
      </c>
      <c r="J3868" s="0" t="s">
        <v>12788</v>
      </c>
      <c r="K3868" s="0" t="str">
        <f aca="false">"9.38"</f>
        <v>9.38</v>
      </c>
      <c r="O3868" s="0" t="s">
        <v>12789</v>
      </c>
    </row>
    <row r="3869" customFormat="false" ht="13.8" hidden="false" customHeight="false" outlineLevel="0" collapsed="false">
      <c r="A3869" s="0" t="s">
        <v>12785</v>
      </c>
      <c r="F3869" s="0" t="s">
        <v>40</v>
      </c>
      <c r="G3869" s="0" t="n">
        <v>0</v>
      </c>
      <c r="H3869" s="0" t="s">
        <v>12790</v>
      </c>
      <c r="J3869" s="0" t="s">
        <v>12791</v>
      </c>
      <c r="K3869" s="0" t="str">
        <f aca="false">"10.11 %"</f>
        <v>10.11 %</v>
      </c>
      <c r="O3869" s="0" t="s">
        <v>12792</v>
      </c>
    </row>
    <row r="3870" customFormat="false" ht="13.8" hidden="false" customHeight="false" outlineLevel="0" collapsed="false">
      <c r="A3870" s="0" t="s">
        <v>12793</v>
      </c>
      <c r="D3870" s="0" t="s">
        <v>599</v>
      </c>
      <c r="E3870" s="0" t="s">
        <v>600</v>
      </c>
      <c r="F3870" s="0" t="s">
        <v>12794</v>
      </c>
      <c r="G3870" s="0" t="n">
        <v>0</v>
      </c>
      <c r="J3870" s="0" t="s">
        <v>40</v>
      </c>
      <c r="K3870" s="0" t="str">
        <f aca="false">"12.4 %"</f>
        <v>12.4 %</v>
      </c>
      <c r="M3870" s="0" t="str">
        <f aca="false">"22.1 mA cm^{-2}"</f>
        <v>22.1 mA cm^{-2}</v>
      </c>
      <c r="O3870" s="0" t="s">
        <v>12795</v>
      </c>
    </row>
    <row r="3871" customFormat="false" ht="13.8" hidden="false" customHeight="false" outlineLevel="0" collapsed="false">
      <c r="A3871" s="0" t="s">
        <v>12796</v>
      </c>
      <c r="D3871" s="0" t="s">
        <v>9732</v>
      </c>
      <c r="F3871" s="0" t="s">
        <v>7902</v>
      </c>
      <c r="G3871" s="0" t="n">
        <v>0</v>
      </c>
      <c r="J3871" s="0" t="s">
        <v>40</v>
      </c>
      <c r="K3871" s="0" t="str">
        <f aca="false">"17.38 %"</f>
        <v>17.38 %</v>
      </c>
      <c r="L3871" s="0" t="str">
        <f aca="false">"0.93 V"</f>
        <v>0.93 V</v>
      </c>
      <c r="O3871" s="0" t="s">
        <v>12797</v>
      </c>
    </row>
    <row r="3872" customFormat="false" ht="13.8" hidden="false" customHeight="false" outlineLevel="0" collapsed="false">
      <c r="A3872" s="0" t="s">
        <v>12798</v>
      </c>
      <c r="D3872" s="0" t="s">
        <v>12799</v>
      </c>
      <c r="F3872" s="0" t="s">
        <v>12800</v>
      </c>
      <c r="G3872" s="0" t="n">
        <v>0</v>
      </c>
      <c r="J3872" s="0" t="s">
        <v>40</v>
      </c>
      <c r="K3872" s="0" t="str">
        <f aca="false">"&gt; 18 %"</f>
        <v>&gt; 18 %</v>
      </c>
      <c r="O3872" s="0" t="s">
        <v>12801</v>
      </c>
    </row>
    <row r="3873" customFormat="false" ht="13.8" hidden="false" customHeight="false" outlineLevel="0" collapsed="false">
      <c r="A3873" s="0" t="s">
        <v>12802</v>
      </c>
      <c r="D3873" s="0" t="s">
        <v>1924</v>
      </c>
      <c r="E3873" s="0" t="s">
        <v>1925</v>
      </c>
      <c r="F3873" s="0" t="s">
        <v>1926</v>
      </c>
      <c r="G3873" s="0" t="n">
        <v>0</v>
      </c>
      <c r="J3873" s="0" t="s">
        <v>40</v>
      </c>
      <c r="K3873" s="0" t="str">
        <f aca="false">"13.62 %"</f>
        <v>13.62 %</v>
      </c>
      <c r="O3873" s="0" t="s">
        <v>12803</v>
      </c>
    </row>
    <row r="3874" customFormat="false" ht="13.8" hidden="false" customHeight="false" outlineLevel="0" collapsed="false">
      <c r="A3874" s="0" t="s">
        <v>12804</v>
      </c>
      <c r="D3874" s="0" t="s">
        <v>10553</v>
      </c>
      <c r="E3874" s="0" t="s">
        <v>1169</v>
      </c>
      <c r="F3874" s="0" t="s">
        <v>10769</v>
      </c>
      <c r="G3874" s="0" t="n">
        <v>0</v>
      </c>
      <c r="J3874" s="0" t="s">
        <v>40</v>
      </c>
      <c r="L3874" s="0" t="str">
        <f aca="false">"0.90 V"</f>
        <v>0.90 V</v>
      </c>
      <c r="O3874" s="0" t="s">
        <v>12805</v>
      </c>
    </row>
    <row r="3875" customFormat="false" ht="13.8" hidden="false" customHeight="false" outlineLevel="0" collapsed="false">
      <c r="A3875" s="0" t="s">
        <v>12804</v>
      </c>
      <c r="D3875" s="0" t="s">
        <v>1924</v>
      </c>
      <c r="E3875" s="0" t="s">
        <v>1925</v>
      </c>
      <c r="F3875" s="0" t="s">
        <v>1926</v>
      </c>
      <c r="G3875" s="0" t="n">
        <v>0</v>
      </c>
      <c r="J3875" s="0" t="s">
        <v>40</v>
      </c>
      <c r="L3875" s="0" t="str">
        <f aca="false">"0.49 V"</f>
        <v>0.49 V</v>
      </c>
      <c r="O3875" s="0" t="s">
        <v>12806</v>
      </c>
    </row>
    <row r="3876" customFormat="false" ht="13.8" hidden="false" customHeight="false" outlineLevel="0" collapsed="false">
      <c r="A3876" s="0" t="s">
        <v>12804</v>
      </c>
      <c r="F3876" s="0" t="s">
        <v>40</v>
      </c>
      <c r="G3876" s="0" t="n">
        <v>0</v>
      </c>
      <c r="J3876" s="0" t="s">
        <v>40</v>
      </c>
      <c r="L3876" s="0" t="str">
        <f aca="false">"0.37 V"</f>
        <v>0.37 V</v>
      </c>
      <c r="O3876" s="0" t="s">
        <v>12807</v>
      </c>
    </row>
    <row r="3877" customFormat="false" ht="13.8" hidden="false" customHeight="false" outlineLevel="0" collapsed="false">
      <c r="A3877" s="0" t="s">
        <v>12804</v>
      </c>
      <c r="D3877" s="0" t="s">
        <v>11534</v>
      </c>
      <c r="E3877" s="0" t="s">
        <v>1169</v>
      </c>
      <c r="F3877" s="0" t="s">
        <v>11535</v>
      </c>
      <c r="G3877" s="0" t="n">
        <v>0</v>
      </c>
      <c r="J3877" s="0" t="s">
        <v>40</v>
      </c>
      <c r="K3877" s="0" t="str">
        <f aca="false">"4.55 %"</f>
        <v>4.55 %</v>
      </c>
      <c r="O3877" s="0" t="s">
        <v>12808</v>
      </c>
    </row>
    <row r="3878" customFormat="false" ht="13.8" hidden="false" customHeight="false" outlineLevel="0" collapsed="false">
      <c r="A3878" s="0" t="s">
        <v>12809</v>
      </c>
      <c r="F3878" s="0" t="s">
        <v>40</v>
      </c>
      <c r="G3878" s="0" t="n">
        <v>0</v>
      </c>
      <c r="H3878" s="0" t="s">
        <v>12810</v>
      </c>
      <c r="J3878" s="0" t="s">
        <v>40</v>
      </c>
      <c r="K3878" s="0" t="str">
        <f aca="false">"6.74 %"</f>
        <v>6.74 %</v>
      </c>
      <c r="M3878" s="0" t="str">
        <f aca="false">"14.90 mA cm^{-2}"</f>
        <v>14.90 mA cm^{-2}</v>
      </c>
      <c r="N3878" s="0" t="str">
        <f aca="false">"74.98 %"</f>
        <v>74.98 %</v>
      </c>
      <c r="O3878" s="0" t="s">
        <v>12811</v>
      </c>
    </row>
    <row r="3879" customFormat="false" ht="13.8" hidden="false" customHeight="false" outlineLevel="0" collapsed="false">
      <c r="A3879" s="0" t="s">
        <v>12812</v>
      </c>
      <c r="D3879" s="0" t="s">
        <v>12813</v>
      </c>
      <c r="F3879" s="0" t="s">
        <v>12814</v>
      </c>
      <c r="G3879" s="0" t="n">
        <v>0</v>
      </c>
      <c r="J3879" s="0" t="s">
        <v>40</v>
      </c>
      <c r="K3879" s="0" t="str">
        <f aca="false">"9.72 %"</f>
        <v>9.72 %</v>
      </c>
      <c r="N3879" s="0" t="str">
        <f aca="false">"63.7 %"</f>
        <v>63.7 %</v>
      </c>
      <c r="O3879" s="0" t="s">
        <v>12815</v>
      </c>
    </row>
    <row r="3880" customFormat="false" ht="13.8" hidden="false" customHeight="false" outlineLevel="0" collapsed="false">
      <c r="A3880" s="0" t="s">
        <v>12816</v>
      </c>
      <c r="D3880" s="0" t="s">
        <v>5160</v>
      </c>
      <c r="F3880" s="0" t="s">
        <v>12817</v>
      </c>
      <c r="G3880" s="0" t="n">
        <v>0</v>
      </c>
      <c r="J3880" s="0" t="s">
        <v>40</v>
      </c>
      <c r="K3880" s="0" t="str">
        <f aca="false">"5.4 %"</f>
        <v>5.4 %</v>
      </c>
      <c r="O3880" s="0" t="s">
        <v>12818</v>
      </c>
    </row>
    <row r="3881" customFormat="false" ht="13.8" hidden="false" customHeight="false" outlineLevel="0" collapsed="false">
      <c r="A3881" s="0" t="s">
        <v>12819</v>
      </c>
      <c r="F3881" s="0" t="s">
        <v>40</v>
      </c>
      <c r="G3881" s="0" t="n">
        <v>0</v>
      </c>
      <c r="H3881" s="0" t="s">
        <v>12820</v>
      </c>
      <c r="J3881" s="0" t="s">
        <v>12821</v>
      </c>
      <c r="K3881" s="0" t="str">
        <f aca="false">"13.6 %"</f>
        <v>13.6 %</v>
      </c>
      <c r="O3881" s="0" t="s">
        <v>12822</v>
      </c>
    </row>
    <row r="3882" customFormat="false" ht="13.8" hidden="false" customHeight="false" outlineLevel="0" collapsed="false">
      <c r="A3882" s="0" t="s">
        <v>12823</v>
      </c>
      <c r="D3882" s="0" t="s">
        <v>3889</v>
      </c>
      <c r="E3882" s="0" t="s">
        <v>2107</v>
      </c>
      <c r="F3882" s="0" t="s">
        <v>3890</v>
      </c>
      <c r="G3882" s="0" t="n">
        <v>0</v>
      </c>
      <c r="J3882" s="0" t="s">
        <v>40</v>
      </c>
      <c r="K3882" s="0" t="str">
        <f aca="false">"11.5 %"</f>
        <v>11.5 %</v>
      </c>
      <c r="O3882" s="0" t="s">
        <v>12824</v>
      </c>
    </row>
    <row r="3883" customFormat="false" ht="13.8" hidden="false" customHeight="false" outlineLevel="0" collapsed="false">
      <c r="A3883" s="0" t="s">
        <v>12825</v>
      </c>
      <c r="D3883" s="0" t="s">
        <v>12826</v>
      </c>
      <c r="F3883" s="0" t="s">
        <v>12827</v>
      </c>
      <c r="G3883" s="0" t="n">
        <v>0</v>
      </c>
      <c r="J3883" s="0" t="s">
        <v>40</v>
      </c>
      <c r="K3883" s="0" t="str">
        <f aca="false">"6.50 %"</f>
        <v>6.50 %</v>
      </c>
      <c r="O3883" s="0" t="s">
        <v>12828</v>
      </c>
    </row>
    <row r="3884" customFormat="false" ht="13.8" hidden="false" customHeight="false" outlineLevel="0" collapsed="false">
      <c r="A3884" s="0" t="s">
        <v>12829</v>
      </c>
      <c r="D3884" s="0" t="s">
        <v>12830</v>
      </c>
      <c r="F3884" s="0" t="s">
        <v>12831</v>
      </c>
      <c r="G3884" s="0" t="n">
        <v>0</v>
      </c>
      <c r="J3884" s="0" t="s">
        <v>40</v>
      </c>
      <c r="K3884" s="0" t="str">
        <f aca="false">"13.06 %"</f>
        <v>13.06 %</v>
      </c>
      <c r="O3884" s="0" t="s">
        <v>12832</v>
      </c>
    </row>
    <row r="3885" customFormat="false" ht="13.8" hidden="false" customHeight="false" outlineLevel="0" collapsed="false">
      <c r="A3885" s="0" t="s">
        <v>12833</v>
      </c>
      <c r="D3885" s="0" t="s">
        <v>12834</v>
      </c>
      <c r="F3885" s="0" t="s">
        <v>12835</v>
      </c>
      <c r="G3885" s="0" t="n">
        <v>0</v>
      </c>
      <c r="J3885" s="0" t="s">
        <v>40</v>
      </c>
      <c r="K3885" s="0" t="str">
        <f aca="false">"14.83 %"</f>
        <v>14.83 %</v>
      </c>
      <c r="L3885" s="0" t="str">
        <f aca="false">"0.90 V"</f>
        <v>0.90 V</v>
      </c>
      <c r="M3885" s="0" t="str">
        <f aca="false">"23.21 mA cm^{-2}"</f>
        <v>23.21 mA cm^{-2}</v>
      </c>
      <c r="N3885" s="0" t="str">
        <f aca="false">"0.71"</f>
        <v>0.71</v>
      </c>
      <c r="O3885" s="0" t="s">
        <v>12836</v>
      </c>
    </row>
    <row r="3886" customFormat="false" ht="13.8" hidden="false" customHeight="false" outlineLevel="0" collapsed="false">
      <c r="A3886" s="0" t="s">
        <v>12837</v>
      </c>
      <c r="D3886" s="0" t="s">
        <v>12838</v>
      </c>
      <c r="F3886" s="0" t="s">
        <v>12839</v>
      </c>
      <c r="G3886" s="0" t="n">
        <v>0</v>
      </c>
      <c r="J3886" s="0" t="s">
        <v>40</v>
      </c>
      <c r="K3886" s="0" t="str">
        <f aca="false">"4.275 to 7.125 %"</f>
        <v>4.275 to 7.125 %</v>
      </c>
      <c r="N3886" s="0" t="str">
        <f aca="false">"18.59 to 51.82 %"</f>
        <v>18.59 to 51.82 %</v>
      </c>
      <c r="O3886" s="0" t="s">
        <v>12840</v>
      </c>
    </row>
    <row r="3887" customFormat="false" ht="13.8" hidden="false" customHeight="false" outlineLevel="0" collapsed="false">
      <c r="A3887" s="0" t="s">
        <v>12841</v>
      </c>
      <c r="D3887" s="0" t="s">
        <v>1116</v>
      </c>
      <c r="E3887" s="0" t="s">
        <v>1117</v>
      </c>
      <c r="F3887" s="0" t="s">
        <v>1118</v>
      </c>
      <c r="G3887" s="0" t="n">
        <v>0</v>
      </c>
      <c r="J3887" s="0" t="s">
        <v>40</v>
      </c>
      <c r="K3887" s="0" t="str">
        <f aca="false">"15.74 %"</f>
        <v>15.74 %</v>
      </c>
      <c r="O3887" s="0" t="s">
        <v>12842</v>
      </c>
    </row>
    <row r="3888" customFormat="false" ht="13.8" hidden="false" customHeight="false" outlineLevel="0" collapsed="false">
      <c r="A3888" s="0" t="s">
        <v>12843</v>
      </c>
      <c r="D3888" s="0" t="s">
        <v>12844</v>
      </c>
      <c r="F3888" s="0" t="s">
        <v>12845</v>
      </c>
      <c r="G3888" s="0" t="n">
        <v>0</v>
      </c>
      <c r="J3888" s="0" t="s">
        <v>40</v>
      </c>
      <c r="K3888" s="0" t="str">
        <f aca="false">"12.0 %"</f>
        <v>12.0 %</v>
      </c>
      <c r="M3888" s="0" t="str">
        <f aca="false">"~26.8 mA cm^{-2}"</f>
        <v>~26.8 mA cm^{-2}</v>
      </c>
      <c r="O3888" s="0" t="s">
        <v>12846</v>
      </c>
    </row>
    <row r="3889" customFormat="false" ht="13.8" hidden="false" customHeight="false" outlineLevel="0" collapsed="false">
      <c r="A3889" s="0" t="s">
        <v>12847</v>
      </c>
      <c r="D3889" s="0" t="s">
        <v>6984</v>
      </c>
      <c r="E3889" s="0" t="s">
        <v>925</v>
      </c>
      <c r="F3889" s="0" t="s">
        <v>12266</v>
      </c>
      <c r="G3889" s="0" t="n">
        <v>0</v>
      </c>
      <c r="J3889" s="0" t="s">
        <v>40</v>
      </c>
      <c r="K3889" s="0" t="str">
        <f aca="false">"6.85 %"</f>
        <v>6.85 %</v>
      </c>
      <c r="O3889" s="0" t="s">
        <v>12848</v>
      </c>
    </row>
    <row r="3890" customFormat="false" ht="13.8" hidden="false" customHeight="false" outlineLevel="0" collapsed="false">
      <c r="A3890" s="0" t="s">
        <v>12849</v>
      </c>
      <c r="D3890" s="0" t="s">
        <v>1924</v>
      </c>
      <c r="E3890" s="0" t="s">
        <v>1925</v>
      </c>
      <c r="F3890" s="0" t="s">
        <v>1926</v>
      </c>
      <c r="G3890" s="0" t="n">
        <v>0</v>
      </c>
      <c r="J3890" s="0" t="s">
        <v>40</v>
      </c>
      <c r="K3890" s="0" t="str">
        <f aca="false">"15.93 %"</f>
        <v>15.93 %</v>
      </c>
      <c r="O3890" s="0" t="s">
        <v>12850</v>
      </c>
    </row>
    <row r="3891" customFormat="false" ht="13.8" hidden="false" customHeight="false" outlineLevel="0" collapsed="false">
      <c r="A3891" s="0" t="s">
        <v>12851</v>
      </c>
      <c r="F3891" s="0" t="s">
        <v>40</v>
      </c>
      <c r="G3891" s="0" t="n">
        <v>0</v>
      </c>
      <c r="J3891" s="0" t="s">
        <v>40</v>
      </c>
      <c r="K3891" s="0" t="str">
        <f aca="false">"10 %"</f>
        <v>10 %</v>
      </c>
      <c r="O3891" s="0" t="s">
        <v>12852</v>
      </c>
    </row>
    <row r="3892" customFormat="false" ht="13.8" hidden="false" customHeight="false" outlineLevel="0" collapsed="false">
      <c r="A3892" s="0" t="s">
        <v>12853</v>
      </c>
      <c r="F3892" s="0" t="s">
        <v>40</v>
      </c>
      <c r="G3892" s="0" t="n">
        <v>0</v>
      </c>
      <c r="J3892" s="0" t="s">
        <v>40</v>
      </c>
      <c r="K3892" s="0" t="str">
        <f aca="false">"2.66 %"</f>
        <v>2.66 %</v>
      </c>
      <c r="L3892" s="0" t="str">
        <f aca="false">"1.01 V"</f>
        <v>1.01 V</v>
      </c>
      <c r="M3892" s="0" t="str">
        <f aca="false">"6.71 mA/cm^{2}"</f>
        <v>6.71 mA/cm^{2}</v>
      </c>
      <c r="N3892" s="0" t="str">
        <f aca="false">"0.39"</f>
        <v>0.39</v>
      </c>
      <c r="O3892" s="0" t="s">
        <v>12854</v>
      </c>
    </row>
    <row r="3893" customFormat="false" ht="13.8" hidden="false" customHeight="false" outlineLevel="0" collapsed="false">
      <c r="A3893" s="0" t="s">
        <v>12855</v>
      </c>
      <c r="F3893" s="0" t="s">
        <v>40</v>
      </c>
      <c r="G3893" s="0" t="n">
        <v>0</v>
      </c>
      <c r="J3893" s="0" t="s">
        <v>40</v>
      </c>
      <c r="K3893" s="0" t="str">
        <f aca="false">"0.11 %"</f>
        <v>0.11 %</v>
      </c>
      <c r="L3893" s="0" t="str">
        <f aca="false">"0.69 V"</f>
        <v>0.69 V</v>
      </c>
      <c r="O3893" s="0" t="s">
        <v>12856</v>
      </c>
    </row>
    <row r="3894" customFormat="false" ht="13.8" hidden="false" customHeight="false" outlineLevel="0" collapsed="false">
      <c r="A3894" s="0" t="s">
        <v>12857</v>
      </c>
      <c r="F3894" s="0" t="s">
        <v>40</v>
      </c>
      <c r="G3894" s="0" t="n">
        <v>0</v>
      </c>
      <c r="J3894" s="0" t="s">
        <v>40</v>
      </c>
      <c r="K3894" s="0" t="str">
        <f aca="false">"0.57 %"</f>
        <v>0.57 %</v>
      </c>
      <c r="O3894" s="0" t="s">
        <v>12858</v>
      </c>
    </row>
    <row r="3895" customFormat="false" ht="13.8" hidden="false" customHeight="false" outlineLevel="0" collapsed="false">
      <c r="A3895" s="0" t="s">
        <v>12859</v>
      </c>
      <c r="F3895" s="0" t="s">
        <v>40</v>
      </c>
      <c r="G3895" s="0" t="n">
        <v>0</v>
      </c>
      <c r="J3895" s="0" t="s">
        <v>40</v>
      </c>
      <c r="K3895" s="0" t="str">
        <f aca="false">"8.6 %"</f>
        <v>8.6 %</v>
      </c>
      <c r="M3895" s="0" t="str">
        <f aca="false">"16.89 mA/cm^{2}"</f>
        <v>16.89 mA/cm^{2}</v>
      </c>
      <c r="O3895" s="0" t="s">
        <v>12860</v>
      </c>
    </row>
    <row r="3896" customFormat="false" ht="13.8" hidden="false" customHeight="false" outlineLevel="0" collapsed="false">
      <c r="A3896" s="0" t="s">
        <v>12859</v>
      </c>
      <c r="D3896" s="0" t="s">
        <v>6253</v>
      </c>
      <c r="E3896" s="0" t="s">
        <v>1169</v>
      </c>
      <c r="F3896" s="0" t="s">
        <v>6254</v>
      </c>
      <c r="G3896" s="0" t="n">
        <v>0</v>
      </c>
      <c r="J3896" s="0" t="s">
        <v>40</v>
      </c>
      <c r="L3896" s="0" t="str">
        <f aca="false">"0.786 V"</f>
        <v>0.786 V</v>
      </c>
      <c r="O3896" s="0" t="s">
        <v>12861</v>
      </c>
    </row>
    <row r="3897" customFormat="false" ht="13.8" hidden="false" customHeight="false" outlineLevel="0" collapsed="false">
      <c r="A3897" s="0" t="s">
        <v>12862</v>
      </c>
      <c r="F3897" s="0" t="s">
        <v>40</v>
      </c>
      <c r="G3897" s="0" t="n">
        <v>0</v>
      </c>
      <c r="J3897" s="0" t="s">
        <v>40</v>
      </c>
      <c r="K3897" s="0" t="str">
        <f aca="false">"9.0 %"</f>
        <v>9.0 %</v>
      </c>
      <c r="O3897" s="0" t="s">
        <v>12863</v>
      </c>
    </row>
    <row r="3898" customFormat="false" ht="13.8" hidden="false" customHeight="false" outlineLevel="0" collapsed="false">
      <c r="A3898" s="0" t="s">
        <v>12864</v>
      </c>
      <c r="F3898" s="0" t="s">
        <v>40</v>
      </c>
      <c r="G3898" s="0" t="n">
        <v>0</v>
      </c>
      <c r="J3898" s="0" t="s">
        <v>40</v>
      </c>
      <c r="K3898" s="0" t="str">
        <f aca="false">"11.05 %"</f>
        <v>11.05 %</v>
      </c>
      <c r="O3898" s="0" t="s">
        <v>12865</v>
      </c>
    </row>
    <row r="3899" customFormat="false" ht="13.8" hidden="false" customHeight="false" outlineLevel="0" collapsed="false">
      <c r="A3899" s="0" t="s">
        <v>12866</v>
      </c>
      <c r="F3899" s="0" t="s">
        <v>40</v>
      </c>
      <c r="G3899" s="0" t="n">
        <v>0</v>
      </c>
      <c r="J3899" s="0" t="s">
        <v>40</v>
      </c>
      <c r="K3899" s="0" t="str">
        <f aca="false">"2.8 %"</f>
        <v>2.8 %</v>
      </c>
      <c r="L3899" s="0" t="str">
        <f aca="false">"0.82 V"</f>
        <v>0.82 V</v>
      </c>
      <c r="M3899" s="0" t="str">
        <f aca="false">"14.8 mA cm^{-2}"</f>
        <v>14.8 mA cm^{-2}</v>
      </c>
      <c r="N3899" s="0" t="str">
        <f aca="false">"32 %"</f>
        <v>32 %</v>
      </c>
      <c r="O3899" s="0" t="s">
        <v>12867</v>
      </c>
    </row>
    <row r="3900" customFormat="false" ht="13.8" hidden="false" customHeight="false" outlineLevel="0" collapsed="false">
      <c r="A3900" s="0" t="s">
        <v>12868</v>
      </c>
      <c r="F3900" s="0" t="s">
        <v>40</v>
      </c>
      <c r="G3900" s="0" t="n">
        <v>0</v>
      </c>
      <c r="J3900" s="0" t="s">
        <v>40</v>
      </c>
      <c r="L3900" s="0" t="str">
        <f aca="false">"0.87 and 0.93 V"</f>
        <v>0.87 and 0.93 V</v>
      </c>
      <c r="N3900" s="0" t="str">
        <f aca="false">"75.4 %"</f>
        <v>75.4 %</v>
      </c>
      <c r="O3900" s="0" t="s">
        <v>12869</v>
      </c>
    </row>
    <row r="3901" customFormat="false" ht="13.8" hidden="false" customHeight="false" outlineLevel="0" collapsed="false">
      <c r="A3901" s="0" t="s">
        <v>12870</v>
      </c>
      <c r="F3901" s="0" t="s">
        <v>40</v>
      </c>
      <c r="G3901" s="0" t="n">
        <v>0</v>
      </c>
      <c r="J3901" s="0" t="s">
        <v>40</v>
      </c>
      <c r="K3901" s="0" t="str">
        <f aca="false">"12.5 %"</f>
        <v>12.5 %</v>
      </c>
      <c r="L3901" s="0" t="str">
        <f aca="false">"0.53 V"</f>
        <v>0.53 V</v>
      </c>
      <c r="M3901" s="0" t="str">
        <f aca="false">"35.6 mA cm^{-2}"</f>
        <v>35.6 mA cm^{-2}</v>
      </c>
      <c r="N3901" s="0" t="str">
        <f aca="false">"0.67"</f>
        <v>0.67</v>
      </c>
      <c r="O3901" s="0" t="s">
        <v>12871</v>
      </c>
    </row>
    <row r="3902" customFormat="false" ht="13.8" hidden="false" customHeight="false" outlineLevel="0" collapsed="false">
      <c r="A3902" s="0" t="s">
        <v>12872</v>
      </c>
      <c r="F3902" s="0" t="s">
        <v>40</v>
      </c>
      <c r="G3902" s="0" t="n">
        <v>0</v>
      </c>
      <c r="J3902" s="0" t="s">
        <v>40</v>
      </c>
      <c r="K3902" s="0" t="str">
        <f aca="false">"0.7 %"</f>
        <v>0.7 %</v>
      </c>
      <c r="L3902" s="0" t="str">
        <f aca="false">"0.58 V"</f>
        <v>0.58 V</v>
      </c>
      <c r="O3902" s="0" t="s">
        <v>12873</v>
      </c>
    </row>
    <row r="3903" customFormat="false" ht="13.8" hidden="false" customHeight="false" outlineLevel="0" collapsed="false">
      <c r="A3903" s="0" t="s">
        <v>12874</v>
      </c>
      <c r="F3903" s="0" t="s">
        <v>40</v>
      </c>
      <c r="G3903" s="0" t="n">
        <v>0</v>
      </c>
      <c r="J3903" s="0" t="s">
        <v>40</v>
      </c>
      <c r="K3903" s="0" t="str">
        <f aca="false">"0.52 %"</f>
        <v>0.52 %</v>
      </c>
      <c r="O3903" s="0" t="s">
        <v>12875</v>
      </c>
    </row>
    <row r="3904" customFormat="false" ht="13.8" hidden="false" customHeight="false" outlineLevel="0" collapsed="false">
      <c r="A3904" s="0" t="s">
        <v>12876</v>
      </c>
      <c r="F3904" s="0" t="s">
        <v>40</v>
      </c>
      <c r="G3904" s="0" t="n">
        <v>0</v>
      </c>
      <c r="J3904" s="0" t="s">
        <v>40</v>
      </c>
      <c r="K3904" s="0" t="str">
        <f aca="false">"3 %"</f>
        <v>3 %</v>
      </c>
      <c r="O3904" s="0" t="s">
        <v>12877</v>
      </c>
    </row>
    <row r="3905" customFormat="false" ht="13.8" hidden="false" customHeight="false" outlineLevel="0" collapsed="false">
      <c r="A3905" s="0" t="s">
        <v>12878</v>
      </c>
      <c r="F3905" s="0" t="s">
        <v>40</v>
      </c>
      <c r="G3905" s="0" t="n">
        <v>0</v>
      </c>
      <c r="J3905" s="0" t="s">
        <v>40</v>
      </c>
      <c r="K3905" s="0" t="str">
        <f aca="false">"9.65 %"</f>
        <v>9.65 %</v>
      </c>
      <c r="O3905" s="0" t="s">
        <v>12879</v>
      </c>
    </row>
    <row r="3906" customFormat="false" ht="13.8" hidden="false" customHeight="false" outlineLevel="0" collapsed="false">
      <c r="A3906" s="0" t="s">
        <v>12878</v>
      </c>
      <c r="D3906" s="0" t="s">
        <v>1924</v>
      </c>
      <c r="E3906" s="0" t="s">
        <v>1925</v>
      </c>
      <c r="F3906" s="0" t="s">
        <v>1926</v>
      </c>
      <c r="G3906" s="0" t="n">
        <v>0</v>
      </c>
      <c r="J3906" s="0" t="s">
        <v>40</v>
      </c>
      <c r="K3906" s="0" t="str">
        <f aca="false">"10.56 %"</f>
        <v>10.56 %</v>
      </c>
      <c r="O3906" s="0" t="s">
        <v>12880</v>
      </c>
    </row>
    <row r="3907" customFormat="false" ht="13.8" hidden="false" customHeight="false" outlineLevel="0" collapsed="false">
      <c r="A3907" s="0" t="s">
        <v>12881</v>
      </c>
      <c r="F3907" s="0" t="s">
        <v>40</v>
      </c>
      <c r="G3907" s="0" t="n">
        <v>0</v>
      </c>
      <c r="J3907" s="0" t="s">
        <v>40</v>
      </c>
      <c r="K3907" s="0" t="str">
        <f aca="false">"â‰ˆ6 %"</f>
        <v>â‰ˆ6 %</v>
      </c>
      <c r="O3907" s="0" t="s">
        <v>12882</v>
      </c>
    </row>
    <row r="3908" customFormat="false" ht="13.8" hidden="false" customHeight="false" outlineLevel="0" collapsed="false">
      <c r="A3908" s="0" t="s">
        <v>12883</v>
      </c>
      <c r="F3908" s="0" t="s">
        <v>40</v>
      </c>
      <c r="G3908" s="0" t="n">
        <v>0</v>
      </c>
      <c r="J3908" s="0" t="s">
        <v>40</v>
      </c>
      <c r="K3908" s="0" t="str">
        <f aca="false">"5.26 %"</f>
        <v>5.26 %</v>
      </c>
      <c r="L3908" s="0" t="str">
        <f aca="false">"0.91 V"</f>
        <v>0.91 V</v>
      </c>
      <c r="O3908" s="0" t="s">
        <v>12884</v>
      </c>
    </row>
    <row r="3909" customFormat="false" ht="13.8" hidden="false" customHeight="false" outlineLevel="0" collapsed="false">
      <c r="A3909" s="0" t="s">
        <v>12885</v>
      </c>
      <c r="F3909" s="0" t="s">
        <v>40</v>
      </c>
      <c r="G3909" s="0" t="n">
        <v>0</v>
      </c>
      <c r="J3909" s="0" t="s">
        <v>40</v>
      </c>
      <c r="K3909" s="0" t="str">
        <f aca="false">"3.2 %"</f>
        <v>3.2 %</v>
      </c>
      <c r="M3909" s="0" t="str">
        <f aca="false">"14.2 mA/cm^{2}"</f>
        <v>14.2 mA/cm^{2}</v>
      </c>
      <c r="O3909" s="0" t="s">
        <v>12886</v>
      </c>
    </row>
    <row r="3910" customFormat="false" ht="13.8" hidden="false" customHeight="false" outlineLevel="0" collapsed="false">
      <c r="A3910" s="0" t="s">
        <v>12887</v>
      </c>
      <c r="F3910" s="0" t="s">
        <v>40</v>
      </c>
      <c r="G3910" s="0" t="n">
        <v>0</v>
      </c>
      <c r="J3910" s="0" t="s">
        <v>40</v>
      </c>
      <c r="K3910" s="0" t="str">
        <f aca="false">"8.63 %"</f>
        <v>8.63 %</v>
      </c>
      <c r="O3910" s="0" t="s">
        <v>12888</v>
      </c>
    </row>
    <row r="3911" customFormat="false" ht="13.8" hidden="false" customHeight="false" outlineLevel="0" collapsed="false">
      <c r="A3911" s="0" t="s">
        <v>12889</v>
      </c>
      <c r="F3911" s="0" t="s">
        <v>40</v>
      </c>
      <c r="G3911" s="0" t="n">
        <v>0</v>
      </c>
      <c r="J3911" s="0" t="s">
        <v>40</v>
      </c>
      <c r="K3911" s="0" t="str">
        <f aca="false">"8 %"</f>
        <v>8 %</v>
      </c>
      <c r="O3911" s="0" t="s">
        <v>12890</v>
      </c>
    </row>
    <row r="3912" customFormat="false" ht="13.8" hidden="false" customHeight="false" outlineLevel="0" collapsed="false">
      <c r="A3912" s="0" t="s">
        <v>12891</v>
      </c>
      <c r="F3912" s="0" t="s">
        <v>40</v>
      </c>
      <c r="G3912" s="0" t="n">
        <v>0</v>
      </c>
      <c r="J3912" s="0" t="s">
        <v>40</v>
      </c>
      <c r="K3912" s="0" t="str">
        <f aca="false">"9.5 %"</f>
        <v>9.5 %</v>
      </c>
      <c r="O3912" s="0" t="s">
        <v>12892</v>
      </c>
    </row>
    <row r="3913" customFormat="false" ht="13.8" hidden="false" customHeight="false" outlineLevel="0" collapsed="false">
      <c r="A3913" s="0" t="s">
        <v>12893</v>
      </c>
      <c r="F3913" s="0" t="s">
        <v>40</v>
      </c>
      <c r="G3913" s="0" t="n">
        <v>0</v>
      </c>
      <c r="J3913" s="0" t="s">
        <v>40</v>
      </c>
      <c r="K3913" s="0" t="str">
        <f aca="false">"8 %"</f>
        <v>8 %</v>
      </c>
      <c r="O3913" s="0" t="s">
        <v>12894</v>
      </c>
    </row>
    <row r="3914" customFormat="false" ht="13.8" hidden="false" customHeight="false" outlineLevel="0" collapsed="false">
      <c r="A3914" s="0" t="s">
        <v>12895</v>
      </c>
      <c r="F3914" s="0" t="s">
        <v>40</v>
      </c>
      <c r="G3914" s="0" t="n">
        <v>0</v>
      </c>
      <c r="J3914" s="0" t="s">
        <v>40</v>
      </c>
      <c r="K3914" s="0" t="str">
        <f aca="false">"2 %"</f>
        <v>2 %</v>
      </c>
      <c r="O3914" s="0" t="s">
        <v>12896</v>
      </c>
    </row>
    <row r="3915" customFormat="false" ht="13.8" hidden="false" customHeight="false" outlineLevel="0" collapsed="false">
      <c r="A3915" s="0" t="s">
        <v>12897</v>
      </c>
      <c r="F3915" s="0" t="s">
        <v>40</v>
      </c>
      <c r="G3915" s="0" t="n">
        <v>0</v>
      </c>
      <c r="J3915" s="0" t="s">
        <v>40</v>
      </c>
      <c r="K3915" s="0" t="str">
        <f aca="false">"0.35 %"</f>
        <v>0.35 %</v>
      </c>
      <c r="O3915" s="0" t="s">
        <v>12898</v>
      </c>
    </row>
    <row r="3916" customFormat="false" ht="13.8" hidden="false" customHeight="false" outlineLevel="0" collapsed="false">
      <c r="A3916" s="0" t="s">
        <v>12899</v>
      </c>
      <c r="F3916" s="0" t="s">
        <v>40</v>
      </c>
      <c r="G3916" s="0" t="n">
        <v>0</v>
      </c>
      <c r="J3916" s="0" t="s">
        <v>40</v>
      </c>
      <c r="K3916" s="0" t="str">
        <f aca="false">"0.63 %"</f>
        <v>0.63 %</v>
      </c>
      <c r="O3916" s="0" t="s">
        <v>12900</v>
      </c>
    </row>
    <row r="3917" customFormat="false" ht="13.8" hidden="false" customHeight="false" outlineLevel="0" collapsed="false">
      <c r="A3917" s="0" t="s">
        <v>12901</v>
      </c>
      <c r="F3917" s="0" t="s">
        <v>40</v>
      </c>
      <c r="G3917" s="0" t="n">
        <v>0</v>
      </c>
      <c r="J3917" s="0" t="s">
        <v>40</v>
      </c>
      <c r="K3917" s="0" t="str">
        <f aca="false">"0.87-2.15 %"</f>
        <v>0.87-2.15 %</v>
      </c>
      <c r="O3917" s="0" t="s">
        <v>12902</v>
      </c>
    </row>
    <row r="3918" customFormat="false" ht="13.8" hidden="false" customHeight="false" outlineLevel="0" collapsed="false">
      <c r="A3918" s="0" t="s">
        <v>12901</v>
      </c>
      <c r="D3918" s="0" t="s">
        <v>1850</v>
      </c>
      <c r="F3918" s="0" t="s">
        <v>12903</v>
      </c>
      <c r="G3918" s="0" t="n">
        <v>0</v>
      </c>
      <c r="J3918" s="0" t="s">
        <v>40</v>
      </c>
      <c r="K3918" s="0" t="str">
        <f aca="false">"2.15 %"</f>
        <v>2.15 %</v>
      </c>
      <c r="L3918" s="0" t="str">
        <f aca="false">"0.67 V"</f>
        <v>0.67 V</v>
      </c>
      <c r="M3918" s="0" t="str">
        <f aca="false">"7.06 mA/cm^{2}"</f>
        <v>7.06 mA/cm^{2}</v>
      </c>
      <c r="N3918" s="0" t="str">
        <f aca="false">"0.46"</f>
        <v>0.46</v>
      </c>
      <c r="O3918" s="0" t="s">
        <v>12904</v>
      </c>
    </row>
    <row r="3919" customFormat="false" ht="13.8" hidden="false" customHeight="false" outlineLevel="0" collapsed="false">
      <c r="A3919" s="0" t="s">
        <v>12905</v>
      </c>
      <c r="F3919" s="0" t="s">
        <v>40</v>
      </c>
      <c r="G3919" s="0" t="n">
        <v>0</v>
      </c>
      <c r="J3919" s="0" t="s">
        <v>40</v>
      </c>
      <c r="K3919" s="0" t="str">
        <f aca="false">"0.31 %"</f>
        <v>0.31 %</v>
      </c>
      <c r="O3919" s="0" t="s">
        <v>12906</v>
      </c>
    </row>
    <row r="3920" customFormat="false" ht="13.8" hidden="false" customHeight="false" outlineLevel="0" collapsed="false">
      <c r="A3920" s="0" t="s">
        <v>12907</v>
      </c>
      <c r="F3920" s="0" t="s">
        <v>40</v>
      </c>
      <c r="G3920" s="0" t="n">
        <v>0</v>
      </c>
      <c r="J3920" s="0" t="s">
        <v>40</v>
      </c>
      <c r="K3920" s="0" t="str">
        <f aca="false">"7.90 %"</f>
        <v>7.90 %</v>
      </c>
      <c r="O3920" s="0" t="s">
        <v>12908</v>
      </c>
    </row>
    <row r="3921" customFormat="false" ht="13.8" hidden="false" customHeight="false" outlineLevel="0" collapsed="false">
      <c r="A3921" s="0" t="s">
        <v>12909</v>
      </c>
      <c r="F3921" s="0" t="s">
        <v>40</v>
      </c>
      <c r="G3921" s="0" t="n">
        <v>0</v>
      </c>
      <c r="J3921" s="0" t="s">
        <v>40</v>
      </c>
      <c r="K3921" s="0" t="str">
        <f aca="false">"2.0 %"</f>
        <v>2.0 %</v>
      </c>
      <c r="O3921" s="0" t="s">
        <v>12910</v>
      </c>
    </row>
    <row r="3922" customFormat="false" ht="13.8" hidden="false" customHeight="false" outlineLevel="0" collapsed="false">
      <c r="A3922" s="0" t="s">
        <v>12911</v>
      </c>
      <c r="F3922" s="0" t="s">
        <v>40</v>
      </c>
      <c r="G3922" s="0" t="n">
        <v>0</v>
      </c>
      <c r="J3922" s="0" t="s">
        <v>40</v>
      </c>
      <c r="K3922" s="0" t="str">
        <f aca="false">"2.9 %"</f>
        <v>2.9 %</v>
      </c>
      <c r="O3922" s="0" t="s">
        <v>12912</v>
      </c>
    </row>
    <row r="3923" customFormat="false" ht="13.8" hidden="false" customHeight="false" outlineLevel="0" collapsed="false">
      <c r="A3923" s="0" t="s">
        <v>12913</v>
      </c>
      <c r="F3923" s="0" t="s">
        <v>40</v>
      </c>
      <c r="G3923" s="0" t="n">
        <v>0</v>
      </c>
      <c r="J3923" s="0" t="s">
        <v>40</v>
      </c>
      <c r="K3923" s="0" t="str">
        <f aca="false">"1.60 %"</f>
        <v>1.60 %</v>
      </c>
      <c r="O3923" s="0" t="s">
        <v>12914</v>
      </c>
    </row>
    <row r="3924" customFormat="false" ht="13.8" hidden="false" customHeight="false" outlineLevel="0" collapsed="false">
      <c r="A3924" s="0" t="s">
        <v>12915</v>
      </c>
      <c r="F3924" s="0" t="s">
        <v>40</v>
      </c>
      <c r="G3924" s="0" t="n">
        <v>0</v>
      </c>
      <c r="J3924" s="0" t="s">
        <v>40</v>
      </c>
      <c r="K3924" s="0" t="str">
        <f aca="false">"1 %"</f>
        <v>1 %</v>
      </c>
      <c r="O3924" s="0" t="s">
        <v>12916</v>
      </c>
    </row>
    <row r="3925" customFormat="false" ht="13.8" hidden="false" customHeight="false" outlineLevel="0" collapsed="false">
      <c r="A3925" s="0" t="s">
        <v>12917</v>
      </c>
      <c r="F3925" s="0" t="s">
        <v>40</v>
      </c>
      <c r="G3925" s="0" t="n">
        <v>0</v>
      </c>
      <c r="J3925" s="0" t="s">
        <v>40</v>
      </c>
      <c r="K3925" s="0" t="str">
        <f aca="false">"1.28 %"</f>
        <v>1.28 %</v>
      </c>
      <c r="L3925" s="0" t="str">
        <f aca="false">"0.84 V"</f>
        <v>0.84 V</v>
      </c>
      <c r="O3925" s="0" t="s">
        <v>12918</v>
      </c>
    </row>
    <row r="3926" customFormat="false" ht="13.8" hidden="false" customHeight="false" outlineLevel="0" collapsed="false">
      <c r="A3926" s="0" t="s">
        <v>12919</v>
      </c>
      <c r="F3926" s="0" t="s">
        <v>40</v>
      </c>
      <c r="G3926" s="0" t="n">
        <v>0</v>
      </c>
      <c r="J3926" s="0" t="s">
        <v>40</v>
      </c>
      <c r="K3926" s="0" t="str">
        <f aca="false">"3.12 %"</f>
        <v>3.12 %</v>
      </c>
      <c r="O3926" s="0" t="s">
        <v>12920</v>
      </c>
    </row>
    <row r="3927" customFormat="false" ht="13.8" hidden="false" customHeight="false" outlineLevel="0" collapsed="false">
      <c r="A3927" s="0" t="s">
        <v>12921</v>
      </c>
      <c r="F3927" s="0" t="s">
        <v>40</v>
      </c>
      <c r="G3927" s="0" t="n">
        <v>0</v>
      </c>
      <c r="J3927" s="0" t="s">
        <v>40</v>
      </c>
      <c r="K3927" s="0" t="str">
        <f aca="false">"3.0 %"</f>
        <v>3.0 %</v>
      </c>
      <c r="O3927" s="0" t="s">
        <v>12922</v>
      </c>
    </row>
    <row r="3928" customFormat="false" ht="13.8" hidden="false" customHeight="false" outlineLevel="0" collapsed="false">
      <c r="A3928" s="0" t="s">
        <v>12923</v>
      </c>
      <c r="F3928" s="0" t="s">
        <v>40</v>
      </c>
      <c r="G3928" s="0" t="n">
        <v>0</v>
      </c>
      <c r="J3928" s="0" t="s">
        <v>40</v>
      </c>
      <c r="K3928" s="0" t="str">
        <f aca="false">"2 %"</f>
        <v>2 %</v>
      </c>
      <c r="L3928" s="0" t="str">
        <f aca="false">"1 V"</f>
        <v>1 V</v>
      </c>
      <c r="O3928" s="0" t="s">
        <v>12924</v>
      </c>
    </row>
    <row r="3929" customFormat="false" ht="13.8" hidden="false" customHeight="false" outlineLevel="0" collapsed="false">
      <c r="A3929" s="0" t="s">
        <v>12925</v>
      </c>
      <c r="F3929" s="0" t="s">
        <v>40</v>
      </c>
      <c r="G3929" s="0" t="n">
        <v>0</v>
      </c>
      <c r="J3929" s="0" t="s">
        <v>40</v>
      </c>
      <c r="K3929" s="0" t="str">
        <f aca="false">"~5 %"</f>
        <v>~5 %</v>
      </c>
      <c r="L3929" s="0" t="str">
        <f aca="false">"0.8 V"</f>
        <v>0.8 V</v>
      </c>
      <c r="O3929" s="0" t="s">
        <v>12926</v>
      </c>
    </row>
    <row r="3930" customFormat="false" ht="13.8" hidden="false" customHeight="false" outlineLevel="0" collapsed="false">
      <c r="A3930" s="0" t="s">
        <v>12927</v>
      </c>
      <c r="F3930" s="0" t="s">
        <v>40</v>
      </c>
      <c r="G3930" s="0" t="n">
        <v>0</v>
      </c>
      <c r="J3930" s="0" t="s">
        <v>40</v>
      </c>
      <c r="K3930" s="0" t="str">
        <f aca="false">"7.56 %"</f>
        <v>7.56 %</v>
      </c>
      <c r="O3930" s="0" t="s">
        <v>12928</v>
      </c>
    </row>
    <row r="3931" customFormat="false" ht="13.8" hidden="false" customHeight="false" outlineLevel="0" collapsed="false">
      <c r="A3931" s="0" t="s">
        <v>12929</v>
      </c>
      <c r="F3931" s="0" t="s">
        <v>40</v>
      </c>
      <c r="G3931" s="0" t="n">
        <v>0</v>
      </c>
      <c r="J3931" s="0" t="s">
        <v>40</v>
      </c>
      <c r="K3931" s="0" t="str">
        <f aca="false">"3.6 %"</f>
        <v>3.6 %</v>
      </c>
      <c r="O3931" s="0" t="s">
        <v>12930</v>
      </c>
    </row>
    <row r="3932" customFormat="false" ht="13.8" hidden="false" customHeight="false" outlineLevel="0" collapsed="false">
      <c r="A3932" s="0" t="s">
        <v>12931</v>
      </c>
      <c r="F3932" s="0" t="s">
        <v>40</v>
      </c>
      <c r="G3932" s="0" t="n">
        <v>0</v>
      </c>
      <c r="J3932" s="0" t="s">
        <v>40</v>
      </c>
      <c r="K3932" s="0" t="str">
        <f aca="false">"5.16 %"</f>
        <v>5.16 %</v>
      </c>
      <c r="O3932" s="0" t="s">
        <v>12932</v>
      </c>
    </row>
    <row r="3933" customFormat="false" ht="13.8" hidden="false" customHeight="false" outlineLevel="0" collapsed="false">
      <c r="A3933" s="0" t="s">
        <v>12933</v>
      </c>
      <c r="F3933" s="0" t="s">
        <v>40</v>
      </c>
      <c r="G3933" s="0" t="n">
        <v>0</v>
      </c>
      <c r="J3933" s="0" t="s">
        <v>40</v>
      </c>
      <c r="K3933" s="0" t="str">
        <f aca="false">"6.38 %"</f>
        <v>6.38 %</v>
      </c>
      <c r="L3933" s="0" t="str">
        <f aca="false">"0.82 V"</f>
        <v>0.82 V</v>
      </c>
      <c r="O3933" s="0" t="s">
        <v>12934</v>
      </c>
    </row>
    <row r="3934" customFormat="false" ht="13.8" hidden="false" customHeight="false" outlineLevel="0" collapsed="false">
      <c r="A3934" s="0" t="s">
        <v>12935</v>
      </c>
      <c r="F3934" s="0" t="s">
        <v>40</v>
      </c>
      <c r="G3934" s="0" t="n">
        <v>0</v>
      </c>
      <c r="J3934" s="0" t="s">
        <v>40</v>
      </c>
      <c r="K3934" s="0" t="str">
        <f aca="false">"4.7 %"</f>
        <v>4.7 %</v>
      </c>
      <c r="O3934" s="0" t="s">
        <v>12936</v>
      </c>
    </row>
    <row r="3935" customFormat="false" ht="13.8" hidden="false" customHeight="false" outlineLevel="0" collapsed="false">
      <c r="A3935" s="0" t="s">
        <v>12937</v>
      </c>
      <c r="F3935" s="0" t="s">
        <v>40</v>
      </c>
      <c r="G3935" s="0" t="n">
        <v>0</v>
      </c>
      <c r="J3935" s="0" t="s">
        <v>40</v>
      </c>
      <c r="K3935" s="0" t="str">
        <f aca="false">"2.8"</f>
        <v>2.8</v>
      </c>
      <c r="O3935" s="0" t="s">
        <v>12938</v>
      </c>
    </row>
    <row r="3936" customFormat="false" ht="13.8" hidden="false" customHeight="false" outlineLevel="0" collapsed="false">
      <c r="A3936" s="0" t="s">
        <v>12939</v>
      </c>
      <c r="F3936" s="0" t="s">
        <v>40</v>
      </c>
      <c r="G3936" s="0" t="n">
        <v>0</v>
      </c>
      <c r="J3936" s="0" t="s">
        <v>40</v>
      </c>
      <c r="K3936" s="0" t="str">
        <f aca="false">"0.17-0.43 %"</f>
        <v>0.17-0.43 %</v>
      </c>
      <c r="O3936" s="0" t="s">
        <v>12940</v>
      </c>
    </row>
    <row r="3937" customFormat="false" ht="13.8" hidden="false" customHeight="false" outlineLevel="0" collapsed="false">
      <c r="A3937" s="0" t="s">
        <v>12941</v>
      </c>
      <c r="F3937" s="0" t="s">
        <v>40</v>
      </c>
      <c r="G3937" s="0" t="n">
        <v>0</v>
      </c>
      <c r="J3937" s="0" t="s">
        <v>40</v>
      </c>
      <c r="K3937" s="0" t="str">
        <f aca="false">"0.5 %"</f>
        <v>0.5 %</v>
      </c>
      <c r="O3937" s="0" t="s">
        <v>12942</v>
      </c>
    </row>
    <row r="3938" customFormat="false" ht="13.8" hidden="false" customHeight="false" outlineLevel="0" collapsed="false">
      <c r="A3938" s="0" t="s">
        <v>12943</v>
      </c>
      <c r="F3938" s="0" t="s">
        <v>40</v>
      </c>
      <c r="G3938" s="0" t="n">
        <v>0</v>
      </c>
      <c r="J3938" s="0" t="s">
        <v>40</v>
      </c>
      <c r="K3938" s="0" t="str">
        <f aca="false">"5 %"</f>
        <v>5 %</v>
      </c>
      <c r="O3938" s="0" t="s">
        <v>12944</v>
      </c>
    </row>
    <row r="3939" customFormat="false" ht="13.8" hidden="false" customHeight="false" outlineLevel="0" collapsed="false">
      <c r="A3939" s="0" t="s">
        <v>12945</v>
      </c>
      <c r="F3939" s="0" t="s">
        <v>40</v>
      </c>
      <c r="G3939" s="0" t="n">
        <v>0</v>
      </c>
      <c r="J3939" s="0" t="s">
        <v>40</v>
      </c>
      <c r="K3939" s="0" t="str">
        <f aca="false">"2.62 %"</f>
        <v>2.62 %</v>
      </c>
      <c r="O3939" s="0" t="s">
        <v>12946</v>
      </c>
    </row>
    <row r="3940" customFormat="false" ht="13.8" hidden="false" customHeight="false" outlineLevel="0" collapsed="false">
      <c r="A3940" s="0" t="s">
        <v>12947</v>
      </c>
      <c r="F3940" s="0" t="s">
        <v>40</v>
      </c>
      <c r="G3940" s="0" t="n">
        <v>0</v>
      </c>
      <c r="J3940" s="0" t="s">
        <v>40</v>
      </c>
      <c r="K3940" s="0" t="str">
        <f aca="false">"2.1 %"</f>
        <v>2.1 %</v>
      </c>
      <c r="O3940" s="0" t="s">
        <v>12948</v>
      </c>
    </row>
    <row r="3941" customFormat="false" ht="13.8" hidden="false" customHeight="false" outlineLevel="0" collapsed="false">
      <c r="A3941" s="0" t="s">
        <v>12949</v>
      </c>
      <c r="F3941" s="0" t="s">
        <v>40</v>
      </c>
      <c r="G3941" s="0" t="n">
        <v>0</v>
      </c>
      <c r="J3941" s="0" t="s">
        <v>40</v>
      </c>
      <c r="K3941" s="0" t="str">
        <f aca="false">"7.147 %"</f>
        <v>7.147 %</v>
      </c>
      <c r="O3941" s="0" t="s">
        <v>12950</v>
      </c>
    </row>
    <row r="3942" customFormat="false" ht="13.8" hidden="false" customHeight="false" outlineLevel="0" collapsed="false">
      <c r="A3942" s="0" t="s">
        <v>12951</v>
      </c>
      <c r="F3942" s="0" t="s">
        <v>40</v>
      </c>
      <c r="G3942" s="0" t="n">
        <v>0</v>
      </c>
      <c r="J3942" s="0" t="s">
        <v>40</v>
      </c>
      <c r="K3942" s="0" t="str">
        <f aca="false">"2.1 %"</f>
        <v>2.1 %</v>
      </c>
      <c r="M3942" s="0" t="str">
        <f aca="false">"5.5 mA cm^{-2}"</f>
        <v>5.5 mA cm^{-2}</v>
      </c>
      <c r="O3942" s="0" t="s">
        <v>12952</v>
      </c>
    </row>
    <row r="3943" customFormat="false" ht="13.8" hidden="false" customHeight="false" outlineLevel="0" collapsed="false">
      <c r="A3943" s="0" t="s">
        <v>12953</v>
      </c>
      <c r="F3943" s="0" t="s">
        <v>40</v>
      </c>
      <c r="G3943" s="0" t="n">
        <v>0</v>
      </c>
      <c r="J3943" s="0" t="s">
        <v>40</v>
      </c>
      <c r="K3943" s="0" t="str">
        <f aca="false">"8 %"</f>
        <v>8 %</v>
      </c>
      <c r="O3943" s="0" t="s">
        <v>12954</v>
      </c>
    </row>
    <row r="3944" customFormat="false" ht="13.8" hidden="false" customHeight="false" outlineLevel="0" collapsed="false">
      <c r="A3944" s="0" t="s">
        <v>12955</v>
      </c>
      <c r="F3944" s="0" t="s">
        <v>40</v>
      </c>
      <c r="G3944" s="0" t="n">
        <v>0</v>
      </c>
      <c r="J3944" s="0" t="s">
        <v>40</v>
      </c>
      <c r="K3944" s="0" t="str">
        <f aca="false">"~8.2 %"</f>
        <v>~8.2 %</v>
      </c>
      <c r="O3944" s="0" t="s">
        <v>12956</v>
      </c>
    </row>
    <row r="3945" customFormat="false" ht="13.8" hidden="false" customHeight="false" outlineLevel="0" collapsed="false">
      <c r="A3945" s="0" t="s">
        <v>12957</v>
      </c>
      <c r="F3945" s="0" t="s">
        <v>40</v>
      </c>
      <c r="G3945" s="0" t="n">
        <v>0</v>
      </c>
      <c r="J3945" s="0" t="s">
        <v>40</v>
      </c>
      <c r="K3945" s="0" t="str">
        <f aca="false">"4.15 %"</f>
        <v>4.15 %</v>
      </c>
      <c r="O3945" s="0" t="s">
        <v>12958</v>
      </c>
    </row>
    <row r="3946" customFormat="false" ht="13.8" hidden="false" customHeight="false" outlineLevel="0" collapsed="false">
      <c r="A3946" s="0" t="s">
        <v>12959</v>
      </c>
      <c r="F3946" s="0" t="s">
        <v>40</v>
      </c>
      <c r="G3946" s="0" t="n">
        <v>0</v>
      </c>
      <c r="J3946" s="0" t="s">
        <v>40</v>
      </c>
      <c r="K3946" s="0" t="str">
        <f aca="false">"0.34 %"</f>
        <v>0.34 %</v>
      </c>
      <c r="O3946" s="0" t="s">
        <v>12960</v>
      </c>
    </row>
    <row r="3947" customFormat="false" ht="13.8" hidden="false" customHeight="false" outlineLevel="0" collapsed="false">
      <c r="A3947" s="0" t="s">
        <v>12961</v>
      </c>
      <c r="F3947" s="0" t="s">
        <v>40</v>
      </c>
      <c r="G3947" s="0" t="n">
        <v>0</v>
      </c>
      <c r="J3947" s="0" t="s">
        <v>40</v>
      </c>
      <c r="K3947" s="0" t="str">
        <f aca="false">"3.6 %"</f>
        <v>3.6 %</v>
      </c>
      <c r="O3947" s="0" t="s">
        <v>12962</v>
      </c>
    </row>
    <row r="3948" customFormat="false" ht="13.8" hidden="false" customHeight="false" outlineLevel="0" collapsed="false">
      <c r="A3948" s="0" t="s">
        <v>12963</v>
      </c>
      <c r="F3948" s="0" t="s">
        <v>40</v>
      </c>
      <c r="G3948" s="0" t="n">
        <v>0</v>
      </c>
      <c r="J3948" s="0" t="s">
        <v>40</v>
      </c>
      <c r="K3948" s="0" t="str">
        <f aca="false">"4.7 %"</f>
        <v>4.7 %</v>
      </c>
      <c r="N3948" s="0" t="str">
        <f aca="false">"61.64 %"</f>
        <v>61.64 %</v>
      </c>
      <c r="O3948" s="0" t="s">
        <v>12964</v>
      </c>
    </row>
    <row r="3949" customFormat="false" ht="13.8" hidden="false" customHeight="false" outlineLevel="0" collapsed="false">
      <c r="A3949" s="0" t="s">
        <v>12965</v>
      </c>
      <c r="F3949" s="0" t="s">
        <v>40</v>
      </c>
      <c r="G3949" s="0" t="n">
        <v>0</v>
      </c>
      <c r="J3949" s="0" t="s">
        <v>40</v>
      </c>
      <c r="K3949" s="0" t="str">
        <f aca="false">"1.50 %"</f>
        <v>1.50 %</v>
      </c>
      <c r="L3949" s="0" t="str">
        <f aca="false">"0.97 V"</f>
        <v>0.97 V</v>
      </c>
      <c r="M3949" s="0" t="str">
        <f aca="false">"2.91 mA*cm^{-2}"</f>
        <v>2.91 mA*cm^{-2}</v>
      </c>
      <c r="N3949" s="0" t="str">
        <f aca="false">"53.2 %"</f>
        <v>53.2 %</v>
      </c>
      <c r="O3949" s="0" t="s">
        <v>12966</v>
      </c>
    </row>
    <row r="3950" customFormat="false" ht="13.8" hidden="false" customHeight="false" outlineLevel="0" collapsed="false">
      <c r="A3950" s="0" t="s">
        <v>12967</v>
      </c>
      <c r="F3950" s="0" t="s">
        <v>40</v>
      </c>
      <c r="G3950" s="0" t="n">
        <v>0</v>
      </c>
      <c r="J3950" s="0" t="s">
        <v>40</v>
      </c>
      <c r="K3950" s="0" t="str">
        <f aca="false">"10 %"</f>
        <v>10 %</v>
      </c>
      <c r="O3950" s="0" t="s">
        <v>12968</v>
      </c>
    </row>
    <row r="3951" customFormat="false" ht="13.8" hidden="false" customHeight="false" outlineLevel="0" collapsed="false">
      <c r="A3951" s="0" t="s">
        <v>12969</v>
      </c>
      <c r="F3951" s="0" t="s">
        <v>40</v>
      </c>
      <c r="G3951" s="0" t="n">
        <v>0</v>
      </c>
      <c r="J3951" s="0" t="s">
        <v>40</v>
      </c>
      <c r="K3951" s="0" t="str">
        <f aca="false">"1.00 %"</f>
        <v>1.00 %</v>
      </c>
      <c r="O3951" s="0" t="s">
        <v>12970</v>
      </c>
    </row>
    <row r="3952" customFormat="false" ht="13.8" hidden="false" customHeight="false" outlineLevel="0" collapsed="false">
      <c r="A3952" s="0" t="s">
        <v>12971</v>
      </c>
      <c r="F3952" s="0" t="s">
        <v>40</v>
      </c>
      <c r="G3952" s="0" t="n">
        <v>0</v>
      </c>
      <c r="J3952" s="0" t="s">
        <v>40</v>
      </c>
      <c r="K3952" s="0" t="str">
        <f aca="false">"7.4 %"</f>
        <v>7.4 %</v>
      </c>
      <c r="O3952" s="0" t="s">
        <v>12972</v>
      </c>
    </row>
    <row r="3953" customFormat="false" ht="13.8" hidden="false" customHeight="false" outlineLevel="0" collapsed="false">
      <c r="A3953" s="0" t="s">
        <v>12973</v>
      </c>
      <c r="F3953" s="0" t="s">
        <v>40</v>
      </c>
      <c r="G3953" s="0" t="n">
        <v>0</v>
      </c>
      <c r="J3953" s="0" t="s">
        <v>40</v>
      </c>
      <c r="K3953" s="0" t="str">
        <f aca="false">"2.8 %"</f>
        <v>2.8 %</v>
      </c>
      <c r="O3953" s="0" t="s">
        <v>12974</v>
      </c>
    </row>
    <row r="3954" customFormat="false" ht="13.8" hidden="false" customHeight="false" outlineLevel="0" collapsed="false">
      <c r="A3954" s="0" t="s">
        <v>12973</v>
      </c>
      <c r="D3954" s="0" t="s">
        <v>1031</v>
      </c>
      <c r="E3954" s="0" t="s">
        <v>1032</v>
      </c>
      <c r="F3954" s="0" t="s">
        <v>1138</v>
      </c>
      <c r="G3954" s="0" t="n">
        <v>0</v>
      </c>
      <c r="J3954" s="0" t="s">
        <v>40</v>
      </c>
      <c r="K3954" s="0" t="str">
        <f aca="false">"3 %"</f>
        <v>3 %</v>
      </c>
      <c r="O3954" s="0" t="s">
        <v>12975</v>
      </c>
    </row>
    <row r="3955" customFormat="false" ht="13.8" hidden="false" customHeight="false" outlineLevel="0" collapsed="false">
      <c r="A3955" s="0" t="s">
        <v>12976</v>
      </c>
      <c r="F3955" s="0" t="s">
        <v>40</v>
      </c>
      <c r="G3955" s="0" t="n">
        <v>0</v>
      </c>
      <c r="J3955" s="0" t="s">
        <v>40</v>
      </c>
      <c r="K3955" s="0" t="str">
        <f aca="false">"2.7 %"</f>
        <v>2.7 %</v>
      </c>
      <c r="O3955" s="0" t="s">
        <v>12977</v>
      </c>
    </row>
    <row r="3956" customFormat="false" ht="13.8" hidden="false" customHeight="false" outlineLevel="0" collapsed="false">
      <c r="A3956" s="0" t="s">
        <v>12978</v>
      </c>
      <c r="F3956" s="0" t="s">
        <v>40</v>
      </c>
      <c r="G3956" s="0" t="n">
        <v>0</v>
      </c>
      <c r="J3956" s="0" t="s">
        <v>40</v>
      </c>
      <c r="K3956" s="0" t="str">
        <f aca="false">"13.34 %"</f>
        <v>13.34 %</v>
      </c>
      <c r="O3956" s="0" t="s">
        <v>12979</v>
      </c>
    </row>
    <row r="3957" customFormat="false" ht="13.8" hidden="false" customHeight="false" outlineLevel="0" collapsed="false">
      <c r="A3957" s="0" t="s">
        <v>12980</v>
      </c>
      <c r="F3957" s="0" t="s">
        <v>40</v>
      </c>
      <c r="G3957" s="0" t="n">
        <v>0</v>
      </c>
      <c r="J3957" s="0" t="s">
        <v>40</v>
      </c>
      <c r="K3957" s="0" t="str">
        <f aca="false">"1.4 %"</f>
        <v>1.4 %</v>
      </c>
      <c r="L3957" s="0" t="str">
        <f aca="false">"0.605 V"</f>
        <v>0.605 V</v>
      </c>
      <c r="N3957" s="0" t="str">
        <f aca="false">"0.42"</f>
        <v>0.42</v>
      </c>
      <c r="O3957" s="0" t="s">
        <v>12981</v>
      </c>
    </row>
    <row r="3958" customFormat="false" ht="13.8" hidden="false" customHeight="false" outlineLevel="0" collapsed="false">
      <c r="A3958" s="0" t="s">
        <v>12982</v>
      </c>
      <c r="F3958" s="0" t="s">
        <v>40</v>
      </c>
      <c r="G3958" s="0" t="n">
        <v>0</v>
      </c>
      <c r="J3958" s="0" t="s">
        <v>40</v>
      </c>
      <c r="K3958" s="0" t="str">
        <f aca="false">"0.4 %"</f>
        <v>0.4 %</v>
      </c>
      <c r="O3958" s="0" t="s">
        <v>12983</v>
      </c>
    </row>
    <row r="3959" customFormat="false" ht="13.8" hidden="false" customHeight="false" outlineLevel="0" collapsed="false">
      <c r="A3959" s="0" t="s">
        <v>12984</v>
      </c>
      <c r="F3959" s="0" t="s">
        <v>40</v>
      </c>
      <c r="G3959" s="0" t="n">
        <v>0</v>
      </c>
      <c r="J3959" s="0" t="s">
        <v>40</v>
      </c>
      <c r="K3959" s="0" t="str">
        <f aca="false">"0.42 %"</f>
        <v>0.42 %</v>
      </c>
      <c r="O3959" s="0" t="s">
        <v>12985</v>
      </c>
    </row>
    <row r="3960" customFormat="false" ht="13.8" hidden="false" customHeight="false" outlineLevel="0" collapsed="false">
      <c r="A3960" s="0" t="s">
        <v>12986</v>
      </c>
      <c r="F3960" s="0" t="s">
        <v>40</v>
      </c>
      <c r="G3960" s="0" t="n">
        <v>0</v>
      </c>
      <c r="J3960" s="0" t="s">
        <v>40</v>
      </c>
      <c r="K3960" s="0" t="str">
        <f aca="false">"10.8 %"</f>
        <v>10.8 %</v>
      </c>
      <c r="O3960" s="0" t="s">
        <v>12987</v>
      </c>
    </row>
    <row r="3961" customFormat="false" ht="13.8" hidden="false" customHeight="false" outlineLevel="0" collapsed="false">
      <c r="A3961" s="0" t="s">
        <v>12988</v>
      </c>
      <c r="F3961" s="0" t="s">
        <v>40</v>
      </c>
      <c r="G3961" s="0" t="n">
        <v>0</v>
      </c>
      <c r="J3961" s="0" t="s">
        <v>40</v>
      </c>
      <c r="K3961" s="0" t="str">
        <f aca="false">"9.2 %"</f>
        <v>9.2 %</v>
      </c>
      <c r="M3961" s="0" t="str">
        <f aca="false">"25.31 mA cm^{-2}"</f>
        <v>25.31 mA cm^{-2}</v>
      </c>
      <c r="O3961" s="0" t="s">
        <v>12989</v>
      </c>
    </row>
    <row r="3962" customFormat="false" ht="13.8" hidden="false" customHeight="false" outlineLevel="0" collapsed="false">
      <c r="A3962" s="0" t="s">
        <v>12990</v>
      </c>
      <c r="F3962" s="0" t="s">
        <v>40</v>
      </c>
      <c r="G3962" s="0" t="n">
        <v>0</v>
      </c>
      <c r="J3962" s="0" t="s">
        <v>40</v>
      </c>
      <c r="K3962" s="0" t="str">
        <f aca="false">"2.9 %"</f>
        <v>2.9 %</v>
      </c>
      <c r="O3962" s="0" t="s">
        <v>12991</v>
      </c>
    </row>
    <row r="3963" customFormat="false" ht="13.8" hidden="false" customHeight="false" outlineLevel="0" collapsed="false">
      <c r="A3963" s="0" t="s">
        <v>12992</v>
      </c>
      <c r="F3963" s="0" t="s">
        <v>40</v>
      </c>
      <c r="G3963" s="0" t="n">
        <v>0</v>
      </c>
      <c r="J3963" s="0" t="s">
        <v>40</v>
      </c>
      <c r="K3963" s="0" t="str">
        <f aca="false">"4.07 %"</f>
        <v>4.07 %</v>
      </c>
      <c r="O3963" s="0" t="s">
        <v>12993</v>
      </c>
    </row>
    <row r="3964" customFormat="false" ht="13.8" hidden="false" customHeight="false" outlineLevel="0" collapsed="false">
      <c r="A3964" s="0" t="s">
        <v>12994</v>
      </c>
      <c r="F3964" s="0" t="s">
        <v>40</v>
      </c>
      <c r="G3964" s="0" t="n">
        <v>0</v>
      </c>
      <c r="J3964" s="0" t="s">
        <v>40</v>
      </c>
      <c r="K3964" s="0" t="str">
        <f aca="false">"1.34 %"</f>
        <v>1.34 %</v>
      </c>
      <c r="O3964" s="0" t="s">
        <v>12995</v>
      </c>
    </row>
    <row r="3965" customFormat="false" ht="13.8" hidden="false" customHeight="false" outlineLevel="0" collapsed="false">
      <c r="A3965" s="0" t="s">
        <v>12996</v>
      </c>
      <c r="F3965" s="0" t="s">
        <v>40</v>
      </c>
      <c r="G3965" s="0" t="n">
        <v>0</v>
      </c>
      <c r="J3965" s="0" t="s">
        <v>40</v>
      </c>
      <c r="K3965" s="0" t="str">
        <f aca="false">"2.48 %"</f>
        <v>2.48 %</v>
      </c>
      <c r="O3965" s="0" t="s">
        <v>12997</v>
      </c>
    </row>
    <row r="3966" customFormat="false" ht="13.8" hidden="false" customHeight="false" outlineLevel="0" collapsed="false">
      <c r="A3966" s="0" t="s">
        <v>12998</v>
      </c>
      <c r="F3966" s="0" t="s">
        <v>40</v>
      </c>
      <c r="G3966" s="0" t="n">
        <v>0</v>
      </c>
      <c r="J3966" s="0" t="s">
        <v>40</v>
      </c>
      <c r="K3966" s="0" t="str">
        <f aca="false">"6.4 %"</f>
        <v>6.4 %</v>
      </c>
      <c r="O3966" s="0" t="s">
        <v>12999</v>
      </c>
    </row>
    <row r="3967" customFormat="false" ht="13.8" hidden="false" customHeight="false" outlineLevel="0" collapsed="false">
      <c r="A3967" s="0" t="s">
        <v>13000</v>
      </c>
      <c r="F3967" s="0" t="s">
        <v>40</v>
      </c>
      <c r="G3967" s="0" t="n">
        <v>0</v>
      </c>
      <c r="J3967" s="0" t="s">
        <v>40</v>
      </c>
      <c r="K3967" s="0" t="str">
        <f aca="false">"1.05 %"</f>
        <v>1.05 %</v>
      </c>
      <c r="O3967" s="0" t="s">
        <v>13001</v>
      </c>
    </row>
    <row r="3968" customFormat="false" ht="13.8" hidden="false" customHeight="false" outlineLevel="0" collapsed="false">
      <c r="A3968" s="0" t="s">
        <v>13002</v>
      </c>
      <c r="F3968" s="0" t="s">
        <v>40</v>
      </c>
      <c r="G3968" s="0" t="n">
        <v>0</v>
      </c>
      <c r="J3968" s="0" t="s">
        <v>40</v>
      </c>
      <c r="K3968" s="0" t="str">
        <f aca="false">"4.8 %"</f>
        <v>4.8 %</v>
      </c>
      <c r="O3968" s="0" t="s">
        <v>13003</v>
      </c>
    </row>
    <row r="3969" customFormat="false" ht="13.8" hidden="false" customHeight="false" outlineLevel="0" collapsed="false">
      <c r="A3969" s="0" t="s">
        <v>13004</v>
      </c>
      <c r="F3969" s="0" t="s">
        <v>40</v>
      </c>
      <c r="G3969" s="0" t="n">
        <v>0</v>
      </c>
      <c r="J3969" s="0" t="s">
        <v>40</v>
      </c>
      <c r="K3969" s="0" t="str">
        <f aca="false">"12.14 %"</f>
        <v>12.14 %</v>
      </c>
      <c r="O3969" s="0" t="s">
        <v>13005</v>
      </c>
    </row>
    <row r="3970" customFormat="false" ht="13.8" hidden="false" customHeight="false" outlineLevel="0" collapsed="false">
      <c r="A3970" s="0" t="s">
        <v>13006</v>
      </c>
      <c r="F3970" s="0" t="s">
        <v>40</v>
      </c>
      <c r="G3970" s="0" t="n">
        <v>0</v>
      </c>
      <c r="J3970" s="0" t="s">
        <v>40</v>
      </c>
      <c r="K3970" s="0" t="str">
        <f aca="false">"3.17 %"</f>
        <v>3.17 %</v>
      </c>
      <c r="L3970" s="0" t="str">
        <f aca="false">"0.50 V"</f>
        <v>0.50 V</v>
      </c>
      <c r="O3970" s="0" t="s">
        <v>13007</v>
      </c>
    </row>
    <row r="3971" customFormat="false" ht="13.8" hidden="false" customHeight="false" outlineLevel="0" collapsed="false">
      <c r="A3971" s="0" t="s">
        <v>13008</v>
      </c>
      <c r="F3971" s="0" t="s">
        <v>40</v>
      </c>
      <c r="G3971" s="0" t="n">
        <v>0</v>
      </c>
      <c r="J3971" s="0" t="s">
        <v>40</v>
      </c>
      <c r="K3971" s="0" t="str">
        <f aca="false">"7.59 %"</f>
        <v>7.59 %</v>
      </c>
      <c r="O3971" s="0" t="s">
        <v>13009</v>
      </c>
    </row>
    <row r="3972" customFormat="false" ht="13.8" hidden="false" customHeight="false" outlineLevel="0" collapsed="false">
      <c r="A3972" s="0" t="s">
        <v>13010</v>
      </c>
      <c r="F3972" s="0" t="s">
        <v>40</v>
      </c>
      <c r="G3972" s="0" t="n">
        <v>0</v>
      </c>
      <c r="J3972" s="0" t="s">
        <v>40</v>
      </c>
      <c r="K3972" s="0" t="str">
        <f aca="false">"6 %"</f>
        <v>6 %</v>
      </c>
      <c r="O3972" s="0" t="s">
        <v>13011</v>
      </c>
    </row>
    <row r="3973" customFormat="false" ht="13.8" hidden="false" customHeight="false" outlineLevel="0" collapsed="false">
      <c r="A3973" s="0" t="s">
        <v>13012</v>
      </c>
      <c r="F3973" s="0" t="s">
        <v>40</v>
      </c>
      <c r="G3973" s="0" t="n">
        <v>0</v>
      </c>
      <c r="J3973" s="0" t="s">
        <v>40</v>
      </c>
      <c r="K3973" s="0" t="str">
        <f aca="false">"2.4 %"</f>
        <v>2.4 %</v>
      </c>
      <c r="O3973" s="0" t="s">
        <v>13013</v>
      </c>
    </row>
    <row r="3974" customFormat="false" ht="13.8" hidden="false" customHeight="false" outlineLevel="0" collapsed="false">
      <c r="A3974" s="0" t="s">
        <v>13014</v>
      </c>
      <c r="F3974" s="0" t="s">
        <v>40</v>
      </c>
      <c r="G3974" s="0" t="n">
        <v>0</v>
      </c>
      <c r="J3974" s="0" t="s">
        <v>40</v>
      </c>
      <c r="K3974" s="0" t="str">
        <f aca="false">"0.68 %"</f>
        <v>0.68 %</v>
      </c>
      <c r="L3974" s="0" t="str">
        <f aca="false">"0.599 V"</f>
        <v>0.599 V</v>
      </c>
      <c r="M3974" s="0" t="str">
        <f aca="false">"1.89 mA/cm^{2}"</f>
        <v>1.89 mA/cm^{2}</v>
      </c>
      <c r="N3974" s="0" t="str">
        <f aca="false">"60.5 %"</f>
        <v>60.5 %</v>
      </c>
      <c r="O3974" s="0" t="s">
        <v>13015</v>
      </c>
    </row>
    <row r="3975" customFormat="false" ht="13.8" hidden="false" customHeight="false" outlineLevel="0" collapsed="false">
      <c r="A3975" s="0" t="s">
        <v>13016</v>
      </c>
      <c r="F3975" s="0" t="s">
        <v>40</v>
      </c>
      <c r="G3975" s="0" t="n">
        <v>0</v>
      </c>
      <c r="J3975" s="0" t="s">
        <v>40</v>
      </c>
      <c r="K3975" s="0" t="str">
        <f aca="false">"3.137 %"</f>
        <v>3.137 %</v>
      </c>
      <c r="O3975" s="0" t="s">
        <v>13017</v>
      </c>
    </row>
    <row r="3976" customFormat="false" ht="13.8" hidden="false" customHeight="false" outlineLevel="0" collapsed="false">
      <c r="A3976" s="0" t="s">
        <v>13018</v>
      </c>
      <c r="F3976" s="0" t="s">
        <v>40</v>
      </c>
      <c r="G3976" s="0" t="n">
        <v>0</v>
      </c>
      <c r="J3976" s="0" t="s">
        <v>40</v>
      </c>
      <c r="K3976" s="0" t="str">
        <f aca="false">"0.52 %"</f>
        <v>0.52 %</v>
      </c>
      <c r="O3976" s="0" t="s">
        <v>13019</v>
      </c>
    </row>
    <row r="3977" customFormat="false" ht="13.8" hidden="false" customHeight="false" outlineLevel="0" collapsed="false">
      <c r="A3977" s="0" t="s">
        <v>13020</v>
      </c>
      <c r="F3977" s="0" t="s">
        <v>40</v>
      </c>
      <c r="G3977" s="0" t="n">
        <v>0</v>
      </c>
      <c r="J3977" s="0" t="s">
        <v>40</v>
      </c>
      <c r="K3977" s="0" t="str">
        <f aca="false">"1.932 %"</f>
        <v>1.932 %</v>
      </c>
      <c r="O3977" s="0" t="s">
        <v>13021</v>
      </c>
    </row>
    <row r="3978" customFormat="false" ht="13.8" hidden="false" customHeight="false" outlineLevel="0" collapsed="false">
      <c r="A3978" s="0" t="s">
        <v>13022</v>
      </c>
      <c r="F3978" s="0" t="s">
        <v>40</v>
      </c>
      <c r="G3978" s="0" t="n">
        <v>0</v>
      </c>
      <c r="J3978" s="0" t="s">
        <v>40</v>
      </c>
      <c r="K3978" s="0" t="str">
        <f aca="false">"3.5 %"</f>
        <v>3.5 %</v>
      </c>
      <c r="O3978" s="0" t="s">
        <v>13023</v>
      </c>
    </row>
    <row r="3979" customFormat="false" ht="13.8" hidden="false" customHeight="false" outlineLevel="0" collapsed="false">
      <c r="A3979" s="0" t="s">
        <v>13024</v>
      </c>
      <c r="F3979" s="0" t="s">
        <v>40</v>
      </c>
      <c r="G3979" s="0" t="n">
        <v>0</v>
      </c>
      <c r="J3979" s="0" t="s">
        <v>40</v>
      </c>
      <c r="K3979" s="0" t="str">
        <f aca="false">"14.7 %"</f>
        <v>14.7 %</v>
      </c>
      <c r="L3979" s="0" t="str">
        <f aca="false">"0.63 V"</f>
        <v>0.63 V</v>
      </c>
      <c r="M3979" s="0" t="str">
        <f aca="false">"35.7 mA/cm^{2}"</f>
        <v>35.7 mA/cm^{2}</v>
      </c>
      <c r="O3979" s="0" t="s">
        <v>13025</v>
      </c>
    </row>
    <row r="3980" customFormat="false" ht="13.8" hidden="false" customHeight="false" outlineLevel="0" collapsed="false">
      <c r="A3980" s="0" t="s">
        <v>13026</v>
      </c>
      <c r="F3980" s="0" t="s">
        <v>40</v>
      </c>
      <c r="G3980" s="0" t="n">
        <v>0</v>
      </c>
      <c r="J3980" s="0" t="s">
        <v>40</v>
      </c>
      <c r="K3980" s="0" t="str">
        <f aca="false">"6.04 %"</f>
        <v>6.04 %</v>
      </c>
      <c r="M3980" s="0" t="str">
        <f aca="false">"14.68 mA cm^{-2}"</f>
        <v>14.68 mA cm^{-2}</v>
      </c>
      <c r="O3980" s="0" t="s">
        <v>13027</v>
      </c>
    </row>
    <row r="3981" customFormat="false" ht="13.8" hidden="false" customHeight="false" outlineLevel="0" collapsed="false">
      <c r="A3981" s="0" t="s">
        <v>13028</v>
      </c>
      <c r="F3981" s="0" t="s">
        <v>40</v>
      </c>
      <c r="G3981" s="0" t="n">
        <v>0</v>
      </c>
      <c r="J3981" s="0" t="s">
        <v>40</v>
      </c>
      <c r="K3981" s="0" t="str">
        <f aca="false">"7.78 %"</f>
        <v>7.78 %</v>
      </c>
      <c r="M3981" s="0" t="str">
        <f aca="false">"19.25 mA/cm^{2}"</f>
        <v>19.25 mA/cm^{2}</v>
      </c>
      <c r="O3981" s="0" t="s">
        <v>13029</v>
      </c>
    </row>
    <row r="3982" customFormat="false" ht="13.8" hidden="false" customHeight="false" outlineLevel="0" collapsed="false">
      <c r="A3982" s="0" t="s">
        <v>13030</v>
      </c>
      <c r="F3982" s="0" t="s">
        <v>40</v>
      </c>
      <c r="G3982" s="0" t="n">
        <v>0</v>
      </c>
      <c r="J3982" s="0" t="s">
        <v>40</v>
      </c>
      <c r="K3982" s="0" t="str">
        <f aca="false">"4.6 %"</f>
        <v>4.6 %</v>
      </c>
      <c r="O3982" s="0" t="s">
        <v>13031</v>
      </c>
    </row>
    <row r="3983" customFormat="false" ht="13.8" hidden="false" customHeight="false" outlineLevel="0" collapsed="false">
      <c r="A3983" s="0" t="s">
        <v>13032</v>
      </c>
      <c r="F3983" s="0" t="s">
        <v>40</v>
      </c>
      <c r="G3983" s="0" t="n">
        <v>0</v>
      </c>
      <c r="J3983" s="0" t="s">
        <v>40</v>
      </c>
      <c r="K3983" s="0" t="str">
        <f aca="false">"1.98 %"</f>
        <v>1.98 %</v>
      </c>
      <c r="O3983" s="0" t="s">
        <v>13033</v>
      </c>
    </row>
    <row r="3984" customFormat="false" ht="13.8" hidden="false" customHeight="false" outlineLevel="0" collapsed="false">
      <c r="A3984" s="0" t="s">
        <v>13034</v>
      </c>
      <c r="F3984" s="0" t="s">
        <v>40</v>
      </c>
      <c r="G3984" s="0" t="n">
        <v>0</v>
      </c>
      <c r="J3984" s="0" t="s">
        <v>40</v>
      </c>
      <c r="K3984" s="0" t="str">
        <f aca="false">"17.9 %"</f>
        <v>17.9 %</v>
      </c>
      <c r="O3984" s="0" t="s">
        <v>13035</v>
      </c>
    </row>
    <row r="3985" customFormat="false" ht="13.8" hidden="false" customHeight="false" outlineLevel="0" collapsed="false">
      <c r="A3985" s="0" t="s">
        <v>13036</v>
      </c>
      <c r="F3985" s="0" t="s">
        <v>40</v>
      </c>
      <c r="G3985" s="0" t="n">
        <v>0</v>
      </c>
      <c r="J3985" s="0" t="s">
        <v>40</v>
      </c>
      <c r="K3985" s="0" t="str">
        <f aca="false">"5.77 %"</f>
        <v>5.77 %</v>
      </c>
      <c r="O3985" s="0" t="s">
        <v>13037</v>
      </c>
    </row>
    <row r="3986" customFormat="false" ht="13.8" hidden="false" customHeight="false" outlineLevel="0" collapsed="false">
      <c r="A3986" s="0" t="s">
        <v>13038</v>
      </c>
      <c r="F3986" s="0" t="s">
        <v>40</v>
      </c>
      <c r="G3986" s="0" t="n">
        <v>0</v>
      </c>
      <c r="J3986" s="0" t="s">
        <v>40</v>
      </c>
      <c r="K3986" s="0" t="str">
        <f aca="false">"5.68 %"</f>
        <v>5.68 %</v>
      </c>
      <c r="O3986" s="0" t="s">
        <v>13039</v>
      </c>
    </row>
    <row r="3987" customFormat="false" ht="13.8" hidden="false" customHeight="false" outlineLevel="0" collapsed="false">
      <c r="A3987" s="0" t="s">
        <v>13040</v>
      </c>
      <c r="F3987" s="0" t="s">
        <v>40</v>
      </c>
      <c r="G3987" s="0" t="n">
        <v>0</v>
      </c>
      <c r="J3987" s="0" t="s">
        <v>40</v>
      </c>
      <c r="K3987" s="0" t="str">
        <f aca="false">"6.62 %"</f>
        <v>6.62 %</v>
      </c>
      <c r="O3987" s="0" t="s">
        <v>13041</v>
      </c>
    </row>
    <row r="3988" customFormat="false" ht="13.8" hidden="false" customHeight="false" outlineLevel="0" collapsed="false">
      <c r="A3988" s="0" t="s">
        <v>13042</v>
      </c>
      <c r="F3988" s="0" t="s">
        <v>40</v>
      </c>
      <c r="G3988" s="0" t="n">
        <v>0</v>
      </c>
      <c r="J3988" s="0" t="s">
        <v>40</v>
      </c>
      <c r="K3988" s="0" t="str">
        <f aca="false">"0.86 %"</f>
        <v>0.86 %</v>
      </c>
      <c r="L3988" s="0" t="str">
        <f aca="false">"0.44 V"</f>
        <v>0.44 V</v>
      </c>
      <c r="M3988" s="0" t="str">
        <f aca="false">"-6.14 mA/cm^{2}"</f>
        <v>-6.14 mA/cm^{2}</v>
      </c>
      <c r="N3988" s="0" t="str">
        <f aca="false">"0.32"</f>
        <v>0.32</v>
      </c>
      <c r="O3988" s="0" t="s">
        <v>13043</v>
      </c>
    </row>
    <row r="3989" customFormat="false" ht="13.8" hidden="false" customHeight="false" outlineLevel="0" collapsed="false">
      <c r="A3989" s="0" t="s">
        <v>13044</v>
      </c>
      <c r="F3989" s="0" t="s">
        <v>40</v>
      </c>
      <c r="G3989" s="0" t="n">
        <v>0</v>
      </c>
      <c r="J3989" s="0" t="s">
        <v>40</v>
      </c>
      <c r="K3989" s="0" t="str">
        <f aca="false">"12.78 %"</f>
        <v>12.78 %</v>
      </c>
      <c r="O3989" s="0" t="s">
        <v>13045</v>
      </c>
    </row>
    <row r="3990" customFormat="false" ht="13.8" hidden="false" customHeight="false" outlineLevel="0" collapsed="false">
      <c r="A3990" s="0" t="s">
        <v>13046</v>
      </c>
      <c r="F3990" s="0" t="s">
        <v>40</v>
      </c>
      <c r="G3990" s="0" t="n">
        <v>0</v>
      </c>
      <c r="J3990" s="0" t="s">
        <v>40</v>
      </c>
      <c r="K3990" s="0" t="str">
        <f aca="false">"2.0 %"</f>
        <v>2.0 %</v>
      </c>
      <c r="O3990" s="0" t="s">
        <v>13047</v>
      </c>
    </row>
    <row r="3991" customFormat="false" ht="13.8" hidden="false" customHeight="false" outlineLevel="0" collapsed="false">
      <c r="A3991" s="0" t="s">
        <v>13048</v>
      </c>
      <c r="F3991" s="0" t="s">
        <v>40</v>
      </c>
      <c r="G3991" s="0" t="n">
        <v>0</v>
      </c>
      <c r="J3991" s="0" t="s">
        <v>40</v>
      </c>
      <c r="K3991" s="0" t="str">
        <f aca="false">"0.17 %"</f>
        <v>0.17 %</v>
      </c>
      <c r="M3991" s="0" t="str">
        <f aca="false">"1.08 mA/cm^{2}"</f>
        <v>1.08 mA/cm^{2}</v>
      </c>
      <c r="O3991" s="0" t="s">
        <v>13049</v>
      </c>
    </row>
    <row r="3992" customFormat="false" ht="13.8" hidden="false" customHeight="false" outlineLevel="0" collapsed="false">
      <c r="A3992" s="0" t="s">
        <v>13050</v>
      </c>
      <c r="F3992" s="0" t="s">
        <v>40</v>
      </c>
      <c r="G3992" s="0" t="n">
        <v>0</v>
      </c>
      <c r="J3992" s="0" t="s">
        <v>40</v>
      </c>
      <c r="K3992" s="0" t="str">
        <f aca="false">"10.2 %"</f>
        <v>10.2 %</v>
      </c>
      <c r="O3992" s="0" t="s">
        <v>13051</v>
      </c>
    </row>
    <row r="3993" customFormat="false" ht="13.8" hidden="false" customHeight="false" outlineLevel="0" collapsed="false">
      <c r="A3993" s="0" t="s">
        <v>13052</v>
      </c>
      <c r="F3993" s="0" t="s">
        <v>40</v>
      </c>
      <c r="G3993" s="0" t="n">
        <v>0</v>
      </c>
      <c r="J3993" s="0" t="s">
        <v>40</v>
      </c>
      <c r="K3993" s="0" t="str">
        <f aca="false">"5.5 %"</f>
        <v>5.5 %</v>
      </c>
      <c r="O3993" s="0" t="s">
        <v>13053</v>
      </c>
    </row>
    <row r="3994" customFormat="false" ht="13.8" hidden="false" customHeight="false" outlineLevel="0" collapsed="false">
      <c r="A3994" s="0" t="s">
        <v>13054</v>
      </c>
      <c r="F3994" s="0" t="s">
        <v>40</v>
      </c>
      <c r="G3994" s="0" t="n">
        <v>0</v>
      </c>
      <c r="J3994" s="0" t="s">
        <v>40</v>
      </c>
      <c r="K3994" s="0" t="str">
        <f aca="false">"2.7 %"</f>
        <v>2.7 %</v>
      </c>
      <c r="O3994" s="0" t="s">
        <v>13055</v>
      </c>
    </row>
    <row r="3995" customFormat="false" ht="13.8" hidden="false" customHeight="false" outlineLevel="0" collapsed="false">
      <c r="A3995" s="0" t="s">
        <v>13056</v>
      </c>
      <c r="F3995" s="0" t="s">
        <v>40</v>
      </c>
      <c r="G3995" s="0" t="n">
        <v>0</v>
      </c>
      <c r="J3995" s="0" t="s">
        <v>40</v>
      </c>
      <c r="K3995" s="0" t="str">
        <f aca="false">"10.2 %"</f>
        <v>10.2 %</v>
      </c>
      <c r="O3995" s="0" t="s">
        <v>13057</v>
      </c>
    </row>
    <row r="3996" customFormat="false" ht="13.8" hidden="false" customHeight="false" outlineLevel="0" collapsed="false">
      <c r="A3996" s="0" t="s">
        <v>13058</v>
      </c>
      <c r="F3996" s="0" t="s">
        <v>40</v>
      </c>
      <c r="G3996" s="0" t="n">
        <v>0</v>
      </c>
      <c r="J3996" s="0" t="s">
        <v>40</v>
      </c>
      <c r="K3996" s="0" t="str">
        <f aca="false">"10.01 %"</f>
        <v>10.01 %</v>
      </c>
      <c r="O3996" s="0" t="s">
        <v>13059</v>
      </c>
    </row>
    <row r="3997" customFormat="false" ht="13.8" hidden="false" customHeight="false" outlineLevel="0" collapsed="false">
      <c r="A3997" s="0" t="s">
        <v>13058</v>
      </c>
      <c r="D3997" s="0" t="s">
        <v>13060</v>
      </c>
      <c r="F3997" s="0" t="s">
        <v>13061</v>
      </c>
      <c r="G3997" s="0" t="n">
        <v>0</v>
      </c>
      <c r="J3997" s="0" t="s">
        <v>40</v>
      </c>
      <c r="K3997" s="0" t="str">
        <f aca="false">"~10 %"</f>
        <v>~10 %</v>
      </c>
      <c r="O3997" s="0" t="s">
        <v>13062</v>
      </c>
    </row>
    <row r="3998" customFormat="false" ht="13.8" hidden="false" customHeight="false" outlineLevel="0" collapsed="false">
      <c r="A3998" s="0" t="s">
        <v>13063</v>
      </c>
      <c r="F3998" s="0" t="s">
        <v>40</v>
      </c>
      <c r="G3998" s="0" t="n">
        <v>0</v>
      </c>
      <c r="J3998" s="0" t="s">
        <v>40</v>
      </c>
      <c r="K3998" s="0" t="str">
        <f aca="false">"5.29 %"</f>
        <v>5.29 %</v>
      </c>
      <c r="O3998" s="0" t="s">
        <v>13064</v>
      </c>
    </row>
    <row r="3999" customFormat="false" ht="13.8" hidden="false" customHeight="false" outlineLevel="0" collapsed="false">
      <c r="A3999" s="0" t="s">
        <v>13065</v>
      </c>
      <c r="F3999" s="0" t="s">
        <v>40</v>
      </c>
      <c r="G3999" s="0" t="n">
        <v>0</v>
      </c>
      <c r="J3999" s="0" t="s">
        <v>40</v>
      </c>
      <c r="K3999" s="0" t="str">
        <f aca="false">"3.68 %"</f>
        <v>3.68 %</v>
      </c>
      <c r="O3999" s="0" t="s">
        <v>13066</v>
      </c>
    </row>
    <row r="4000" customFormat="false" ht="13.8" hidden="false" customHeight="false" outlineLevel="0" collapsed="false">
      <c r="A4000" s="0" t="s">
        <v>13067</v>
      </c>
      <c r="F4000" s="0" t="s">
        <v>40</v>
      </c>
      <c r="G4000" s="0" t="n">
        <v>0</v>
      </c>
      <c r="J4000" s="0" t="s">
        <v>40</v>
      </c>
      <c r="K4000" s="0" t="str">
        <f aca="false">"12.36 %"</f>
        <v>12.36 %</v>
      </c>
      <c r="O4000" s="0" t="s">
        <v>13068</v>
      </c>
    </row>
    <row r="4001" customFormat="false" ht="13.8" hidden="false" customHeight="false" outlineLevel="0" collapsed="false">
      <c r="A4001" s="0" t="s">
        <v>13069</v>
      </c>
      <c r="F4001" s="0" t="s">
        <v>40</v>
      </c>
      <c r="G4001" s="0" t="n">
        <v>0</v>
      </c>
      <c r="J4001" s="0" t="s">
        <v>40</v>
      </c>
      <c r="K4001" s="0" t="str">
        <f aca="false">"0.95 %"</f>
        <v>0.95 %</v>
      </c>
      <c r="O4001" s="0" t="s">
        <v>13070</v>
      </c>
    </row>
    <row r="4002" customFormat="false" ht="13.8" hidden="false" customHeight="false" outlineLevel="0" collapsed="false">
      <c r="A4002" s="0" t="s">
        <v>13071</v>
      </c>
      <c r="F4002" s="0" t="s">
        <v>40</v>
      </c>
      <c r="G4002" s="0" t="n">
        <v>0</v>
      </c>
      <c r="J4002" s="0" t="s">
        <v>40</v>
      </c>
      <c r="K4002" s="0" t="str">
        <f aca="false">"2.00 %"</f>
        <v>2.00 %</v>
      </c>
      <c r="O4002" s="0" t="s">
        <v>13072</v>
      </c>
    </row>
    <row r="4003" customFormat="false" ht="13.8" hidden="false" customHeight="false" outlineLevel="0" collapsed="false">
      <c r="A4003" s="0" t="s">
        <v>13073</v>
      </c>
      <c r="F4003" s="0" t="s">
        <v>40</v>
      </c>
      <c r="G4003" s="0" t="n">
        <v>0</v>
      </c>
      <c r="J4003" s="0" t="s">
        <v>40</v>
      </c>
      <c r="K4003" s="0" t="str">
        <f aca="false">"6.87 %"</f>
        <v>6.87 %</v>
      </c>
      <c r="M4003" s="0" t="str">
        <f aca="false">"26.7 mA cm^{-2}"</f>
        <v>26.7 mA cm^{-2}</v>
      </c>
      <c r="O4003" s="0" t="s">
        <v>13074</v>
      </c>
    </row>
    <row r="4004" customFormat="false" ht="13.8" hidden="false" customHeight="false" outlineLevel="0" collapsed="false">
      <c r="A4004" s="0" t="s">
        <v>13075</v>
      </c>
      <c r="F4004" s="0" t="s">
        <v>40</v>
      </c>
      <c r="G4004" s="0" t="n">
        <v>0</v>
      </c>
      <c r="J4004" s="0" t="s">
        <v>40</v>
      </c>
      <c r="K4004" s="0" t="str">
        <f aca="false">"12.13 %"</f>
        <v>12.13 %</v>
      </c>
      <c r="O4004" s="0" t="s">
        <v>13076</v>
      </c>
    </row>
    <row r="4005" customFormat="false" ht="13.8" hidden="false" customHeight="false" outlineLevel="0" collapsed="false">
      <c r="A4005" s="0" t="s">
        <v>13075</v>
      </c>
      <c r="D4005" s="0" t="s">
        <v>10553</v>
      </c>
      <c r="E4005" s="0" t="s">
        <v>1169</v>
      </c>
      <c r="F4005" s="0" t="s">
        <v>10769</v>
      </c>
      <c r="G4005" s="0" t="n">
        <v>0</v>
      </c>
      <c r="J4005" s="0" t="s">
        <v>40</v>
      </c>
      <c r="K4005" s="0" t="str">
        <f aca="false">"13.44 %"</f>
        <v>13.44 %</v>
      </c>
      <c r="O4005" s="0" t="s">
        <v>13077</v>
      </c>
    </row>
    <row r="4006" customFormat="false" ht="13.8" hidden="false" customHeight="false" outlineLevel="0" collapsed="false">
      <c r="A4006" s="0" t="s">
        <v>13078</v>
      </c>
      <c r="F4006" s="0" t="s">
        <v>40</v>
      </c>
      <c r="G4006" s="0" t="n">
        <v>0</v>
      </c>
      <c r="J4006" s="0" t="s">
        <v>40</v>
      </c>
      <c r="K4006" s="0" t="str">
        <f aca="false">"3.16 ± 0.15 %"</f>
        <v>3.16 ± 0.15 %</v>
      </c>
      <c r="O4006" s="0" t="s">
        <v>13079</v>
      </c>
    </row>
    <row r="4007" customFormat="false" ht="13.8" hidden="false" customHeight="false" outlineLevel="0" collapsed="false">
      <c r="A4007" s="0" t="s">
        <v>13080</v>
      </c>
      <c r="F4007" s="0" t="s">
        <v>40</v>
      </c>
      <c r="G4007" s="0" t="n">
        <v>0</v>
      </c>
      <c r="J4007" s="0" t="s">
        <v>40</v>
      </c>
      <c r="K4007" s="0" t="str">
        <f aca="false">"1.9 %"</f>
        <v>1.9 %</v>
      </c>
      <c r="O4007" s="0" t="s">
        <v>13081</v>
      </c>
    </row>
    <row r="4008" customFormat="false" ht="13.8" hidden="false" customHeight="false" outlineLevel="0" collapsed="false">
      <c r="A4008" s="0" t="s">
        <v>13082</v>
      </c>
      <c r="F4008" s="0" t="s">
        <v>40</v>
      </c>
      <c r="G4008" s="0" t="n">
        <v>0</v>
      </c>
      <c r="J4008" s="0" t="s">
        <v>40</v>
      </c>
      <c r="K4008" s="0" t="str">
        <f aca="false">"13.46 %"</f>
        <v>13.46 %</v>
      </c>
      <c r="L4008" s="0" t="str">
        <f aca="false">"0.89 V"</f>
        <v>0.89 V</v>
      </c>
      <c r="M4008" s="0" t="str">
        <f aca="false">"21.21 mA cm^{-2}"</f>
        <v>21.21 mA cm^{-2}</v>
      </c>
      <c r="N4008" s="0" t="str">
        <f aca="false">"71.55 %"</f>
        <v>71.55 %</v>
      </c>
      <c r="O4008" s="0" t="s">
        <v>13083</v>
      </c>
    </row>
    <row r="4009" customFormat="false" ht="13.8" hidden="false" customHeight="false" outlineLevel="0" collapsed="false">
      <c r="A4009" s="0" t="s">
        <v>13084</v>
      </c>
      <c r="F4009" s="0" t="s">
        <v>40</v>
      </c>
      <c r="G4009" s="0" t="n">
        <v>0</v>
      </c>
      <c r="J4009" s="0" t="s">
        <v>40</v>
      </c>
      <c r="K4009" s="0" t="str">
        <f aca="false">"0.10 %"</f>
        <v>0.10 %</v>
      </c>
      <c r="O4009" s="0" t="s">
        <v>13085</v>
      </c>
    </row>
    <row r="4010" customFormat="false" ht="13.8" hidden="false" customHeight="false" outlineLevel="0" collapsed="false">
      <c r="A4010" s="0" t="s">
        <v>13086</v>
      </c>
      <c r="F4010" s="0" t="s">
        <v>40</v>
      </c>
      <c r="G4010" s="0" t="n">
        <v>0</v>
      </c>
      <c r="J4010" s="0" t="s">
        <v>40</v>
      </c>
      <c r="K4010" s="0" t="str">
        <f aca="false">"1.5 %"</f>
        <v>1.5 %</v>
      </c>
      <c r="L4010" s="0" t="str">
        <f aca="false">"0.57 V"</f>
        <v>0.57 V</v>
      </c>
      <c r="O4010" s="0" t="s">
        <v>13087</v>
      </c>
    </row>
    <row r="4011" customFormat="false" ht="13.8" hidden="false" customHeight="false" outlineLevel="0" collapsed="false">
      <c r="A4011" s="0" t="s">
        <v>13088</v>
      </c>
      <c r="F4011" s="0" t="s">
        <v>40</v>
      </c>
      <c r="G4011" s="0" t="n">
        <v>0</v>
      </c>
      <c r="J4011" s="0" t="s">
        <v>40</v>
      </c>
      <c r="K4011" s="0" t="str">
        <f aca="false">"3.25 %"</f>
        <v>3.25 %</v>
      </c>
      <c r="O4011" s="0" t="s">
        <v>13089</v>
      </c>
    </row>
    <row r="4012" customFormat="false" ht="13.8" hidden="false" customHeight="false" outlineLevel="0" collapsed="false">
      <c r="A4012" s="0" t="s">
        <v>13090</v>
      </c>
      <c r="F4012" s="0" t="s">
        <v>40</v>
      </c>
      <c r="G4012" s="0" t="n">
        <v>0</v>
      </c>
      <c r="J4012" s="0" t="s">
        <v>40</v>
      </c>
      <c r="K4012" s="0" t="str">
        <f aca="false">"3.0 %"</f>
        <v>3.0 %</v>
      </c>
      <c r="O4012" s="0" t="s">
        <v>13091</v>
      </c>
    </row>
    <row r="4013" customFormat="false" ht="13.8" hidden="false" customHeight="false" outlineLevel="0" collapsed="false">
      <c r="A4013" s="0" t="s">
        <v>13092</v>
      </c>
      <c r="F4013" s="0" t="s">
        <v>40</v>
      </c>
      <c r="G4013" s="0" t="n">
        <v>0</v>
      </c>
      <c r="J4013" s="0" t="s">
        <v>40</v>
      </c>
      <c r="K4013" s="0" t="str">
        <f aca="false">"0.4-1.09 %"</f>
        <v>0.4-1.09 %</v>
      </c>
      <c r="O4013" s="0" t="s">
        <v>13093</v>
      </c>
    </row>
    <row r="4014" customFormat="false" ht="13.8" hidden="false" customHeight="false" outlineLevel="0" collapsed="false">
      <c r="A4014" s="0" t="s">
        <v>13094</v>
      </c>
      <c r="F4014" s="0" t="s">
        <v>40</v>
      </c>
      <c r="G4014" s="0" t="n">
        <v>0</v>
      </c>
      <c r="J4014" s="0" t="s">
        <v>40</v>
      </c>
      <c r="K4014" s="0" t="str">
        <f aca="false">"0.4 %"</f>
        <v>0.4 %</v>
      </c>
      <c r="O4014" s="0" t="s">
        <v>13095</v>
      </c>
    </row>
    <row r="4015" customFormat="false" ht="13.8" hidden="false" customHeight="false" outlineLevel="0" collapsed="false">
      <c r="A4015" s="0" t="s">
        <v>13096</v>
      </c>
      <c r="F4015" s="0" t="s">
        <v>40</v>
      </c>
      <c r="G4015" s="0" t="n">
        <v>0</v>
      </c>
      <c r="J4015" s="0" t="s">
        <v>40</v>
      </c>
      <c r="K4015" s="0" t="str">
        <f aca="false">"13.5 %"</f>
        <v>13.5 %</v>
      </c>
      <c r="O4015" s="0" t="s">
        <v>13097</v>
      </c>
    </row>
    <row r="4016" customFormat="false" ht="13.8" hidden="false" customHeight="false" outlineLevel="0" collapsed="false">
      <c r="A4016" s="0" t="s">
        <v>13098</v>
      </c>
      <c r="F4016" s="0" t="s">
        <v>40</v>
      </c>
      <c r="G4016" s="0" t="n">
        <v>0</v>
      </c>
      <c r="J4016" s="0" t="s">
        <v>40</v>
      </c>
      <c r="K4016" s="0" t="str">
        <f aca="false">"8.5 %"</f>
        <v>8.5 %</v>
      </c>
      <c r="O4016" s="0" t="s">
        <v>13099</v>
      </c>
    </row>
    <row r="4017" customFormat="false" ht="13.8" hidden="false" customHeight="false" outlineLevel="0" collapsed="false">
      <c r="A4017" s="0" t="s">
        <v>13098</v>
      </c>
      <c r="D4017" s="0" t="s">
        <v>13100</v>
      </c>
      <c r="F4017" s="0" t="s">
        <v>13101</v>
      </c>
      <c r="G4017" s="0" t="n">
        <v>0</v>
      </c>
      <c r="J4017" s="0" t="s">
        <v>40</v>
      </c>
      <c r="K4017" s="0" t="str">
        <f aca="false">"7.2 %"</f>
        <v>7.2 %</v>
      </c>
      <c r="O4017" s="0" t="s">
        <v>13102</v>
      </c>
    </row>
    <row r="4018" customFormat="false" ht="13.8" hidden="false" customHeight="false" outlineLevel="0" collapsed="false">
      <c r="A4018" s="0" t="s">
        <v>13103</v>
      </c>
      <c r="F4018" s="0" t="s">
        <v>40</v>
      </c>
      <c r="G4018" s="0" t="n">
        <v>0</v>
      </c>
      <c r="J4018" s="0" t="s">
        <v>40</v>
      </c>
      <c r="K4018" s="0" t="str">
        <f aca="false">"2.17 %"</f>
        <v>2.17 %</v>
      </c>
      <c r="O4018" s="0" t="s">
        <v>13104</v>
      </c>
    </row>
    <row r="4019" customFormat="false" ht="13.8" hidden="false" customHeight="false" outlineLevel="0" collapsed="false">
      <c r="A4019" s="0" t="s">
        <v>13105</v>
      </c>
      <c r="F4019" s="0" t="s">
        <v>40</v>
      </c>
      <c r="G4019" s="0" t="n">
        <v>0</v>
      </c>
      <c r="J4019" s="0" t="s">
        <v>40</v>
      </c>
      <c r="K4019" s="0" t="str">
        <f aca="false">"9.05 %"</f>
        <v>9.05 %</v>
      </c>
      <c r="O4019" s="0" t="s">
        <v>13106</v>
      </c>
    </row>
    <row r="4020" customFormat="false" ht="13.8" hidden="false" customHeight="false" outlineLevel="0" collapsed="false">
      <c r="A4020" s="0" t="s">
        <v>13107</v>
      </c>
      <c r="F4020" s="0" t="s">
        <v>40</v>
      </c>
      <c r="G4020" s="0" t="n">
        <v>0</v>
      </c>
      <c r="J4020" s="0" t="s">
        <v>40</v>
      </c>
      <c r="K4020" s="0" t="str">
        <f aca="false">"7.6 %"</f>
        <v>7.6 %</v>
      </c>
      <c r="O4020" s="0" t="s">
        <v>13108</v>
      </c>
    </row>
    <row r="4021" customFormat="false" ht="13.8" hidden="false" customHeight="false" outlineLevel="0" collapsed="false">
      <c r="A4021" s="0" t="s">
        <v>13109</v>
      </c>
      <c r="F4021" s="0" t="s">
        <v>40</v>
      </c>
      <c r="G4021" s="0" t="n">
        <v>0</v>
      </c>
      <c r="J4021" s="0" t="s">
        <v>40</v>
      </c>
      <c r="K4021" s="0" t="str">
        <f aca="false">"15.51 %"</f>
        <v>15.51 %</v>
      </c>
      <c r="O4021" s="0" t="s">
        <v>13110</v>
      </c>
    </row>
    <row r="4022" customFormat="false" ht="13.8" hidden="false" customHeight="false" outlineLevel="0" collapsed="false">
      <c r="A4022" s="0" t="s">
        <v>13111</v>
      </c>
      <c r="F4022" s="0" t="s">
        <v>40</v>
      </c>
      <c r="G4022" s="0" t="n">
        <v>0</v>
      </c>
      <c r="J4022" s="0" t="s">
        <v>40</v>
      </c>
      <c r="K4022" s="0" t="str">
        <f aca="false">"11.4 %"</f>
        <v>11.4 %</v>
      </c>
      <c r="L4022" s="0" t="str">
        <f aca="false">"0.58 V"</f>
        <v>0.58 V</v>
      </c>
      <c r="M4022" s="0" t="str">
        <f aca="false">"29.7 mA/cm^{2}"</f>
        <v>29.7 mA/cm^{2}</v>
      </c>
      <c r="N4022" s="0" t="str">
        <f aca="false">"0.71"</f>
        <v>0.71</v>
      </c>
      <c r="O4022" s="0" t="s">
        <v>13112</v>
      </c>
    </row>
    <row r="4023" customFormat="false" ht="13.8" hidden="false" customHeight="false" outlineLevel="0" collapsed="false">
      <c r="A4023" s="0" t="s">
        <v>13113</v>
      </c>
      <c r="F4023" s="0" t="s">
        <v>40</v>
      </c>
      <c r="G4023" s="0" t="n">
        <v>0</v>
      </c>
      <c r="J4023" s="0" t="s">
        <v>40</v>
      </c>
      <c r="K4023" s="0" t="str">
        <f aca="false">"3.6 %"</f>
        <v>3.6 %</v>
      </c>
      <c r="O4023" s="0" t="s">
        <v>13114</v>
      </c>
    </row>
    <row r="4024" customFormat="false" ht="13.8" hidden="false" customHeight="false" outlineLevel="0" collapsed="false">
      <c r="A4024" s="0" t="s">
        <v>13115</v>
      </c>
      <c r="F4024" s="0" t="s">
        <v>40</v>
      </c>
      <c r="G4024" s="0" t="n">
        <v>0</v>
      </c>
      <c r="J4024" s="0" t="s">
        <v>40</v>
      </c>
      <c r="K4024" s="0" t="str">
        <f aca="false">"3.5 %"</f>
        <v>3.5 %</v>
      </c>
      <c r="O4024" s="0" t="s">
        <v>13116</v>
      </c>
    </row>
    <row r="4025" customFormat="false" ht="13.8" hidden="false" customHeight="false" outlineLevel="0" collapsed="false">
      <c r="A4025" s="0" t="s">
        <v>13117</v>
      </c>
      <c r="F4025" s="0" t="s">
        <v>40</v>
      </c>
      <c r="G4025" s="0" t="n">
        <v>0</v>
      </c>
      <c r="J4025" s="0" t="s">
        <v>40</v>
      </c>
      <c r="K4025" s="0" t="str">
        <f aca="false">"4.26 %"</f>
        <v>4.26 %</v>
      </c>
      <c r="L4025" s="0" t="str">
        <f aca="false">"664 mV"</f>
        <v>664 mV</v>
      </c>
      <c r="O4025" s="0" t="s">
        <v>13118</v>
      </c>
    </row>
    <row r="4026" customFormat="false" ht="13.8" hidden="false" customHeight="false" outlineLevel="0" collapsed="false">
      <c r="A4026" s="0" t="s">
        <v>13119</v>
      </c>
      <c r="F4026" s="0" t="s">
        <v>40</v>
      </c>
      <c r="G4026" s="0" t="n">
        <v>0</v>
      </c>
      <c r="J4026" s="0" t="s">
        <v>40</v>
      </c>
      <c r="K4026" s="0" t="str">
        <f aca="false">"10.3 %"</f>
        <v>10.3 %</v>
      </c>
      <c r="O4026" s="0" t="s">
        <v>13120</v>
      </c>
    </row>
    <row r="4027" customFormat="false" ht="13.8" hidden="false" customHeight="false" outlineLevel="0" collapsed="false">
      <c r="A4027" s="0" t="s">
        <v>13121</v>
      </c>
      <c r="F4027" s="0" t="s">
        <v>40</v>
      </c>
      <c r="G4027" s="0" t="n">
        <v>0</v>
      </c>
      <c r="J4027" s="0" t="s">
        <v>40</v>
      </c>
      <c r="K4027" s="0" t="str">
        <f aca="false">"10.6 %"</f>
        <v>10.6 %</v>
      </c>
      <c r="O4027" s="0" t="s">
        <v>13122</v>
      </c>
    </row>
    <row r="4028" customFormat="false" ht="13.8" hidden="false" customHeight="false" outlineLevel="0" collapsed="false">
      <c r="A4028" s="0" t="s">
        <v>13123</v>
      </c>
      <c r="F4028" s="0" t="s">
        <v>40</v>
      </c>
      <c r="G4028" s="0" t="n">
        <v>0</v>
      </c>
      <c r="J4028" s="0" t="s">
        <v>40</v>
      </c>
      <c r="K4028" s="0" t="str">
        <f aca="false">"8 %"</f>
        <v>8 %</v>
      </c>
      <c r="O4028" s="0" t="s">
        <v>13124</v>
      </c>
    </row>
    <row r="4029" customFormat="false" ht="13.8" hidden="false" customHeight="false" outlineLevel="0" collapsed="false">
      <c r="A4029" s="0" t="s">
        <v>13125</v>
      </c>
      <c r="F4029" s="0" t="s">
        <v>40</v>
      </c>
      <c r="G4029" s="0" t="n">
        <v>0</v>
      </c>
      <c r="J4029" s="0" t="s">
        <v>40</v>
      </c>
      <c r="K4029" s="0" t="str">
        <f aca="false">"0.12 %"</f>
        <v>0.12 %</v>
      </c>
      <c r="O4029" s="0" t="s">
        <v>13126</v>
      </c>
    </row>
    <row r="4030" customFormat="false" ht="13.8" hidden="false" customHeight="false" outlineLevel="0" collapsed="false">
      <c r="A4030" s="0" t="s">
        <v>13127</v>
      </c>
      <c r="F4030" s="0" t="s">
        <v>40</v>
      </c>
      <c r="G4030" s="0" t="n">
        <v>0</v>
      </c>
      <c r="J4030" s="0" t="s">
        <v>40</v>
      </c>
      <c r="K4030" s="0" t="str">
        <f aca="false">"12.5 %"</f>
        <v>12.5 %</v>
      </c>
      <c r="O4030" s="0" t="s">
        <v>13128</v>
      </c>
    </row>
    <row r="4031" customFormat="false" ht="13.8" hidden="false" customHeight="false" outlineLevel="0" collapsed="false">
      <c r="A4031" s="0" t="s">
        <v>13129</v>
      </c>
      <c r="F4031" s="0" t="s">
        <v>40</v>
      </c>
      <c r="G4031" s="0" t="n">
        <v>0</v>
      </c>
      <c r="J4031" s="0" t="s">
        <v>40</v>
      </c>
      <c r="K4031" s="0" t="str">
        <f aca="false">"~3.3 %"</f>
        <v>~3.3 %</v>
      </c>
      <c r="O4031" s="0" t="s">
        <v>13130</v>
      </c>
    </row>
    <row r="4032" customFormat="false" ht="13.8" hidden="false" customHeight="false" outlineLevel="0" collapsed="false">
      <c r="A4032" s="0" t="s">
        <v>13131</v>
      </c>
      <c r="F4032" s="0" t="s">
        <v>40</v>
      </c>
      <c r="G4032" s="0" t="n">
        <v>0</v>
      </c>
      <c r="J4032" s="0" t="s">
        <v>40</v>
      </c>
      <c r="K4032" s="0" t="str">
        <f aca="false">"1.66 %"</f>
        <v>1.66 %</v>
      </c>
      <c r="O4032" s="0" t="s">
        <v>13132</v>
      </c>
    </row>
    <row r="4033" customFormat="false" ht="13.8" hidden="false" customHeight="false" outlineLevel="0" collapsed="false">
      <c r="A4033" s="0" t="s">
        <v>13133</v>
      </c>
      <c r="F4033" s="0" t="s">
        <v>40</v>
      </c>
      <c r="G4033" s="0" t="n">
        <v>0</v>
      </c>
      <c r="J4033" s="0" t="s">
        <v>40</v>
      </c>
      <c r="K4033" s="0" t="str">
        <f aca="false">"12.9 %"</f>
        <v>12.9 %</v>
      </c>
      <c r="O4033" s="0" t="s">
        <v>13134</v>
      </c>
    </row>
    <row r="4034" customFormat="false" ht="13.8" hidden="false" customHeight="false" outlineLevel="0" collapsed="false">
      <c r="A4034" s="0" t="s">
        <v>13135</v>
      </c>
      <c r="F4034" s="0" t="s">
        <v>40</v>
      </c>
      <c r="G4034" s="0" t="n">
        <v>0</v>
      </c>
      <c r="J4034" s="0" t="s">
        <v>40</v>
      </c>
      <c r="K4034" s="0" t="str">
        <f aca="false">"2.9 %"</f>
        <v>2.9 %</v>
      </c>
      <c r="O4034" s="0" t="s">
        <v>13136</v>
      </c>
    </row>
    <row r="4035" customFormat="false" ht="13.8" hidden="false" customHeight="false" outlineLevel="0" collapsed="false">
      <c r="A4035" s="0" t="s">
        <v>13137</v>
      </c>
      <c r="F4035" s="0" t="s">
        <v>40</v>
      </c>
      <c r="G4035" s="0" t="n">
        <v>0</v>
      </c>
      <c r="J4035" s="0" t="s">
        <v>40</v>
      </c>
      <c r="K4035" s="0" t="str">
        <f aca="false">"~3.03 %"</f>
        <v>~3.03 %</v>
      </c>
      <c r="L4035" s="0" t="str">
        <f aca="false">"0.60 V"</f>
        <v>0.60 V</v>
      </c>
      <c r="M4035" s="0" t="str">
        <f aca="false">"9.07 mA/cm^{2}"</f>
        <v>9.07 mA/cm^{2}</v>
      </c>
      <c r="N4035" s="0" t="str">
        <f aca="false">"55.7 %"</f>
        <v>55.7 %</v>
      </c>
      <c r="O4035" s="0" t="s">
        <v>13138</v>
      </c>
    </row>
    <row r="4036" customFormat="false" ht="13.8" hidden="false" customHeight="false" outlineLevel="0" collapsed="false">
      <c r="A4036" s="0" t="s">
        <v>13139</v>
      </c>
      <c r="F4036" s="0" t="s">
        <v>40</v>
      </c>
      <c r="G4036" s="0" t="n">
        <v>0</v>
      </c>
      <c r="J4036" s="0" t="s">
        <v>40</v>
      </c>
      <c r="K4036" s="0" t="str">
        <f aca="false">"3.2 %"</f>
        <v>3.2 %</v>
      </c>
      <c r="O4036" s="0" t="s">
        <v>13140</v>
      </c>
    </row>
    <row r="4037" customFormat="false" ht="13.8" hidden="false" customHeight="false" outlineLevel="0" collapsed="false">
      <c r="A4037" s="0" t="s">
        <v>13141</v>
      </c>
      <c r="F4037" s="0" t="s">
        <v>40</v>
      </c>
      <c r="G4037" s="0" t="n">
        <v>0</v>
      </c>
      <c r="J4037" s="0" t="s">
        <v>40</v>
      </c>
      <c r="O4037" s="0" t="s">
        <v>13142</v>
      </c>
    </row>
    <row r="4038" customFormat="false" ht="13.8" hidden="false" customHeight="false" outlineLevel="0" collapsed="false">
      <c r="A4038" s="0" t="s">
        <v>13141</v>
      </c>
      <c r="D4038" s="0" t="s">
        <v>109</v>
      </c>
      <c r="E4038" s="0" t="s">
        <v>110</v>
      </c>
      <c r="F4038" s="0" t="s">
        <v>111</v>
      </c>
      <c r="G4038" s="0" t="n">
        <v>0</v>
      </c>
      <c r="J4038" s="0" t="s">
        <v>40</v>
      </c>
      <c r="K4038" s="0" t="str">
        <f aca="false">"0.23 %"</f>
        <v>0.23 %</v>
      </c>
      <c r="L4038" s="0" t="str">
        <f aca="false">"730 mV"</f>
        <v>730 mV</v>
      </c>
      <c r="O4038" s="0" t="s">
        <v>13143</v>
      </c>
    </row>
    <row r="4039" customFormat="false" ht="13.8" hidden="false" customHeight="false" outlineLevel="0" collapsed="false">
      <c r="A4039" s="0" t="s">
        <v>13144</v>
      </c>
      <c r="F4039" s="0" t="s">
        <v>40</v>
      </c>
      <c r="G4039" s="0" t="n">
        <v>0</v>
      </c>
      <c r="J4039" s="0" t="s">
        <v>40</v>
      </c>
      <c r="K4039" s="0" t="str">
        <f aca="false">"0.84 %"</f>
        <v>0.84 %</v>
      </c>
      <c r="O4039" s="0" t="s">
        <v>13145</v>
      </c>
    </row>
    <row r="4040" customFormat="false" ht="13.8" hidden="false" customHeight="false" outlineLevel="0" collapsed="false">
      <c r="A4040" s="0" t="s">
        <v>13146</v>
      </c>
      <c r="F4040" s="0" t="s">
        <v>40</v>
      </c>
      <c r="G4040" s="0" t="n">
        <v>0</v>
      </c>
      <c r="J4040" s="0" t="s">
        <v>40</v>
      </c>
      <c r="K4040" s="0" t="str">
        <f aca="false">"0.98 %"</f>
        <v>0.98 %</v>
      </c>
      <c r="O4040" s="0" t="s">
        <v>13147</v>
      </c>
    </row>
    <row r="4041" customFormat="false" ht="13.8" hidden="false" customHeight="false" outlineLevel="0" collapsed="false">
      <c r="A4041" s="0" t="s">
        <v>13148</v>
      </c>
      <c r="F4041" s="0" t="s">
        <v>40</v>
      </c>
      <c r="G4041" s="0" t="n">
        <v>0</v>
      </c>
      <c r="J4041" s="0" t="s">
        <v>40</v>
      </c>
      <c r="K4041" s="0" t="str">
        <f aca="false">"5.86 %"</f>
        <v>5.86 %</v>
      </c>
      <c r="O4041" s="0" t="s">
        <v>13149</v>
      </c>
    </row>
    <row r="4042" customFormat="false" ht="13.8" hidden="false" customHeight="false" outlineLevel="0" collapsed="false">
      <c r="A4042" s="0" t="s">
        <v>13150</v>
      </c>
      <c r="F4042" s="0" t="s">
        <v>40</v>
      </c>
      <c r="G4042" s="0" t="n">
        <v>0</v>
      </c>
      <c r="J4042" s="0" t="s">
        <v>40</v>
      </c>
      <c r="K4042" s="0" t="str">
        <f aca="false">"16.42 %"</f>
        <v>16.42 %</v>
      </c>
      <c r="O4042" s="0" t="s">
        <v>13151</v>
      </c>
    </row>
    <row r="4043" customFormat="false" ht="13.8" hidden="false" customHeight="false" outlineLevel="0" collapsed="false">
      <c r="A4043" s="0" t="s">
        <v>13152</v>
      </c>
      <c r="F4043" s="0" t="s">
        <v>40</v>
      </c>
      <c r="G4043" s="0" t="n">
        <v>0</v>
      </c>
      <c r="J4043" s="0" t="s">
        <v>40</v>
      </c>
      <c r="K4043" s="0" t="str">
        <f aca="false">"14 %"</f>
        <v>14 %</v>
      </c>
      <c r="O4043" s="0" t="s">
        <v>13153</v>
      </c>
    </row>
    <row r="4044" customFormat="false" ht="13.8" hidden="false" customHeight="false" outlineLevel="0" collapsed="false">
      <c r="A4044" s="0" t="s">
        <v>13154</v>
      </c>
      <c r="F4044" s="0" t="s">
        <v>40</v>
      </c>
      <c r="G4044" s="0" t="n">
        <v>0</v>
      </c>
      <c r="J4044" s="0" t="s">
        <v>40</v>
      </c>
      <c r="K4044" s="0" t="str">
        <f aca="false">"0.95 %"</f>
        <v>0.95 %</v>
      </c>
      <c r="O4044" s="0" t="s">
        <v>13155</v>
      </c>
    </row>
    <row r="4045" customFormat="false" ht="13.8" hidden="false" customHeight="false" outlineLevel="0" collapsed="false">
      <c r="A4045" s="0" t="s">
        <v>13156</v>
      </c>
      <c r="F4045" s="0" t="s">
        <v>40</v>
      </c>
      <c r="G4045" s="0" t="n">
        <v>0</v>
      </c>
      <c r="J4045" s="0" t="s">
        <v>40</v>
      </c>
      <c r="K4045" s="0" t="str">
        <f aca="false">"800 %"</f>
        <v>800 %</v>
      </c>
      <c r="O4045" s="0" t="s">
        <v>13157</v>
      </c>
    </row>
    <row r="4046" customFormat="false" ht="13.8" hidden="false" customHeight="false" outlineLevel="0" collapsed="false">
      <c r="A4046" s="0" t="s">
        <v>13158</v>
      </c>
      <c r="F4046" s="0" t="s">
        <v>40</v>
      </c>
      <c r="G4046" s="0" t="n">
        <v>0</v>
      </c>
      <c r="J4046" s="0" t="s">
        <v>40</v>
      </c>
      <c r="K4046" s="0" t="str">
        <f aca="false">"15.03 %"</f>
        <v>15.03 %</v>
      </c>
      <c r="O4046" s="0" t="s">
        <v>13159</v>
      </c>
    </row>
    <row r="4047" customFormat="false" ht="13.8" hidden="false" customHeight="false" outlineLevel="0" collapsed="false">
      <c r="A4047" s="0" t="s">
        <v>13160</v>
      </c>
      <c r="F4047" s="0" t="s">
        <v>40</v>
      </c>
      <c r="G4047" s="0" t="n">
        <v>0</v>
      </c>
      <c r="J4047" s="0" t="s">
        <v>40</v>
      </c>
      <c r="K4047" s="0" t="str">
        <f aca="false">"8.31 %"</f>
        <v>8.31 %</v>
      </c>
      <c r="O4047" s="0" t="s">
        <v>13161</v>
      </c>
    </row>
    <row r="4048" customFormat="false" ht="13.8" hidden="false" customHeight="false" outlineLevel="0" collapsed="false">
      <c r="A4048" s="0" t="s">
        <v>13160</v>
      </c>
      <c r="D4048" s="0" t="s">
        <v>13162</v>
      </c>
      <c r="E4048" s="0" t="s">
        <v>9424</v>
      </c>
      <c r="F4048" s="0" t="s">
        <v>13163</v>
      </c>
      <c r="G4048" s="0" t="n">
        <v>0</v>
      </c>
      <c r="J4048" s="0" t="s">
        <v>40</v>
      </c>
      <c r="K4048" s="0" t="str">
        <f aca="false">"8.94 %"</f>
        <v>8.94 %</v>
      </c>
      <c r="O4048" s="0" t="s">
        <v>13164</v>
      </c>
    </row>
    <row r="4049" customFormat="false" ht="13.8" hidden="false" customHeight="false" outlineLevel="0" collapsed="false">
      <c r="A4049" s="0" t="s">
        <v>13165</v>
      </c>
      <c r="F4049" s="0" t="s">
        <v>40</v>
      </c>
      <c r="G4049" s="0" t="n">
        <v>0</v>
      </c>
      <c r="J4049" s="0" t="s">
        <v>40</v>
      </c>
      <c r="K4049" s="0" t="str">
        <f aca="false">"~ 6 %"</f>
        <v>~ 6 %</v>
      </c>
      <c r="O4049" s="0" t="s">
        <v>13166</v>
      </c>
    </row>
    <row r="4050" customFormat="false" ht="13.8" hidden="false" customHeight="false" outlineLevel="0" collapsed="false">
      <c r="A4050" s="0" t="s">
        <v>13167</v>
      </c>
      <c r="F4050" s="0" t="s">
        <v>40</v>
      </c>
      <c r="G4050" s="0" t="n">
        <v>0</v>
      </c>
      <c r="J4050" s="0" t="s">
        <v>40</v>
      </c>
      <c r="K4050" s="0" t="str">
        <f aca="false">"16 %"</f>
        <v>16 %</v>
      </c>
      <c r="O4050" s="0" t="s">
        <v>13168</v>
      </c>
    </row>
    <row r="4051" customFormat="false" ht="13.8" hidden="false" customHeight="false" outlineLevel="0" collapsed="false">
      <c r="A4051" s="0" t="s">
        <v>13169</v>
      </c>
      <c r="F4051" s="0" t="s">
        <v>40</v>
      </c>
      <c r="G4051" s="0" t="n">
        <v>0</v>
      </c>
      <c r="J4051" s="0" t="s">
        <v>40</v>
      </c>
      <c r="K4051" s="0" t="str">
        <f aca="false">"7.20 %"</f>
        <v>7.20 %</v>
      </c>
      <c r="O4051" s="0" t="s">
        <v>13170</v>
      </c>
    </row>
    <row r="4052" customFormat="false" ht="13.8" hidden="false" customHeight="false" outlineLevel="0" collapsed="false">
      <c r="A4052" s="0" t="s">
        <v>13171</v>
      </c>
      <c r="F4052" s="0" t="s">
        <v>40</v>
      </c>
      <c r="G4052" s="0" t="n">
        <v>0</v>
      </c>
      <c r="J4052" s="0" t="s">
        <v>40</v>
      </c>
      <c r="K4052" s="0" t="str">
        <f aca="false">"2.83 %"</f>
        <v>2.83 %</v>
      </c>
      <c r="O4052" s="0" t="s">
        <v>13172</v>
      </c>
    </row>
  </sheetData>
  <hyperlinks>
    <hyperlink ref="D1475" r:id="rId1" display="PffQx-m-fPO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2022-05-20T19:58:48Z</dcterms:created>
  <dc:creator/>
  <dc:description/>
  <dc:language>en-US</dc:language>
  <cp:lastModifiedBy/>
  <dcterms:modified xsi:type="dcterms:W3CDTF">2024-02-13T00:59:23Z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