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esume&amp;Experience\"/>
    </mc:Choice>
  </mc:AlternateContent>
  <xr:revisionPtr revIDLastSave="0" documentId="13_ncr:1_{BA611786-40C8-47D8-A85B-C2463069E252}" xr6:coauthVersionLast="47" xr6:coauthVersionMax="47" xr10:uidLastSave="{00000000-0000-0000-0000-000000000000}"/>
  <bookViews>
    <workbookView xWindow="-120" yWindow="-120" windowWidth="20640" windowHeight="11040" firstSheet="5" activeTab="9" xr2:uid="{E91DB310-A42E-4F71-9E2F-F39FE0016139}"/>
  </bookViews>
  <sheets>
    <sheet name="Historical FS" sheetId="8" r:id="rId1"/>
    <sheet name="Sheet1" sheetId="20" r:id="rId2"/>
    <sheet name="forecasting " sheetId="12" r:id="rId3"/>
    <sheet name="WACC" sheetId="13" r:id="rId4"/>
    <sheet name="Ratio Analysis " sheetId="11" r:id="rId5"/>
    <sheet name="beta calculation" sheetId="15" r:id="rId6"/>
    <sheet name="Common Statement " sheetId="16" r:id="rId7"/>
    <sheet name="Rw&gt;" sheetId="17" r:id="rId8"/>
    <sheet name="Intrinsic Growth" sheetId="18" r:id="rId9"/>
    <sheet name="FCFF" sheetId="19" r:id="rId10"/>
    <sheet name="Data Sheet" sheetId="2" r:id="rId11"/>
    <sheet name="cash flow data  (2)" sheetId="10" r:id="rId12"/>
    <sheet name="Beta for bottom " sheetId="14" r:id="rId13"/>
    <sheet name="practice sheet " sheetId="1" r:id="rId14"/>
  </sheets>
  <definedNames>
    <definedName name="_xlnm._FilterDatabase" localSheetId="5" hidden="1">'beta calculation'!$B$6:$C$6</definedName>
    <definedName name="_xlnm._FilterDatabase" localSheetId="12" hidden="1">'Beta for bottom '!$B$2:$G$7</definedName>
    <definedName name="Beta">'practice sheet '!$C$11</definedName>
    <definedName name="CostofDebt">'practice sheet '!$C$12</definedName>
    <definedName name="DebtValue">'practice sheet '!$C$15</definedName>
    <definedName name="EquityValue">'practice sheet '!$C$14</definedName>
    <definedName name="MarketReturns">'practice sheet '!$C$10</definedName>
    <definedName name="RiskFreeRate">'practice sheet '!$C$9</definedName>
    <definedName name="TaxRate">'practice sheet '!$C$13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7" i="19" l="1"/>
  <c r="M16" i="19"/>
  <c r="M15" i="19"/>
  <c r="M9" i="19"/>
  <c r="N8" i="19"/>
  <c r="N2" i="19"/>
  <c r="N4" i="19"/>
  <c r="N5" i="19"/>
  <c r="N6" i="19"/>
  <c r="N7" i="19"/>
  <c r="N3" i="19"/>
  <c r="M5" i="19"/>
  <c r="M6" i="19"/>
  <c r="M7" i="19"/>
  <c r="M4" i="19"/>
  <c r="M3" i="19"/>
  <c r="K4" i="19"/>
  <c r="K5" i="19" s="1"/>
  <c r="K6" i="19" s="1"/>
  <c r="K7" i="19" s="1"/>
  <c r="K3" i="19"/>
  <c r="K2" i="19"/>
  <c r="C29" i="19"/>
  <c r="R12" i="1"/>
  <c r="T12" i="1"/>
  <c r="U12" i="1" s="1"/>
  <c r="V12" i="1" s="1"/>
  <c r="W12" i="1" s="1"/>
  <c r="X12" i="1" s="1"/>
  <c r="Y12" i="1" s="1"/>
  <c r="Z12" i="1" s="1"/>
  <c r="C32" i="8"/>
  <c r="S31" i="1"/>
  <c r="T30" i="1"/>
  <c r="U30" i="1" s="1"/>
  <c r="V30" i="1" s="1"/>
  <c r="W30" i="1" s="1"/>
  <c r="X30" i="1" s="1"/>
  <c r="Y30" i="1" s="1"/>
  <c r="Z30" i="1" s="1"/>
  <c r="AA30" i="1" s="1"/>
  <c r="AB30" i="1" s="1"/>
  <c r="AC30" i="1" s="1"/>
  <c r="AD30" i="1" s="1"/>
  <c r="AE30" i="1" s="1"/>
  <c r="AF30" i="1" s="1"/>
  <c r="R14" i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L24" i="1"/>
  <c r="C48" i="19"/>
  <c r="C38" i="19"/>
  <c r="B35" i="19"/>
  <c r="M9" i="17"/>
  <c r="C33" i="19"/>
  <c r="C32" i="19"/>
  <c r="C22" i="19"/>
  <c r="E11" i="19" l="1"/>
  <c r="F11" i="19" s="1"/>
  <c r="G11" i="19" s="1"/>
  <c r="H11" i="19" s="1"/>
  <c r="D7" i="19"/>
  <c r="E7" i="19" s="1"/>
  <c r="F7" i="19" s="1"/>
  <c r="G7" i="19" s="1"/>
  <c r="H7" i="19" s="1"/>
  <c r="D9" i="19" l="1"/>
  <c r="E9" i="19" s="1"/>
  <c r="F9" i="19" s="1"/>
  <c r="G9" i="19" s="1"/>
  <c r="H9" i="19" s="1"/>
  <c r="B2" i="19" l="1"/>
  <c r="B2" i="18"/>
  <c r="B61" i="18"/>
  <c r="B60" i="18"/>
  <c r="H58" i="18"/>
  <c r="G58" i="18"/>
  <c r="F58" i="18"/>
  <c r="E58" i="18"/>
  <c r="D58" i="18"/>
  <c r="C58" i="18"/>
  <c r="D52" i="18"/>
  <c r="E52" i="18" s="1"/>
  <c r="F52" i="18" s="1"/>
  <c r="G52" i="18" s="1"/>
  <c r="H52" i="18" s="1"/>
  <c r="H45" i="18"/>
  <c r="G45" i="18"/>
  <c r="F45" i="18"/>
  <c r="E45" i="18"/>
  <c r="D45" i="18"/>
  <c r="C45" i="18"/>
  <c r="C16" i="18"/>
  <c r="D9" i="18"/>
  <c r="E9" i="18"/>
  <c r="F9" i="18"/>
  <c r="G9" i="18"/>
  <c r="H9" i="18"/>
  <c r="D10" i="18"/>
  <c r="E10" i="18"/>
  <c r="F10" i="18"/>
  <c r="G10" i="18"/>
  <c r="H10" i="18"/>
  <c r="C9" i="18"/>
  <c r="D8" i="18"/>
  <c r="E8" i="18"/>
  <c r="F8" i="18"/>
  <c r="G8" i="18"/>
  <c r="H8" i="18"/>
  <c r="C8" i="18"/>
  <c r="D7" i="18"/>
  <c r="E7" i="18"/>
  <c r="F7" i="18"/>
  <c r="G7" i="18"/>
  <c r="H7" i="18"/>
  <c r="C10" i="18"/>
  <c r="C7" i="18"/>
  <c r="B37" i="18"/>
  <c r="D26" i="18"/>
  <c r="E26" i="18"/>
  <c r="F26" i="18"/>
  <c r="G26" i="18"/>
  <c r="H26" i="18"/>
  <c r="D27" i="18"/>
  <c r="E27" i="18"/>
  <c r="F27" i="18"/>
  <c r="G27" i="18"/>
  <c r="H27" i="18"/>
  <c r="D28" i="18"/>
  <c r="E28" i="18"/>
  <c r="F28" i="18"/>
  <c r="G28" i="18"/>
  <c r="H28" i="18"/>
  <c r="D29" i="18"/>
  <c r="E29" i="18"/>
  <c r="F29" i="18"/>
  <c r="G29" i="18"/>
  <c r="H29" i="18"/>
  <c r="D30" i="18"/>
  <c r="E30" i="18"/>
  <c r="F30" i="18"/>
  <c r="G30" i="18"/>
  <c r="H30" i="18"/>
  <c r="D31" i="18"/>
  <c r="E31" i="18"/>
  <c r="F31" i="18"/>
  <c r="G31" i="18"/>
  <c r="H31" i="18"/>
  <c r="D32" i="18"/>
  <c r="E32" i="18"/>
  <c r="F32" i="18"/>
  <c r="G32" i="18"/>
  <c r="H32" i="18"/>
  <c r="D33" i="18"/>
  <c r="E33" i="18"/>
  <c r="F33" i="18"/>
  <c r="G33" i="18"/>
  <c r="H33" i="18"/>
  <c r="D34" i="18"/>
  <c r="E34" i="18"/>
  <c r="F34" i="18"/>
  <c r="G34" i="18"/>
  <c r="H34" i="18"/>
  <c r="D37" i="18"/>
  <c r="E37" i="18"/>
  <c r="F37" i="18"/>
  <c r="G37" i="18"/>
  <c r="H37" i="18"/>
  <c r="C37" i="18"/>
  <c r="C27" i="18"/>
  <c r="C28" i="18"/>
  <c r="C29" i="18"/>
  <c r="C30" i="18"/>
  <c r="C31" i="18"/>
  <c r="C32" i="18"/>
  <c r="C33" i="18"/>
  <c r="C34" i="18"/>
  <c r="C26" i="18"/>
  <c r="B26" i="18"/>
  <c r="B27" i="18"/>
  <c r="B28" i="18"/>
  <c r="B29" i="18"/>
  <c r="B30" i="18"/>
  <c r="B31" i="18"/>
  <c r="B32" i="18"/>
  <c r="B33" i="18"/>
  <c r="B34" i="18"/>
  <c r="B36" i="18"/>
  <c r="D16" i="18"/>
  <c r="E16" i="18"/>
  <c r="F16" i="18"/>
  <c r="G16" i="18"/>
  <c r="H16" i="18"/>
  <c r="D17" i="18"/>
  <c r="E17" i="18"/>
  <c r="F17" i="18"/>
  <c r="G17" i="18"/>
  <c r="H17" i="18"/>
  <c r="D18" i="18"/>
  <c r="E18" i="18"/>
  <c r="F18" i="18"/>
  <c r="G18" i="18"/>
  <c r="H18" i="18"/>
  <c r="C17" i="18"/>
  <c r="C18" i="18"/>
  <c r="B17" i="18"/>
  <c r="B18" i="18"/>
  <c r="B16" i="18"/>
  <c r="B8" i="18"/>
  <c r="B9" i="18"/>
  <c r="B10" i="18"/>
  <c r="B7" i="18"/>
  <c r="D4" i="18"/>
  <c r="E4" i="18"/>
  <c r="F4" i="18"/>
  <c r="G4" i="18"/>
  <c r="H4" i="18"/>
  <c r="C4" i="19" s="1"/>
  <c r="D4" i="19" s="1"/>
  <c r="E4" i="19" s="1"/>
  <c r="F4" i="19" s="1"/>
  <c r="G4" i="19" s="1"/>
  <c r="H4" i="19" s="1"/>
  <c r="C4" i="18"/>
  <c r="C19" i="18" l="1"/>
  <c r="F36" i="18"/>
  <c r="F38" i="18" s="1"/>
  <c r="H11" i="18"/>
  <c r="G11" i="18"/>
  <c r="C36" i="18"/>
  <c r="C38" i="18" s="1"/>
  <c r="F11" i="18"/>
  <c r="F21" i="18" s="1"/>
  <c r="E11" i="18"/>
  <c r="E21" i="18" s="1"/>
  <c r="C11" i="18"/>
  <c r="C21" i="18" s="1"/>
  <c r="D11" i="18"/>
  <c r="E36" i="18"/>
  <c r="E38" i="18" s="1"/>
  <c r="D36" i="18"/>
  <c r="D38" i="18" s="1"/>
  <c r="H36" i="18"/>
  <c r="H38" i="18" s="1"/>
  <c r="G36" i="18"/>
  <c r="G38" i="18" s="1"/>
  <c r="F19" i="18"/>
  <c r="E19" i="18"/>
  <c r="H19" i="18"/>
  <c r="G19" i="18"/>
  <c r="D19" i="18"/>
  <c r="C40" i="18" l="1"/>
  <c r="G21" i="18"/>
  <c r="H21" i="18"/>
  <c r="H40" i="18" s="1"/>
  <c r="F40" i="18"/>
  <c r="F48" i="18"/>
  <c r="E40" i="18"/>
  <c r="G40" i="18"/>
  <c r="G48" i="18"/>
  <c r="D21" i="18"/>
  <c r="H48" i="18" l="1"/>
  <c r="D40" i="18"/>
  <c r="D48" i="18"/>
  <c r="E48" i="18"/>
  <c r="B2" i="17" l="1"/>
  <c r="D29" i="16"/>
  <c r="E29" i="16"/>
  <c r="F29" i="16"/>
  <c r="G29" i="16"/>
  <c r="H29" i="16"/>
  <c r="I29" i="16"/>
  <c r="J29" i="16"/>
  <c r="K29" i="16"/>
  <c r="L29" i="16"/>
  <c r="D30" i="16"/>
  <c r="E30" i="16"/>
  <c r="F30" i="16"/>
  <c r="G30" i="16"/>
  <c r="H30" i="16"/>
  <c r="I30" i="16"/>
  <c r="J30" i="16"/>
  <c r="K30" i="16"/>
  <c r="L30" i="16"/>
  <c r="D31" i="16"/>
  <c r="E31" i="16"/>
  <c r="F31" i="16"/>
  <c r="G31" i="16"/>
  <c r="H31" i="16"/>
  <c r="I31" i="16"/>
  <c r="J31" i="16"/>
  <c r="K31" i="16"/>
  <c r="L31" i="16"/>
  <c r="D32" i="16"/>
  <c r="E32" i="16"/>
  <c r="F32" i="16"/>
  <c r="G32" i="16"/>
  <c r="H32" i="16"/>
  <c r="I32" i="16"/>
  <c r="J32" i="16"/>
  <c r="K32" i="16"/>
  <c r="L32" i="16"/>
  <c r="D33" i="16"/>
  <c r="E33" i="16"/>
  <c r="F33" i="16"/>
  <c r="G33" i="16"/>
  <c r="H33" i="16"/>
  <c r="I33" i="16"/>
  <c r="J33" i="16"/>
  <c r="K33" i="16"/>
  <c r="L33" i="16"/>
  <c r="D35" i="16"/>
  <c r="E35" i="16"/>
  <c r="F35" i="16"/>
  <c r="G35" i="16"/>
  <c r="H35" i="16"/>
  <c r="I35" i="16"/>
  <c r="J35" i="16"/>
  <c r="K35" i="16"/>
  <c r="L35" i="16"/>
  <c r="D36" i="16"/>
  <c r="E36" i="16"/>
  <c r="F36" i="16"/>
  <c r="G36" i="16"/>
  <c r="H36" i="16"/>
  <c r="I36" i="16"/>
  <c r="J36" i="16"/>
  <c r="K36" i="16"/>
  <c r="L36" i="16"/>
  <c r="D37" i="16"/>
  <c r="E37" i="16"/>
  <c r="F37" i="16"/>
  <c r="G37" i="16"/>
  <c r="H37" i="16"/>
  <c r="I37" i="16"/>
  <c r="J37" i="16"/>
  <c r="K37" i="16"/>
  <c r="L37" i="16"/>
  <c r="D38" i="16"/>
  <c r="E38" i="16"/>
  <c r="F38" i="16"/>
  <c r="G38" i="16"/>
  <c r="H38" i="16"/>
  <c r="I38" i="16"/>
  <c r="J38" i="16"/>
  <c r="K38" i="16"/>
  <c r="L38" i="16"/>
  <c r="D39" i="16"/>
  <c r="E39" i="16"/>
  <c r="F39" i="16"/>
  <c r="G39" i="16"/>
  <c r="H39" i="16"/>
  <c r="I39" i="16"/>
  <c r="J39" i="16"/>
  <c r="K39" i="16"/>
  <c r="L39" i="16"/>
  <c r="D40" i="16"/>
  <c r="E40" i="16"/>
  <c r="F40" i="16"/>
  <c r="G40" i="16"/>
  <c r="H40" i="16"/>
  <c r="I40" i="16"/>
  <c r="J40" i="16"/>
  <c r="K40" i="16"/>
  <c r="L40" i="16"/>
  <c r="D41" i="16"/>
  <c r="E41" i="16"/>
  <c r="F41" i="16"/>
  <c r="G41" i="16"/>
  <c r="H41" i="16"/>
  <c r="I41" i="16"/>
  <c r="J41" i="16"/>
  <c r="K41" i="16"/>
  <c r="L41" i="16"/>
  <c r="D42" i="16"/>
  <c r="E42" i="16"/>
  <c r="F42" i="16"/>
  <c r="G42" i="16"/>
  <c r="H42" i="16"/>
  <c r="I42" i="16"/>
  <c r="J42" i="16"/>
  <c r="K42" i="16"/>
  <c r="L42" i="16"/>
  <c r="C41" i="16"/>
  <c r="C42" i="16"/>
  <c r="C40" i="16"/>
  <c r="C37" i="16"/>
  <c r="C38" i="16"/>
  <c r="C39" i="16"/>
  <c r="C36" i="16"/>
  <c r="C35" i="16"/>
  <c r="C31" i="16"/>
  <c r="C32" i="16"/>
  <c r="C33" i="16"/>
  <c r="C30" i="16"/>
  <c r="C29" i="16"/>
  <c r="B31" i="16"/>
  <c r="B32" i="16"/>
  <c r="B33" i="16"/>
  <c r="B36" i="16"/>
  <c r="B37" i="16"/>
  <c r="B38" i="16"/>
  <c r="B39" i="16"/>
  <c r="B40" i="16"/>
  <c r="B41" i="16"/>
  <c r="B42" i="16"/>
  <c r="B30" i="16"/>
  <c r="B25" i="16"/>
  <c r="L27" i="16"/>
  <c r="K27" i="16"/>
  <c r="J27" i="16"/>
  <c r="I27" i="16"/>
  <c r="H27" i="16"/>
  <c r="G27" i="16"/>
  <c r="F27" i="16"/>
  <c r="E27" i="16"/>
  <c r="D27" i="16"/>
  <c r="C27" i="16"/>
  <c r="D21" i="16"/>
  <c r="E21" i="16"/>
  <c r="F21" i="16"/>
  <c r="C7" i="16"/>
  <c r="D7" i="16"/>
  <c r="E7" i="16"/>
  <c r="F7" i="16"/>
  <c r="G7" i="16"/>
  <c r="H7" i="16"/>
  <c r="I7" i="16"/>
  <c r="J7" i="16"/>
  <c r="K7" i="16"/>
  <c r="L7" i="16"/>
  <c r="C8" i="16"/>
  <c r="D8" i="16"/>
  <c r="E8" i="16"/>
  <c r="F8" i="16"/>
  <c r="G8" i="16"/>
  <c r="H8" i="16"/>
  <c r="I8" i="16"/>
  <c r="J8" i="16"/>
  <c r="K8" i="16"/>
  <c r="L8" i="16"/>
  <c r="C9" i="16"/>
  <c r="D9" i="16"/>
  <c r="E9" i="16"/>
  <c r="F9" i="16"/>
  <c r="G9" i="16"/>
  <c r="H9" i="16"/>
  <c r="I9" i="16"/>
  <c r="J9" i="16"/>
  <c r="K9" i="16"/>
  <c r="L9" i="16"/>
  <c r="C10" i="16"/>
  <c r="D10" i="16"/>
  <c r="E10" i="16"/>
  <c r="F10" i="16"/>
  <c r="G10" i="16"/>
  <c r="H10" i="16"/>
  <c r="I10" i="16"/>
  <c r="J10" i="16"/>
  <c r="K10" i="16"/>
  <c r="L10" i="16"/>
  <c r="C11" i="16"/>
  <c r="D11" i="16"/>
  <c r="E11" i="16"/>
  <c r="F11" i="16"/>
  <c r="G11" i="16"/>
  <c r="H11" i="16"/>
  <c r="I11" i="16"/>
  <c r="J11" i="16"/>
  <c r="K11" i="16"/>
  <c r="L11" i="16"/>
  <c r="C12" i="16"/>
  <c r="D12" i="16"/>
  <c r="E12" i="16"/>
  <c r="F12" i="16"/>
  <c r="G12" i="16"/>
  <c r="H12" i="16"/>
  <c r="I12" i="16"/>
  <c r="J12" i="16"/>
  <c r="K12" i="16"/>
  <c r="L12" i="16"/>
  <c r="C13" i="16"/>
  <c r="D13" i="16"/>
  <c r="E13" i="16"/>
  <c r="F13" i="16"/>
  <c r="G13" i="16"/>
  <c r="H13" i="16"/>
  <c r="I13" i="16"/>
  <c r="J13" i="16"/>
  <c r="K13" i="16"/>
  <c r="L13" i="16"/>
  <c r="C14" i="16"/>
  <c r="D14" i="16"/>
  <c r="E14" i="16"/>
  <c r="F14" i="16"/>
  <c r="G14" i="16"/>
  <c r="H14" i="16"/>
  <c r="I14" i="16"/>
  <c r="J14" i="16"/>
  <c r="K14" i="16"/>
  <c r="L14" i="16"/>
  <c r="C15" i="16"/>
  <c r="D15" i="16"/>
  <c r="E15" i="16"/>
  <c r="F15" i="16"/>
  <c r="G15" i="16"/>
  <c r="H15" i="16"/>
  <c r="I15" i="16"/>
  <c r="J15" i="16"/>
  <c r="K15" i="16"/>
  <c r="L15" i="16"/>
  <c r="C16" i="16"/>
  <c r="D16" i="16"/>
  <c r="E16" i="16"/>
  <c r="F16" i="16"/>
  <c r="G16" i="16"/>
  <c r="H16" i="16"/>
  <c r="I16" i="16"/>
  <c r="J16" i="16"/>
  <c r="K16" i="16"/>
  <c r="L16" i="16"/>
  <c r="C17" i="16"/>
  <c r="D17" i="16"/>
  <c r="E17" i="16"/>
  <c r="F17" i="16"/>
  <c r="G17" i="16"/>
  <c r="H17" i="16"/>
  <c r="I17" i="16"/>
  <c r="J17" i="16"/>
  <c r="K17" i="16"/>
  <c r="L17" i="16"/>
  <c r="C18" i="16"/>
  <c r="D18" i="16"/>
  <c r="E18" i="16"/>
  <c r="F18" i="16"/>
  <c r="G18" i="16"/>
  <c r="H18" i="16"/>
  <c r="I18" i="16"/>
  <c r="J18" i="16"/>
  <c r="K18" i="16"/>
  <c r="L18" i="16"/>
  <c r="C19" i="16"/>
  <c r="D19" i="16"/>
  <c r="E19" i="16"/>
  <c r="F19" i="16"/>
  <c r="G19" i="16"/>
  <c r="H19" i="16"/>
  <c r="I19" i="16"/>
  <c r="J19" i="16"/>
  <c r="K19" i="16"/>
  <c r="L19" i="16"/>
  <c r="C20" i="16"/>
  <c r="D20" i="16"/>
  <c r="E20" i="16"/>
  <c r="F20" i="16"/>
  <c r="G20" i="16"/>
  <c r="H20" i="16"/>
  <c r="I20" i="16"/>
  <c r="J20" i="16"/>
  <c r="K20" i="16"/>
  <c r="L20" i="16"/>
  <c r="D6" i="16"/>
  <c r="E6" i="16"/>
  <c r="F6" i="16"/>
  <c r="G6" i="16"/>
  <c r="H6" i="16"/>
  <c r="I6" i="16"/>
  <c r="J6" i="16"/>
  <c r="K6" i="16"/>
  <c r="L6" i="16"/>
  <c r="C6" i="16"/>
  <c r="B21" i="16"/>
  <c r="B19" i="16"/>
  <c r="B20" i="16"/>
  <c r="C34" i="2"/>
  <c r="D34" i="2"/>
  <c r="E34" i="2"/>
  <c r="F34" i="2"/>
  <c r="G21" i="16" s="1"/>
  <c r="G34" i="2"/>
  <c r="H21" i="16" s="1"/>
  <c r="H34" i="2"/>
  <c r="I21" i="16" s="1"/>
  <c r="I34" i="2"/>
  <c r="J21" i="16" s="1"/>
  <c r="J34" i="2"/>
  <c r="K21" i="16" s="1"/>
  <c r="K34" i="2"/>
  <c r="L21" i="16" s="1"/>
  <c r="B34" i="2"/>
  <c r="C21" i="16" s="1"/>
  <c r="B7" i="16"/>
  <c r="B8" i="16"/>
  <c r="B9" i="16"/>
  <c r="B10" i="16"/>
  <c r="B11" i="16"/>
  <c r="B12" i="16"/>
  <c r="B13" i="16"/>
  <c r="B14" i="16"/>
  <c r="B15" i="16"/>
  <c r="B16" i="16"/>
  <c r="B17" i="16"/>
  <c r="B18" i="16"/>
  <c r="B6" i="16"/>
  <c r="B2" i="16"/>
  <c r="L4" i="16"/>
  <c r="K4" i="16"/>
  <c r="J4" i="16"/>
  <c r="I4" i="16"/>
  <c r="H4" i="16"/>
  <c r="G4" i="16"/>
  <c r="F4" i="16"/>
  <c r="E4" i="16"/>
  <c r="D4" i="16"/>
  <c r="C4" i="16"/>
  <c r="B2" i="13" l="1"/>
  <c r="I39" i="13"/>
  <c r="E26" i="13"/>
  <c r="I36" i="13" s="1"/>
  <c r="M7" i="14"/>
  <c r="M9" i="14" s="1"/>
  <c r="I19" i="13" s="1"/>
  <c r="F14" i="13"/>
  <c r="F13" i="13"/>
  <c r="D19" i="13" s="1"/>
  <c r="I27" i="13" s="1"/>
  <c r="I8" i="13" l="1"/>
  <c r="I9" i="13"/>
  <c r="I10" i="13"/>
  <c r="I11" i="13"/>
  <c r="Q10" i="15"/>
  <c r="U7" i="15"/>
  <c r="Q6" i="15" s="1"/>
  <c r="Q11" i="15" s="1"/>
  <c r="K5" i="15" l="1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8" i="15"/>
  <c r="E8" i="13"/>
  <c r="E9" i="13"/>
  <c r="G9" i="13" s="1"/>
  <c r="J9" i="13" s="1"/>
  <c r="E10" i="13"/>
  <c r="G10" i="13" s="1"/>
  <c r="J10" i="13" s="1"/>
  <c r="E11" i="13"/>
  <c r="E7" i="13"/>
  <c r="C26" i="13" s="1"/>
  <c r="D8" i="13"/>
  <c r="D9" i="13"/>
  <c r="D10" i="13"/>
  <c r="D11" i="13"/>
  <c r="D7" i="13"/>
  <c r="B11" i="13"/>
  <c r="B8" i="13"/>
  <c r="B9" i="13"/>
  <c r="B10" i="13"/>
  <c r="B7" i="13"/>
  <c r="B4" i="14"/>
  <c r="B5" i="14" s="1"/>
  <c r="B6" i="14" s="1"/>
  <c r="B7" i="14" s="1"/>
  <c r="Q4" i="12"/>
  <c r="K4" i="12"/>
  <c r="E4" i="12"/>
  <c r="N2" i="12"/>
  <c r="H2" i="12"/>
  <c r="N6" i="12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H6" i="12"/>
  <c r="H7" i="12" s="1"/>
  <c r="H8" i="12" s="1"/>
  <c r="H9" i="12" s="1"/>
  <c r="H10" i="12" s="1"/>
  <c r="H11" i="12" s="1"/>
  <c r="H12" i="12" s="1"/>
  <c r="H13" i="12" s="1"/>
  <c r="H14" i="12" s="1"/>
  <c r="H15" i="12" s="1"/>
  <c r="H16" i="12" s="1"/>
  <c r="H17" i="12" s="1"/>
  <c r="H18" i="12" s="1"/>
  <c r="D5" i="12" a="1"/>
  <c r="D5" i="12" s="1"/>
  <c r="B6" i="12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2" i="12"/>
  <c r="L3" i="11"/>
  <c r="I20" i="13" l="1"/>
  <c r="I21" i="13" s="1"/>
  <c r="I35" i="13" s="1"/>
  <c r="I7" i="13"/>
  <c r="G8" i="13"/>
  <c r="J8" i="13" s="1"/>
  <c r="D18" i="13"/>
  <c r="D20" i="13" s="1"/>
  <c r="I38" i="13" s="1"/>
  <c r="I40" i="13" s="1"/>
  <c r="C17" i="19" s="1"/>
  <c r="C25" i="13"/>
  <c r="G11" i="13"/>
  <c r="J11" i="13" s="1"/>
  <c r="H10" i="13"/>
  <c r="H9" i="13"/>
  <c r="H8" i="13"/>
  <c r="H7" i="13"/>
  <c r="H11" i="13"/>
  <c r="G7" i="13"/>
  <c r="U5" i="15"/>
  <c r="U6" i="15"/>
  <c r="D10" i="12"/>
  <c r="D14" i="12"/>
  <c r="D13" i="12"/>
  <c r="D12" i="12"/>
  <c r="D11" i="12"/>
  <c r="E11" i="12" s="1"/>
  <c r="D9" i="12"/>
  <c r="D8" i="12"/>
  <c r="D7" i="12"/>
  <c r="D6" i="12"/>
  <c r="C23" i="19" l="1"/>
  <c r="E12" i="19"/>
  <c r="G12" i="19"/>
  <c r="D12" i="19"/>
  <c r="F12" i="19"/>
  <c r="H12" i="19"/>
  <c r="I13" i="13"/>
  <c r="I14" i="13"/>
  <c r="C27" i="13"/>
  <c r="D25" i="13"/>
  <c r="D26" i="13"/>
  <c r="G13" i="13"/>
  <c r="G14" i="13"/>
  <c r="J7" i="13"/>
  <c r="H13" i="13"/>
  <c r="H14" i="13"/>
  <c r="E6" i="12"/>
  <c r="E7" i="12"/>
  <c r="E8" i="12"/>
  <c r="E9" i="12"/>
  <c r="E12" i="12"/>
  <c r="E13" i="12"/>
  <c r="E14" i="12"/>
  <c r="E10" i="12"/>
  <c r="D28" i="13" l="1"/>
  <c r="D27" i="13"/>
  <c r="J13" i="13"/>
  <c r="J14" i="13"/>
  <c r="I25" i="13" s="1"/>
  <c r="G29" i="11" l="1"/>
  <c r="G36" i="11" s="1"/>
  <c r="C10" i="8"/>
  <c r="B2" i="11"/>
  <c r="K3" i="11"/>
  <c r="J3" i="11"/>
  <c r="I3" i="11"/>
  <c r="H3" i="11"/>
  <c r="G3" i="11"/>
  <c r="F3" i="11"/>
  <c r="E3" i="11"/>
  <c r="D3" i="11"/>
  <c r="C3" i="11"/>
  <c r="C86" i="8"/>
  <c r="D80" i="8"/>
  <c r="E80" i="8"/>
  <c r="F80" i="8"/>
  <c r="G80" i="8"/>
  <c r="H80" i="8"/>
  <c r="I80" i="8"/>
  <c r="J80" i="8"/>
  <c r="K80" i="8"/>
  <c r="L80" i="8"/>
  <c r="D81" i="8"/>
  <c r="E81" i="8"/>
  <c r="F81" i="8"/>
  <c r="G81" i="8"/>
  <c r="H81" i="8"/>
  <c r="I81" i="8"/>
  <c r="J81" i="8"/>
  <c r="K81" i="8"/>
  <c r="L81" i="8"/>
  <c r="D82" i="8"/>
  <c r="E82" i="8"/>
  <c r="F82" i="8"/>
  <c r="G82" i="8"/>
  <c r="H82" i="8"/>
  <c r="I82" i="8"/>
  <c r="J82" i="8"/>
  <c r="K82" i="8"/>
  <c r="L82" i="8"/>
  <c r="D83" i="8"/>
  <c r="E83" i="8"/>
  <c r="F83" i="8"/>
  <c r="G83" i="8"/>
  <c r="H83" i="8"/>
  <c r="I83" i="8"/>
  <c r="J83" i="8"/>
  <c r="K83" i="8"/>
  <c r="L83" i="8"/>
  <c r="D84" i="8"/>
  <c r="E84" i="8"/>
  <c r="F84" i="8"/>
  <c r="G84" i="8"/>
  <c r="H84" i="8"/>
  <c r="I84" i="8"/>
  <c r="J84" i="8"/>
  <c r="K84" i="8"/>
  <c r="L84" i="8"/>
  <c r="D85" i="8"/>
  <c r="E85" i="8"/>
  <c r="F85" i="8"/>
  <c r="G85" i="8"/>
  <c r="H85" i="8"/>
  <c r="I85" i="8"/>
  <c r="J85" i="8"/>
  <c r="K85" i="8"/>
  <c r="L85" i="8"/>
  <c r="D86" i="8"/>
  <c r="E86" i="8"/>
  <c r="F86" i="8"/>
  <c r="G86" i="8"/>
  <c r="H86" i="8"/>
  <c r="I86" i="8"/>
  <c r="J86" i="8"/>
  <c r="K86" i="8"/>
  <c r="L86" i="8"/>
  <c r="D87" i="8"/>
  <c r="E87" i="8"/>
  <c r="F87" i="8"/>
  <c r="G87" i="8"/>
  <c r="H87" i="8"/>
  <c r="I87" i="8"/>
  <c r="J87" i="8"/>
  <c r="K87" i="8"/>
  <c r="L87" i="8"/>
  <c r="D90" i="8"/>
  <c r="E90" i="8"/>
  <c r="F90" i="8"/>
  <c r="G90" i="8"/>
  <c r="C47" i="18" s="1"/>
  <c r="H90" i="8"/>
  <c r="D47" i="18" s="1"/>
  <c r="D49" i="18" s="1"/>
  <c r="I90" i="8"/>
  <c r="E47" i="18" s="1"/>
  <c r="E49" i="18" s="1"/>
  <c r="J90" i="8"/>
  <c r="F47" i="18" s="1"/>
  <c r="F49" i="18" s="1"/>
  <c r="K90" i="8"/>
  <c r="G47" i="18" s="1"/>
  <c r="G49" i="18" s="1"/>
  <c r="L90" i="8"/>
  <c r="D91" i="8"/>
  <c r="E91" i="8"/>
  <c r="F91" i="8"/>
  <c r="G91" i="8"/>
  <c r="H91" i="8"/>
  <c r="I91" i="8"/>
  <c r="J91" i="8"/>
  <c r="K91" i="8"/>
  <c r="L91" i="8"/>
  <c r="D92" i="8"/>
  <c r="E92" i="8"/>
  <c r="F92" i="8"/>
  <c r="G92" i="8"/>
  <c r="H92" i="8"/>
  <c r="I92" i="8"/>
  <c r="J92" i="8"/>
  <c r="K92" i="8"/>
  <c r="L92" i="8"/>
  <c r="D93" i="8"/>
  <c r="E93" i="8"/>
  <c r="F93" i="8"/>
  <c r="G93" i="8"/>
  <c r="H93" i="8"/>
  <c r="I93" i="8"/>
  <c r="J93" i="8"/>
  <c r="K93" i="8"/>
  <c r="L93" i="8"/>
  <c r="D94" i="8"/>
  <c r="E94" i="8"/>
  <c r="F94" i="8"/>
  <c r="G94" i="8"/>
  <c r="H94" i="8"/>
  <c r="I94" i="8"/>
  <c r="J94" i="8"/>
  <c r="K94" i="8"/>
  <c r="L94" i="8"/>
  <c r="D95" i="8"/>
  <c r="E95" i="8"/>
  <c r="F95" i="8"/>
  <c r="G95" i="8"/>
  <c r="H95" i="8"/>
  <c r="I95" i="8"/>
  <c r="J95" i="8"/>
  <c r="K95" i="8"/>
  <c r="L95" i="8"/>
  <c r="D96" i="8"/>
  <c r="E96" i="8"/>
  <c r="F96" i="8"/>
  <c r="G96" i="8"/>
  <c r="H96" i="8"/>
  <c r="I96" i="8"/>
  <c r="J96" i="8"/>
  <c r="K96" i="8"/>
  <c r="L96" i="8"/>
  <c r="D97" i="8"/>
  <c r="E97" i="8"/>
  <c r="F97" i="8"/>
  <c r="G97" i="8"/>
  <c r="H97" i="8"/>
  <c r="I97" i="8"/>
  <c r="J97" i="8"/>
  <c r="K97" i="8"/>
  <c r="L97" i="8"/>
  <c r="D98" i="8"/>
  <c r="E98" i="8"/>
  <c r="F98" i="8"/>
  <c r="G98" i="8"/>
  <c r="H98" i="8"/>
  <c r="I98" i="8"/>
  <c r="J98" i="8"/>
  <c r="K98" i="8"/>
  <c r="L98" i="8"/>
  <c r="D99" i="8"/>
  <c r="E99" i="8"/>
  <c r="F99" i="8"/>
  <c r="G99" i="8"/>
  <c r="H99" i="8"/>
  <c r="I99" i="8"/>
  <c r="J99" i="8"/>
  <c r="K99" i="8"/>
  <c r="L99" i="8"/>
  <c r="D100" i="8"/>
  <c r="E100" i="8"/>
  <c r="F100" i="8"/>
  <c r="G100" i="8"/>
  <c r="H100" i="8"/>
  <c r="I100" i="8"/>
  <c r="J100" i="8"/>
  <c r="K100" i="8"/>
  <c r="L100" i="8"/>
  <c r="D101" i="8"/>
  <c r="E101" i="8"/>
  <c r="F101" i="8"/>
  <c r="G101" i="8"/>
  <c r="H101" i="8"/>
  <c r="I101" i="8"/>
  <c r="J101" i="8"/>
  <c r="K101" i="8"/>
  <c r="L101" i="8"/>
  <c r="D104" i="8"/>
  <c r="E104" i="8"/>
  <c r="F104" i="8"/>
  <c r="G104" i="8"/>
  <c r="H104" i="8"/>
  <c r="I104" i="8"/>
  <c r="J104" i="8"/>
  <c r="K104" i="8"/>
  <c r="L104" i="8"/>
  <c r="D105" i="8"/>
  <c r="E105" i="8"/>
  <c r="F105" i="8"/>
  <c r="G105" i="8"/>
  <c r="H105" i="8"/>
  <c r="I105" i="8"/>
  <c r="J105" i="8"/>
  <c r="K105" i="8"/>
  <c r="L105" i="8"/>
  <c r="D106" i="8"/>
  <c r="E106" i="8"/>
  <c r="F106" i="8"/>
  <c r="G106" i="8"/>
  <c r="H106" i="8"/>
  <c r="I106" i="8"/>
  <c r="J106" i="8"/>
  <c r="K106" i="8"/>
  <c r="L106" i="8"/>
  <c r="D107" i="8"/>
  <c r="E107" i="8"/>
  <c r="F107" i="8"/>
  <c r="G107" i="8"/>
  <c r="H107" i="8"/>
  <c r="I107" i="8"/>
  <c r="J107" i="8"/>
  <c r="K107" i="8"/>
  <c r="L107" i="8"/>
  <c r="D108" i="8"/>
  <c r="E108" i="8"/>
  <c r="F108" i="8"/>
  <c r="G108" i="8"/>
  <c r="H108" i="8"/>
  <c r="I108" i="8"/>
  <c r="J108" i="8"/>
  <c r="K108" i="8"/>
  <c r="L108" i="8"/>
  <c r="D109" i="8"/>
  <c r="E109" i="8"/>
  <c r="F109" i="8"/>
  <c r="G109" i="8"/>
  <c r="H109" i="8"/>
  <c r="I109" i="8"/>
  <c r="J109" i="8"/>
  <c r="K109" i="8"/>
  <c r="L109" i="8"/>
  <c r="D110" i="8"/>
  <c r="E110" i="8"/>
  <c r="F110" i="8"/>
  <c r="G110" i="8"/>
  <c r="H110" i="8"/>
  <c r="I110" i="8"/>
  <c r="J110" i="8"/>
  <c r="K110" i="8"/>
  <c r="L110" i="8"/>
  <c r="D111" i="8"/>
  <c r="E111" i="8"/>
  <c r="F111" i="8"/>
  <c r="G111" i="8"/>
  <c r="H111" i="8"/>
  <c r="I111" i="8"/>
  <c r="J111" i="8"/>
  <c r="K111" i="8"/>
  <c r="L111" i="8"/>
  <c r="C105" i="8"/>
  <c r="C106" i="8"/>
  <c r="C107" i="8"/>
  <c r="C108" i="8"/>
  <c r="C109" i="8"/>
  <c r="C110" i="8"/>
  <c r="C111" i="8"/>
  <c r="C104" i="8"/>
  <c r="C112" i="8" s="1"/>
  <c r="C91" i="8"/>
  <c r="C92" i="8"/>
  <c r="C93" i="8"/>
  <c r="C94" i="8"/>
  <c r="C95" i="8"/>
  <c r="C96" i="8"/>
  <c r="C97" i="8"/>
  <c r="C98" i="8"/>
  <c r="C99" i="8"/>
  <c r="C100" i="8"/>
  <c r="C101" i="8"/>
  <c r="C90" i="8"/>
  <c r="C87" i="8"/>
  <c r="C81" i="8"/>
  <c r="C82" i="8"/>
  <c r="C83" i="8"/>
  <c r="C84" i="8"/>
  <c r="C85" i="8"/>
  <c r="C80" i="8"/>
  <c r="B76" i="8"/>
  <c r="L77" i="8"/>
  <c r="K77" i="8"/>
  <c r="J77" i="8"/>
  <c r="I77" i="8"/>
  <c r="H77" i="8"/>
  <c r="G77" i="8"/>
  <c r="F77" i="8"/>
  <c r="E77" i="8"/>
  <c r="D77" i="8"/>
  <c r="C77" i="8"/>
  <c r="D65" i="8"/>
  <c r="E65" i="8"/>
  <c r="F65" i="8"/>
  <c r="G65" i="8"/>
  <c r="H65" i="8"/>
  <c r="I65" i="8"/>
  <c r="J65" i="8"/>
  <c r="K65" i="8"/>
  <c r="L65" i="8"/>
  <c r="D66" i="8"/>
  <c r="E66" i="8"/>
  <c r="F66" i="8"/>
  <c r="G66" i="8"/>
  <c r="H66" i="8"/>
  <c r="I66" i="8"/>
  <c r="J66" i="8"/>
  <c r="K66" i="8"/>
  <c r="L30" i="11" s="1"/>
  <c r="L38" i="11" s="1"/>
  <c r="L66" i="8"/>
  <c r="D67" i="8"/>
  <c r="E67" i="8"/>
  <c r="F67" i="8"/>
  <c r="G67" i="8"/>
  <c r="H67" i="8"/>
  <c r="I67" i="8"/>
  <c r="J67" i="8"/>
  <c r="K67" i="8"/>
  <c r="L67" i="8"/>
  <c r="C66" i="8"/>
  <c r="C67" i="8"/>
  <c r="C65" i="8"/>
  <c r="D59" i="8"/>
  <c r="E59" i="8"/>
  <c r="F59" i="8"/>
  <c r="G59" i="8"/>
  <c r="H59" i="8"/>
  <c r="I59" i="8"/>
  <c r="J59" i="8"/>
  <c r="K59" i="8"/>
  <c r="L59" i="8"/>
  <c r="D60" i="8"/>
  <c r="E60" i="8"/>
  <c r="F60" i="8"/>
  <c r="G60" i="8"/>
  <c r="H60" i="8"/>
  <c r="I60" i="8"/>
  <c r="J60" i="8"/>
  <c r="K60" i="8"/>
  <c r="L60" i="8"/>
  <c r="D61" i="8"/>
  <c r="E61" i="8"/>
  <c r="F61" i="8"/>
  <c r="G61" i="8"/>
  <c r="H61" i="8"/>
  <c r="I61" i="8"/>
  <c r="J61" i="8"/>
  <c r="K61" i="8"/>
  <c r="L61" i="8"/>
  <c r="C60" i="8"/>
  <c r="C61" i="8"/>
  <c r="C59" i="8"/>
  <c r="D53" i="8"/>
  <c r="E53" i="8"/>
  <c r="F53" i="8"/>
  <c r="G53" i="8"/>
  <c r="H53" i="8"/>
  <c r="I53" i="8"/>
  <c r="J53" i="8"/>
  <c r="K53" i="8"/>
  <c r="L53" i="8"/>
  <c r="D54" i="8"/>
  <c r="E54" i="8"/>
  <c r="F54" i="8"/>
  <c r="G54" i="8"/>
  <c r="H54" i="8"/>
  <c r="I54" i="8"/>
  <c r="J54" i="8"/>
  <c r="K54" i="8"/>
  <c r="L54" i="8"/>
  <c r="D55" i="8"/>
  <c r="E55" i="8"/>
  <c r="F55" i="8"/>
  <c r="G55" i="8"/>
  <c r="H55" i="8"/>
  <c r="I55" i="8"/>
  <c r="J55" i="8"/>
  <c r="K55" i="8"/>
  <c r="L55" i="8"/>
  <c r="D56" i="8"/>
  <c r="E56" i="8"/>
  <c r="F56" i="8"/>
  <c r="G56" i="8"/>
  <c r="H56" i="8"/>
  <c r="I56" i="8"/>
  <c r="J56" i="8"/>
  <c r="K56" i="8"/>
  <c r="L56" i="8"/>
  <c r="D57" i="8"/>
  <c r="E57" i="8"/>
  <c r="F57" i="8"/>
  <c r="G57" i="8"/>
  <c r="H57" i="8"/>
  <c r="I57" i="8"/>
  <c r="J57" i="8"/>
  <c r="K57" i="8"/>
  <c r="L57" i="8"/>
  <c r="C54" i="8"/>
  <c r="C55" i="8"/>
  <c r="C56" i="8"/>
  <c r="C57" i="8"/>
  <c r="C53" i="8"/>
  <c r="B50" i="8"/>
  <c r="L51" i="8"/>
  <c r="K51" i="8"/>
  <c r="J51" i="8"/>
  <c r="I51" i="8"/>
  <c r="H51" i="8"/>
  <c r="G51" i="8"/>
  <c r="F51" i="8"/>
  <c r="E51" i="8"/>
  <c r="D51" i="8"/>
  <c r="C51" i="8"/>
  <c r="B2" i="8"/>
  <c r="D22" i="8"/>
  <c r="D37" i="8"/>
  <c r="D42" i="8" s="1"/>
  <c r="D10" i="11" s="1"/>
  <c r="E37" i="8"/>
  <c r="E42" i="8" s="1"/>
  <c r="E10" i="11" s="1"/>
  <c r="F37" i="8"/>
  <c r="F42" i="8" s="1"/>
  <c r="G37" i="8"/>
  <c r="G42" i="8" s="1"/>
  <c r="G10" i="11" s="1"/>
  <c r="H37" i="8"/>
  <c r="H42" i="8" s="1"/>
  <c r="I37" i="8"/>
  <c r="J37" i="8"/>
  <c r="K37" i="8"/>
  <c r="L37" i="8"/>
  <c r="C37" i="8"/>
  <c r="C42" i="8" s="1"/>
  <c r="E22" i="8"/>
  <c r="F22" i="8"/>
  <c r="G22" i="8"/>
  <c r="H22" i="8"/>
  <c r="I22" i="8"/>
  <c r="J22" i="8"/>
  <c r="K22" i="8"/>
  <c r="L22" i="8"/>
  <c r="D25" i="8"/>
  <c r="E25" i="8"/>
  <c r="F25" i="8"/>
  <c r="F8" i="11" s="1"/>
  <c r="G25" i="8"/>
  <c r="G8" i="11" s="1"/>
  <c r="H25" i="8"/>
  <c r="H8" i="11" s="1"/>
  <c r="I25" i="8"/>
  <c r="I8" i="11" s="1"/>
  <c r="J25" i="8"/>
  <c r="J8" i="11" s="1"/>
  <c r="K25" i="8"/>
  <c r="K8" i="11" s="1"/>
  <c r="L25" i="8"/>
  <c r="D31" i="8"/>
  <c r="E31" i="8"/>
  <c r="F31" i="8"/>
  <c r="G31" i="8"/>
  <c r="H31" i="8"/>
  <c r="I31" i="8"/>
  <c r="J31" i="8"/>
  <c r="K31" i="8"/>
  <c r="L31" i="8"/>
  <c r="C31" i="8"/>
  <c r="C25" i="8"/>
  <c r="C22" i="8"/>
  <c r="D16" i="8"/>
  <c r="E16" i="8"/>
  <c r="F16" i="8"/>
  <c r="G16" i="8"/>
  <c r="H16" i="8"/>
  <c r="I16" i="8"/>
  <c r="J16" i="8"/>
  <c r="K16" i="8"/>
  <c r="L16" i="8"/>
  <c r="C16" i="8"/>
  <c r="C7" i="8"/>
  <c r="D30" i="11" s="1"/>
  <c r="C3" i="8"/>
  <c r="E10" i="8"/>
  <c r="F10" i="8"/>
  <c r="G10" i="8"/>
  <c r="H10" i="8"/>
  <c r="I10" i="8"/>
  <c r="J10" i="8"/>
  <c r="K10" i="8"/>
  <c r="L10" i="8"/>
  <c r="L11" i="8"/>
  <c r="L14" i="8" s="1"/>
  <c r="D10" i="8"/>
  <c r="E7" i="8"/>
  <c r="F30" i="11" s="1"/>
  <c r="F7" i="8"/>
  <c r="G7" i="8"/>
  <c r="H7" i="8"/>
  <c r="I7" i="8"/>
  <c r="J7" i="8"/>
  <c r="K7" i="8"/>
  <c r="L7" i="8"/>
  <c r="D7" i="8"/>
  <c r="E28" i="11" s="1"/>
  <c r="L3" i="8"/>
  <c r="E3" i="8"/>
  <c r="F3" i="8"/>
  <c r="G3" i="8"/>
  <c r="H3" i="8"/>
  <c r="I3" i="8"/>
  <c r="J3" i="8"/>
  <c r="K3" i="8"/>
  <c r="D3" i="8"/>
  <c r="D37" i="11" l="1"/>
  <c r="D38" i="11"/>
  <c r="D28" i="11"/>
  <c r="D35" i="11" s="1"/>
  <c r="G28" i="11"/>
  <c r="G35" i="11" s="1"/>
  <c r="L8" i="11"/>
  <c r="F10" i="11"/>
  <c r="C62" i="8"/>
  <c r="H47" i="18"/>
  <c r="H49" i="18" s="1"/>
  <c r="D29" i="11"/>
  <c r="D36" i="11" s="1"/>
  <c r="E29" i="11"/>
  <c r="E36" i="11" s="1"/>
  <c r="F29" i="11"/>
  <c r="F36" i="11" s="1"/>
  <c r="E8" i="11"/>
  <c r="O8" i="11" s="1"/>
  <c r="D8" i="11"/>
  <c r="H32" i="11"/>
  <c r="E32" i="11"/>
  <c r="E30" i="11"/>
  <c r="E38" i="11" s="1"/>
  <c r="K30" i="11"/>
  <c r="G32" i="11"/>
  <c r="H10" i="11"/>
  <c r="F32" i="11"/>
  <c r="K38" i="11"/>
  <c r="K37" i="11"/>
  <c r="N8" i="11"/>
  <c r="E37" i="11"/>
  <c r="I88" i="8"/>
  <c r="I29" i="11"/>
  <c r="I36" i="11" s="1"/>
  <c r="I32" i="11"/>
  <c r="I28" i="11"/>
  <c r="I35" i="11" s="1"/>
  <c r="I31" i="11"/>
  <c r="C88" i="8"/>
  <c r="E102" i="8"/>
  <c r="K88" i="8"/>
  <c r="H88" i="8"/>
  <c r="E88" i="8"/>
  <c r="G8" i="8"/>
  <c r="G6" i="11" s="1"/>
  <c r="H28" i="11"/>
  <c r="H35" i="11" s="1"/>
  <c r="H31" i="11"/>
  <c r="H30" i="11"/>
  <c r="D102" i="8"/>
  <c r="J88" i="8"/>
  <c r="G88" i="8"/>
  <c r="D88" i="8"/>
  <c r="C102" i="8"/>
  <c r="C114" i="8" s="1"/>
  <c r="L37" i="11"/>
  <c r="F38" i="11"/>
  <c r="F37" i="11"/>
  <c r="D32" i="11"/>
  <c r="K28" i="11"/>
  <c r="K35" i="11" s="1"/>
  <c r="K31" i="11"/>
  <c r="K29" i="11"/>
  <c r="K36" i="11" s="1"/>
  <c r="K32" i="11"/>
  <c r="J29" i="11"/>
  <c r="J36" i="11" s="1"/>
  <c r="J32" i="11"/>
  <c r="J28" i="11"/>
  <c r="J35" i="11" s="1"/>
  <c r="J31" i="11"/>
  <c r="F102" i="8"/>
  <c r="F114" i="8" s="1"/>
  <c r="L88" i="8"/>
  <c r="F88" i="8"/>
  <c r="G62" i="8"/>
  <c r="J30" i="11"/>
  <c r="F112" i="8"/>
  <c r="L112" i="8"/>
  <c r="I112" i="8"/>
  <c r="I30" i="11"/>
  <c r="E112" i="8"/>
  <c r="K112" i="8"/>
  <c r="K114" i="8" s="1"/>
  <c r="H112" i="8"/>
  <c r="H29" i="11"/>
  <c r="H36" i="11" s="1"/>
  <c r="E35" i="11"/>
  <c r="G112" i="8"/>
  <c r="L29" i="11"/>
  <c r="L36" i="11" s="1"/>
  <c r="L32" i="11"/>
  <c r="L28" i="11"/>
  <c r="L35" i="11" s="1"/>
  <c r="L31" i="11"/>
  <c r="D112" i="8"/>
  <c r="D114" i="8" s="1"/>
  <c r="C11" i="8"/>
  <c r="D18" i="11" s="1"/>
  <c r="L102" i="8"/>
  <c r="K102" i="8"/>
  <c r="H102" i="8"/>
  <c r="F31" i="11"/>
  <c r="F28" i="11"/>
  <c r="F35" i="11" s="1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O5" i="12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C5" i="12"/>
  <c r="C6" i="12" s="1"/>
  <c r="C7" i="12" s="1"/>
  <c r="C8" i="12" s="1"/>
  <c r="C9" i="12" s="1"/>
  <c r="C10" i="12" s="1"/>
  <c r="C11" i="12" s="1"/>
  <c r="C12" i="12" s="1"/>
  <c r="C13" i="12" s="1"/>
  <c r="C14" i="12" s="1"/>
  <c r="C15" i="12" s="1"/>
  <c r="J112" i="8"/>
  <c r="G30" i="11"/>
  <c r="D31" i="11"/>
  <c r="I102" i="8"/>
  <c r="G31" i="11"/>
  <c r="I17" i="8"/>
  <c r="J102" i="8"/>
  <c r="J114" i="8" s="1"/>
  <c r="G102" i="8"/>
  <c r="E31" i="11"/>
  <c r="H17" i="8"/>
  <c r="K11" i="8"/>
  <c r="I8" i="8"/>
  <c r="I6" i="11" s="1"/>
  <c r="I62" i="8"/>
  <c r="I63" i="8" s="1"/>
  <c r="H62" i="8"/>
  <c r="H63" i="8" s="1"/>
  <c r="F62" i="8"/>
  <c r="F63" i="8" s="1"/>
  <c r="E62" i="8"/>
  <c r="E63" i="8" s="1"/>
  <c r="D62" i="8"/>
  <c r="D63" i="8" s="1"/>
  <c r="C68" i="8"/>
  <c r="G63" i="8"/>
  <c r="F8" i="8"/>
  <c r="F6" i="11" s="1"/>
  <c r="G68" i="8"/>
  <c r="D68" i="8"/>
  <c r="L68" i="8"/>
  <c r="K68" i="8"/>
  <c r="L62" i="8"/>
  <c r="L63" i="8" s="1"/>
  <c r="J68" i="8"/>
  <c r="K62" i="8"/>
  <c r="K63" i="8" s="1"/>
  <c r="J62" i="8"/>
  <c r="J63" i="8" s="1"/>
  <c r="C63" i="8"/>
  <c r="J23" i="8"/>
  <c r="I23" i="8"/>
  <c r="H23" i="8"/>
  <c r="C23" i="8"/>
  <c r="C26" i="8"/>
  <c r="D19" i="11" s="1"/>
  <c r="D8" i="8"/>
  <c r="D6" i="11" s="1"/>
  <c r="L13" i="8"/>
  <c r="K13" i="8"/>
  <c r="J13" i="8"/>
  <c r="I68" i="8"/>
  <c r="F68" i="8"/>
  <c r="E13" i="8"/>
  <c r="K23" i="8"/>
  <c r="H68" i="8"/>
  <c r="E68" i="8"/>
  <c r="D17" i="8"/>
  <c r="L26" i="8"/>
  <c r="K17" i="8"/>
  <c r="K26" i="8"/>
  <c r="L19" i="11" s="1"/>
  <c r="J17" i="8"/>
  <c r="J26" i="8"/>
  <c r="K19" i="11" s="1"/>
  <c r="I26" i="8"/>
  <c r="J19" i="11" s="1"/>
  <c r="H11" i="8"/>
  <c r="H26" i="8"/>
  <c r="I19" i="11" s="1"/>
  <c r="G26" i="8"/>
  <c r="H19" i="11" s="1"/>
  <c r="F26" i="8"/>
  <c r="G19" i="11" s="1"/>
  <c r="L8" i="8"/>
  <c r="L6" i="11" s="1"/>
  <c r="E26" i="8"/>
  <c r="F19" i="11" s="1"/>
  <c r="K8" i="8"/>
  <c r="K6" i="11" s="1"/>
  <c r="D11" i="8"/>
  <c r="C17" i="8"/>
  <c r="G11" i="8"/>
  <c r="F11" i="8"/>
  <c r="G17" i="8"/>
  <c r="E11" i="8"/>
  <c r="F17" i="8"/>
  <c r="E17" i="8"/>
  <c r="G23" i="8"/>
  <c r="F23" i="8"/>
  <c r="E23" i="8"/>
  <c r="L42" i="8"/>
  <c r="C13" i="8"/>
  <c r="C19" i="8" s="1"/>
  <c r="D26" i="8"/>
  <c r="E19" i="11" s="1"/>
  <c r="K42" i="8"/>
  <c r="L17" i="8"/>
  <c r="L23" i="8"/>
  <c r="J42" i="8"/>
  <c r="J11" i="8"/>
  <c r="I42" i="8"/>
  <c r="I10" i="11" s="1"/>
  <c r="D23" i="8"/>
  <c r="H8" i="8"/>
  <c r="H6" i="11" s="1"/>
  <c r="I11" i="8"/>
  <c r="I13" i="8"/>
  <c r="E8" i="8"/>
  <c r="E6" i="11" s="1"/>
  <c r="D13" i="8"/>
  <c r="J8" i="8"/>
  <c r="J6" i="11" s="1"/>
  <c r="H13" i="8"/>
  <c r="G13" i="8"/>
  <c r="F13" i="8"/>
  <c r="N29" i="11" l="1"/>
  <c r="O32" i="11"/>
  <c r="I114" i="8"/>
  <c r="L114" i="8"/>
  <c r="C14" i="8"/>
  <c r="D20" i="11" s="1"/>
  <c r="H114" i="8"/>
  <c r="L10" i="11"/>
  <c r="N35" i="11"/>
  <c r="N32" i="11"/>
  <c r="E114" i="8"/>
  <c r="G114" i="8"/>
  <c r="D26" i="11"/>
  <c r="D22" i="11"/>
  <c r="L19" i="8"/>
  <c r="L13" i="11"/>
  <c r="C16" i="12"/>
  <c r="C17" i="12" s="1"/>
  <c r="C18" i="12" s="1"/>
  <c r="D15" i="12"/>
  <c r="E15" i="12" s="1"/>
  <c r="I19" i="8"/>
  <c r="I13" i="11"/>
  <c r="D14" i="8"/>
  <c r="E20" i="11" s="1"/>
  <c r="E18" i="11"/>
  <c r="O6" i="11"/>
  <c r="N6" i="11"/>
  <c r="O31" i="11"/>
  <c r="O36" i="11"/>
  <c r="I14" i="8"/>
  <c r="J20" i="11" s="1"/>
  <c r="J18" i="11"/>
  <c r="N19" i="11"/>
  <c r="K14" i="8"/>
  <c r="L20" i="11" s="1"/>
  <c r="L18" i="11"/>
  <c r="O29" i="11"/>
  <c r="I38" i="11"/>
  <c r="I37" i="11"/>
  <c r="J40" i="11"/>
  <c r="J42" i="11"/>
  <c r="F40" i="11"/>
  <c r="F42" i="11"/>
  <c r="I40" i="11"/>
  <c r="I42" i="11"/>
  <c r="J14" i="8"/>
  <c r="K20" i="11" s="1"/>
  <c r="K18" i="11"/>
  <c r="N36" i="11"/>
  <c r="L42" i="11"/>
  <c r="L40" i="11"/>
  <c r="O30" i="11"/>
  <c r="F19" i="8"/>
  <c r="F20" i="8" s="1"/>
  <c r="F13" i="11"/>
  <c r="J10" i="11"/>
  <c r="E19" i="8"/>
  <c r="E28" i="8" s="1"/>
  <c r="E13" i="11"/>
  <c r="C70" i="8"/>
  <c r="C72" i="8" s="1"/>
  <c r="N28" i="11"/>
  <c r="J38" i="11"/>
  <c r="J37" i="11"/>
  <c r="E40" i="11"/>
  <c r="E42" i="11"/>
  <c r="E41" i="11"/>
  <c r="G19" i="8"/>
  <c r="G28" i="8" s="1"/>
  <c r="G13" i="11"/>
  <c r="E14" i="8"/>
  <c r="F20" i="11" s="1"/>
  <c r="F18" i="11"/>
  <c r="H14" i="8"/>
  <c r="I20" i="11" s="1"/>
  <c r="I18" i="11"/>
  <c r="N31" i="11"/>
  <c r="H40" i="11"/>
  <c r="H42" i="11"/>
  <c r="D42" i="11"/>
  <c r="D41" i="11"/>
  <c r="D40" i="11"/>
  <c r="H19" i="8"/>
  <c r="H20" i="8" s="1"/>
  <c r="H13" i="11"/>
  <c r="G38" i="11"/>
  <c r="G37" i="11"/>
  <c r="O35" i="11"/>
  <c r="K40" i="11"/>
  <c r="K42" i="11"/>
  <c r="K10" i="11"/>
  <c r="F14" i="8"/>
  <c r="G20" i="11" s="1"/>
  <c r="G18" i="11"/>
  <c r="J19" i="8"/>
  <c r="J13" i="11"/>
  <c r="N30" i="11"/>
  <c r="O28" i="11"/>
  <c r="G40" i="11"/>
  <c r="G42" i="11"/>
  <c r="D19" i="8"/>
  <c r="D13" i="11"/>
  <c r="O19" i="11"/>
  <c r="G14" i="8"/>
  <c r="H20" i="11" s="1"/>
  <c r="H18" i="11"/>
  <c r="K19" i="8"/>
  <c r="K13" i="11"/>
  <c r="H37" i="11"/>
  <c r="N37" i="11" s="1"/>
  <c r="H38" i="11"/>
  <c r="L70" i="8"/>
  <c r="L72" i="8" s="1"/>
  <c r="G70" i="8"/>
  <c r="G72" i="8" s="1"/>
  <c r="H70" i="8"/>
  <c r="H72" i="8" s="1"/>
  <c r="D70" i="8"/>
  <c r="D72" i="8" s="1"/>
  <c r="E70" i="8"/>
  <c r="E72" i="8" s="1"/>
  <c r="K70" i="8"/>
  <c r="K72" i="8" s="1"/>
  <c r="F70" i="8"/>
  <c r="F72" i="8" s="1"/>
  <c r="I70" i="8"/>
  <c r="I72" i="8" s="1"/>
  <c r="J70" i="8"/>
  <c r="J72" i="8" s="1"/>
  <c r="L20" i="8"/>
  <c r="I20" i="8"/>
  <c r="C20" i="8"/>
  <c r="C28" i="8"/>
  <c r="H41" i="11" l="1"/>
  <c r="O13" i="11"/>
  <c r="O18" i="11"/>
  <c r="N38" i="11"/>
  <c r="I41" i="11"/>
  <c r="F41" i="11"/>
  <c r="F28" i="8"/>
  <c r="F29" i="8" s="1"/>
  <c r="E29" i="8"/>
  <c r="F41" i="18"/>
  <c r="K26" i="11"/>
  <c r="K22" i="11"/>
  <c r="J14" i="11"/>
  <c r="J7" i="11"/>
  <c r="H28" i="8"/>
  <c r="H15" i="11" s="1"/>
  <c r="N40" i="11"/>
  <c r="E41" i="18"/>
  <c r="I7" i="11"/>
  <c r="J26" i="11"/>
  <c r="J22" i="11"/>
  <c r="I14" i="11"/>
  <c r="F7" i="11"/>
  <c r="G22" i="11"/>
  <c r="F14" i="11"/>
  <c r="G26" i="11"/>
  <c r="N13" i="11"/>
  <c r="O38" i="11"/>
  <c r="E20" i="8"/>
  <c r="E14" i="11"/>
  <c r="F22" i="11"/>
  <c r="E7" i="11"/>
  <c r="F26" i="11"/>
  <c r="O20" i="11"/>
  <c r="K28" i="8"/>
  <c r="G41" i="18"/>
  <c r="L22" i="11"/>
  <c r="L26" i="11"/>
  <c r="K14" i="11"/>
  <c r="K7" i="11"/>
  <c r="D41" i="18"/>
  <c r="H7" i="11"/>
  <c r="I26" i="11"/>
  <c r="I22" i="11"/>
  <c r="H14" i="11"/>
  <c r="N10" i="11"/>
  <c r="O10" i="11"/>
  <c r="C41" i="18"/>
  <c r="H26" i="11"/>
  <c r="G14" i="11"/>
  <c r="G7" i="11"/>
  <c r="H22" i="11"/>
  <c r="O37" i="11"/>
  <c r="J28" i="8"/>
  <c r="N42" i="11"/>
  <c r="N20" i="11"/>
  <c r="J20" i="8"/>
  <c r="G20" i="8"/>
  <c r="O42" i="11"/>
  <c r="L28" i="8"/>
  <c r="C6" i="19"/>
  <c r="H41" i="18"/>
  <c r="L14" i="11"/>
  <c r="L7" i="11"/>
  <c r="D28" i="8"/>
  <c r="E22" i="11"/>
  <c r="N22" i="11" s="1"/>
  <c r="D14" i="11"/>
  <c r="E26" i="11"/>
  <c r="O40" i="11"/>
  <c r="L41" i="11"/>
  <c r="D16" i="12"/>
  <c r="E16" i="12" s="1"/>
  <c r="J5" i="12" a="1"/>
  <c r="K20" i="8"/>
  <c r="J41" i="11"/>
  <c r="D7" i="11"/>
  <c r="D20" i="8"/>
  <c r="G41" i="11"/>
  <c r="K41" i="11"/>
  <c r="N18" i="11"/>
  <c r="I28" i="8"/>
  <c r="I34" i="8" s="1"/>
  <c r="E32" i="8"/>
  <c r="E34" i="8"/>
  <c r="E35" i="8" s="1"/>
  <c r="H34" i="8"/>
  <c r="G29" i="8"/>
  <c r="G32" i="8"/>
  <c r="G34" i="8"/>
  <c r="C34" i="8"/>
  <c r="C29" i="8"/>
  <c r="E39" i="8" l="1"/>
  <c r="O14" i="11"/>
  <c r="G15" i="11"/>
  <c r="F34" i="8"/>
  <c r="F15" i="11"/>
  <c r="D17" i="12"/>
  <c r="E17" i="12" s="1"/>
  <c r="N41" i="11"/>
  <c r="J15" i="11"/>
  <c r="I29" i="8"/>
  <c r="F32" i="8"/>
  <c r="N26" i="11"/>
  <c r="C8" i="19"/>
  <c r="C10" i="19" s="1"/>
  <c r="D6" i="19"/>
  <c r="J24" i="11"/>
  <c r="I16" i="11"/>
  <c r="I9" i="11"/>
  <c r="F16" i="11"/>
  <c r="F9" i="11"/>
  <c r="G24" i="11"/>
  <c r="D51" i="18"/>
  <c r="D53" i="18" s="1"/>
  <c r="D42" i="18"/>
  <c r="D61" i="18" s="1"/>
  <c r="N7" i="11"/>
  <c r="O7" i="11"/>
  <c r="H51" i="18"/>
  <c r="H53" i="18" s="1"/>
  <c r="H55" i="18" s="1"/>
  <c r="H60" i="18" s="1"/>
  <c r="H42" i="18"/>
  <c r="H61" i="18" s="1"/>
  <c r="H16" i="11"/>
  <c r="I24" i="11"/>
  <c r="H9" i="11"/>
  <c r="F24" i="11"/>
  <c r="O41" i="11"/>
  <c r="H32" i="8"/>
  <c r="L32" i="8"/>
  <c r="L15" i="11"/>
  <c r="L34" i="8"/>
  <c r="L29" i="8"/>
  <c r="C51" i="18"/>
  <c r="C53" i="18" s="1"/>
  <c r="C42" i="18"/>
  <c r="C61" i="18" s="1"/>
  <c r="D24" i="11"/>
  <c r="N14" i="11"/>
  <c r="F51" i="18"/>
  <c r="F53" i="18" s="1"/>
  <c r="F55" i="18" s="1"/>
  <c r="F60" i="18" s="1"/>
  <c r="F62" i="18" s="1"/>
  <c r="F42" i="18"/>
  <c r="F61" i="18" s="1"/>
  <c r="D32" i="8"/>
  <c r="D15" i="11"/>
  <c r="D34" i="8"/>
  <c r="E9" i="11" s="1"/>
  <c r="D29" i="8"/>
  <c r="E51" i="18"/>
  <c r="E53" i="18" s="1"/>
  <c r="E55" i="18" s="1"/>
  <c r="E60" i="18" s="1"/>
  <c r="E42" i="18"/>
  <c r="E61" i="18" s="1"/>
  <c r="J5" i="12"/>
  <c r="J13" i="12"/>
  <c r="J14" i="12"/>
  <c r="K14" i="12" s="1"/>
  <c r="J6" i="12"/>
  <c r="J7" i="12"/>
  <c r="J8" i="12"/>
  <c r="J9" i="12"/>
  <c r="K9" i="12" s="1"/>
  <c r="J11" i="12"/>
  <c r="J12" i="12"/>
  <c r="K12" i="12" s="1"/>
  <c r="J10" i="12"/>
  <c r="K10" i="12" s="1"/>
  <c r="H29" i="8"/>
  <c r="I15" i="11"/>
  <c r="D18" i="12"/>
  <c r="E18" i="12" s="1"/>
  <c r="G51" i="18"/>
  <c r="G53" i="18" s="1"/>
  <c r="G55" i="18" s="1"/>
  <c r="G60" i="18" s="1"/>
  <c r="G42" i="18"/>
  <c r="G61" i="18" s="1"/>
  <c r="J34" i="8"/>
  <c r="J35" i="8" s="1"/>
  <c r="K34" i="8"/>
  <c r="K15" i="11"/>
  <c r="K29" i="8"/>
  <c r="K32" i="8"/>
  <c r="J32" i="8"/>
  <c r="J29" i="8"/>
  <c r="O26" i="11"/>
  <c r="H24" i="11"/>
  <c r="G16" i="11"/>
  <c r="G9" i="11"/>
  <c r="I32" i="8"/>
  <c r="O22" i="11"/>
  <c r="E15" i="11"/>
  <c r="H35" i="8"/>
  <c r="H39" i="8"/>
  <c r="C35" i="8"/>
  <c r="C39" i="8"/>
  <c r="I35" i="8"/>
  <c r="I39" i="8"/>
  <c r="G35" i="8"/>
  <c r="G39" i="8"/>
  <c r="F35" i="8"/>
  <c r="F39" i="8"/>
  <c r="E43" i="8"/>
  <c r="E45" i="8"/>
  <c r="F23" i="11" s="1"/>
  <c r="E16" i="11" l="1"/>
  <c r="D55" i="18"/>
  <c r="D60" i="18" s="1"/>
  <c r="E6" i="19"/>
  <c r="D8" i="19"/>
  <c r="E62" i="18"/>
  <c r="J39" i="8"/>
  <c r="J45" i="8" s="1"/>
  <c r="K23" i="11" s="1"/>
  <c r="L35" i="8"/>
  <c r="L16" i="11"/>
  <c r="L9" i="11"/>
  <c r="L39" i="8"/>
  <c r="H62" i="18"/>
  <c r="F25" i="11"/>
  <c r="K11" i="12"/>
  <c r="D35" i="8"/>
  <c r="D16" i="11"/>
  <c r="E24" i="11"/>
  <c r="D39" i="8"/>
  <c r="D40" i="8" s="1"/>
  <c r="N15" i="11"/>
  <c r="K8" i="12"/>
  <c r="O15" i="11"/>
  <c r="K9" i="11"/>
  <c r="L24" i="11"/>
  <c r="K16" i="11"/>
  <c r="O16" i="11" s="1"/>
  <c r="K35" i="8"/>
  <c r="K39" i="8"/>
  <c r="K7" i="12"/>
  <c r="J16" i="11"/>
  <c r="K24" i="11"/>
  <c r="J9" i="11"/>
  <c r="K6" i="12"/>
  <c r="G62" i="18"/>
  <c r="J15" i="12"/>
  <c r="K15" i="12" s="1"/>
  <c r="D9" i="11"/>
  <c r="E66" i="18"/>
  <c r="E65" i="18"/>
  <c r="K13" i="12"/>
  <c r="G40" i="8"/>
  <c r="G43" i="8"/>
  <c r="G45" i="8"/>
  <c r="H23" i="11" s="1"/>
  <c r="H25" i="11" s="1"/>
  <c r="I40" i="8"/>
  <c r="I43" i="8"/>
  <c r="I45" i="8" s="1"/>
  <c r="J23" i="11" s="1"/>
  <c r="J25" i="11" s="1"/>
  <c r="C43" i="8"/>
  <c r="C45" i="8" s="1"/>
  <c r="J43" i="8"/>
  <c r="F43" i="8"/>
  <c r="F45" i="8" s="1"/>
  <c r="F40" i="8"/>
  <c r="H43" i="8"/>
  <c r="H45" i="8" s="1"/>
  <c r="H40" i="8"/>
  <c r="D62" i="18" l="1"/>
  <c r="C65" i="18"/>
  <c r="C66" i="18"/>
  <c r="O24" i="11"/>
  <c r="J40" i="8"/>
  <c r="N16" i="11"/>
  <c r="D10" i="19"/>
  <c r="D13" i="19" s="1"/>
  <c r="E8" i="19"/>
  <c r="F6" i="19"/>
  <c r="D43" i="8"/>
  <c r="D45" i="8" s="1"/>
  <c r="D46" i="8" s="1"/>
  <c r="E40" i="8"/>
  <c r="N9" i="11"/>
  <c r="O9" i="11"/>
  <c r="P5" i="12" a="1"/>
  <c r="N24" i="11"/>
  <c r="L43" i="8"/>
  <c r="L45" i="8" s="1"/>
  <c r="L46" i="8" s="1"/>
  <c r="L40" i="8"/>
  <c r="D66" i="18"/>
  <c r="D65" i="18"/>
  <c r="D23" i="11"/>
  <c r="K43" i="8"/>
  <c r="K45" i="8"/>
  <c r="L23" i="11" s="1"/>
  <c r="L25" i="11" s="1"/>
  <c r="H46" i="8"/>
  <c r="I23" i="11"/>
  <c r="I25" i="11" s="1"/>
  <c r="J16" i="12"/>
  <c r="F46" i="8"/>
  <c r="G23" i="11"/>
  <c r="G25" i="11" s="1"/>
  <c r="K40" i="8"/>
  <c r="K25" i="11"/>
  <c r="J46" i="8"/>
  <c r="I46" i="8"/>
  <c r="G46" i="8"/>
  <c r="E10" i="19" l="1"/>
  <c r="E13" i="19" s="1"/>
  <c r="F8" i="19"/>
  <c r="G6" i="19"/>
  <c r="P5" i="12"/>
  <c r="P14" i="12"/>
  <c r="P13" i="12"/>
  <c r="P12" i="12"/>
  <c r="P11" i="12"/>
  <c r="P10" i="12"/>
  <c r="P9" i="12"/>
  <c r="P8" i="12"/>
  <c r="P7" i="12"/>
  <c r="P6" i="12"/>
  <c r="K16" i="12"/>
  <c r="J17" i="12"/>
  <c r="K17" i="12" s="1"/>
  <c r="D25" i="11"/>
  <c r="K46" i="8"/>
  <c r="E23" i="11"/>
  <c r="E46" i="8"/>
  <c r="L29" i="1"/>
  <c r="M29" i="1" s="1"/>
  <c r="N29" i="1" s="1"/>
  <c r="O29" i="1" s="1"/>
  <c r="P29" i="1" s="1"/>
  <c r="Q29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F32" i="1"/>
  <c r="F33" i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31" i="1"/>
  <c r="G22" i="1"/>
  <c r="G23" i="1" s="1"/>
  <c r="G24" i="1" s="1"/>
  <c r="G29" i="1" s="1"/>
  <c r="C19" i="1"/>
  <c r="F13" i="1"/>
  <c r="F12" i="1"/>
  <c r="F9" i="1"/>
  <c r="F14" i="1" s="1"/>
  <c r="F4" i="1"/>
  <c r="G4" i="1"/>
  <c r="H4" i="1"/>
  <c r="I4" i="1"/>
  <c r="J4" i="1"/>
  <c r="E4" i="1"/>
  <c r="D4" i="1"/>
  <c r="E3" i="1"/>
  <c r="F3" i="1"/>
  <c r="G3" i="1"/>
  <c r="H3" i="1"/>
  <c r="I3" i="1"/>
  <c r="J3" i="1"/>
  <c r="D3" i="1"/>
  <c r="F10" i="19" l="1"/>
  <c r="F13" i="19" s="1"/>
  <c r="G8" i="19"/>
  <c r="H6" i="19"/>
  <c r="H8" i="19" s="1"/>
  <c r="O23" i="11"/>
  <c r="E25" i="11"/>
  <c r="O25" i="11" s="1"/>
  <c r="Q11" i="12"/>
  <c r="Q13" i="12"/>
  <c r="Q12" i="12"/>
  <c r="N23" i="11"/>
  <c r="Q14" i="12"/>
  <c r="Q6" i="12"/>
  <c r="Q7" i="12"/>
  <c r="Q8" i="12"/>
  <c r="Q9" i="12"/>
  <c r="Q10" i="12"/>
  <c r="J18" i="12"/>
  <c r="K18" i="12" s="1"/>
  <c r="P15" i="12"/>
  <c r="P16" i="12" s="1"/>
  <c r="Q16" i="12" s="1"/>
  <c r="I29" i="1"/>
  <c r="E1" i="2"/>
  <c r="B6" i="2"/>
  <c r="C35" i="19" s="1"/>
  <c r="Q15" i="12" l="1"/>
  <c r="N25" i="11"/>
  <c r="H10" i="19"/>
  <c r="H13" i="19" s="1"/>
  <c r="C21" i="19" s="1"/>
  <c r="C24" i="19" s="1"/>
  <c r="G10" i="19"/>
  <c r="G13" i="19" s="1"/>
  <c r="P17" i="12"/>
  <c r="Q17" i="12" s="1"/>
  <c r="E27" i="13"/>
  <c r="E28" i="13"/>
  <c r="I26" i="13" s="1"/>
  <c r="I28" i="13" s="1"/>
  <c r="P18" i="12" l="1"/>
  <c r="Q18" i="12" s="1"/>
  <c r="C28" i="19"/>
  <c r="C30" i="19" s="1"/>
  <c r="C34" i="19" s="1"/>
  <c r="C36" i="19" s="1"/>
  <c r="C40" i="19" l="1"/>
  <c r="C39" i="19"/>
</calcChain>
</file>

<file path=xl/sharedStrings.xml><?xml version="1.0" encoding="utf-8"?>
<sst xmlns="http://schemas.openxmlformats.org/spreadsheetml/2006/main" count="554" uniqueCount="416">
  <si>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</si>
  <si>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</si>
  <si>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</si>
  <si>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</si>
  <si>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</si>
  <si>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</si>
  <si>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</si>
  <si>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</si>
  <si>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</si>
  <si>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</si>
  <si>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</si>
  <si>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</si>
  <si>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</si>
  <si>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</si>
  <si>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</si>
  <si>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</si>
  <si>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</si>
  <si>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</si>
  <si>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</si>
  <si>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</si>
  <si>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</si>
  <si>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</si>
  <si>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</si>
  <si>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</si>
  <si>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</si>
  <si>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</si>
  <si>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</si>
  <si>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</si>
  <si>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</si>
  <si>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</si>
  <si>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</si>
  <si>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</si>
  <si>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</si>
  <si>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</si>
  <si>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</si>
  <si>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</si>
  <si>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</si>
  <si>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</si>
  <si>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</si>
  <si>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</si>
  <si>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</si>
  <si>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</si>
  <si>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</si>
  <si>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</si>
  <si>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</si>
  <si>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</si>
  <si>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</si>
  <si>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</si>
  <si>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</si>
  <si>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</si>
  <si>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</si>
  <si>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</si>
  <si>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ASIAN PAINTS LTD</t>
  </si>
  <si>
    <t>COMPANY NAME</t>
  </si>
  <si>
    <t>Time Periods</t>
  </si>
  <si>
    <t>Monthly Data</t>
  </si>
  <si>
    <t>Annual Data</t>
  </si>
  <si>
    <t>Monthly period</t>
  </si>
  <si>
    <t>Annual period</t>
  </si>
  <si>
    <t xml:space="preserve"> </t>
  </si>
  <si>
    <t>#</t>
  </si>
  <si>
    <t>RiskFreeRate</t>
  </si>
  <si>
    <t>MarketReturns</t>
  </si>
  <si>
    <t>Beta</t>
  </si>
  <si>
    <t>CostofDebt</t>
  </si>
  <si>
    <t>TaxRate</t>
  </si>
  <si>
    <t>EquityValue</t>
  </si>
  <si>
    <t>DebtValue</t>
  </si>
  <si>
    <t xml:space="preserve">Cost of equity </t>
  </si>
  <si>
    <t xml:space="preserve">Weight of equity </t>
  </si>
  <si>
    <t xml:space="preserve">Weight of debt </t>
  </si>
  <si>
    <t xml:space="preserve">post Cost of debt </t>
  </si>
  <si>
    <t xml:space="preserve">cost of capital </t>
  </si>
  <si>
    <t>D/E Ratio</t>
  </si>
  <si>
    <t>Coupon Rate</t>
  </si>
  <si>
    <t>Risk Rating</t>
  </si>
  <si>
    <t>Baa2</t>
  </si>
  <si>
    <t>Baa3</t>
  </si>
  <si>
    <t>Ba1</t>
  </si>
  <si>
    <t>Ba2</t>
  </si>
  <si>
    <t>Current Sales</t>
  </si>
  <si>
    <t>Sales Growth</t>
  </si>
  <si>
    <t>Gross Margin</t>
  </si>
  <si>
    <t>Next Year Sales</t>
  </si>
  <si>
    <t>Cost of Sales</t>
  </si>
  <si>
    <t>Gross Profit</t>
  </si>
  <si>
    <t xml:space="preserve">Growth Of sales </t>
  </si>
  <si>
    <t xml:space="preserve">Gross Profit </t>
  </si>
  <si>
    <t xml:space="preserve">Data Table </t>
  </si>
  <si>
    <t xml:space="preserve">Goal seek </t>
  </si>
  <si>
    <t xml:space="preserve">Growth Sales </t>
  </si>
  <si>
    <t>Table Data</t>
  </si>
  <si>
    <t xml:space="preserve">Scenario Analysis </t>
  </si>
  <si>
    <t xml:space="preserve">best </t>
  </si>
  <si>
    <t>worst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</si>
  <si>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</si>
  <si>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</si>
  <si>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</si>
  <si>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</si>
  <si>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</si>
  <si>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</si>
  <si>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</si>
  <si>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Created by Pranav Mishra on 26-12-2023
Modified by Pranav Mishra on 26-12-2023</t>
  </si>
  <si>
    <t>$G$18</t>
  </si>
  <si>
    <t>$G$19</t>
  </si>
  <si>
    <t>$G$20</t>
  </si>
  <si>
    <t>$G$22</t>
  </si>
  <si>
    <t>$G$23</t>
  </si>
  <si>
    <t>$G$24</t>
  </si>
  <si>
    <t xml:space="preserve">Year </t>
  </si>
  <si>
    <t xml:space="preserve">Income statement </t>
  </si>
  <si>
    <t xml:space="preserve">Sales </t>
  </si>
  <si>
    <t xml:space="preserve">Sales growth </t>
  </si>
  <si>
    <t xml:space="preserve">Cogs </t>
  </si>
  <si>
    <t xml:space="preserve">cogs % in sales </t>
  </si>
  <si>
    <t xml:space="preserve">Gross profit </t>
  </si>
  <si>
    <t xml:space="preserve">Gross Margin in Sales </t>
  </si>
  <si>
    <t>selling and general exp</t>
  </si>
  <si>
    <t xml:space="preserve">S&amp;g Exp % in sales </t>
  </si>
  <si>
    <t xml:space="preserve">EBITDA </t>
  </si>
  <si>
    <t xml:space="preserve">EBITDA % in sales </t>
  </si>
  <si>
    <t xml:space="preserve">Interest 5 in sales </t>
  </si>
  <si>
    <t xml:space="preserve">Depreciation </t>
  </si>
  <si>
    <t xml:space="preserve">Dep % in sales </t>
  </si>
  <si>
    <t>Profit before Tax (Pat)</t>
  </si>
  <si>
    <t xml:space="preserve">Pat % in sales </t>
  </si>
  <si>
    <t xml:space="preserve">Tax </t>
  </si>
  <si>
    <t xml:space="preserve">Effective Tax </t>
  </si>
  <si>
    <t xml:space="preserve">Earning after Tax </t>
  </si>
  <si>
    <t xml:space="preserve">Net Margin </t>
  </si>
  <si>
    <t xml:space="preserve">Equity  share </t>
  </si>
  <si>
    <t>Earning per Share (EPS)</t>
  </si>
  <si>
    <t xml:space="preserve">Growth Of eps </t>
  </si>
  <si>
    <t>Dividend per share</t>
  </si>
  <si>
    <t xml:space="preserve">Dividend Yield </t>
  </si>
  <si>
    <t>Retained Earning</t>
  </si>
  <si>
    <t>Growth of Retained Earning</t>
  </si>
  <si>
    <t xml:space="preserve">Total Liabilities </t>
  </si>
  <si>
    <t xml:space="preserve">Total non Current Assets </t>
  </si>
  <si>
    <t xml:space="preserve">Total Current Assets </t>
  </si>
  <si>
    <t xml:space="preserve">Total Assets </t>
  </si>
  <si>
    <r>
      <t xml:space="preserve">Other Assets 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</si>
  <si>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 xml:space="preserve">Check </t>
  </si>
  <si>
    <t>Cash from Operating Activity -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</si>
  <si>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</si>
  <si>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</si>
  <si>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</si>
  <si>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</si>
  <si>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</si>
  <si>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</si>
  <si>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</si>
  <si>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</si>
  <si>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</si>
  <si>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</si>
  <si>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</si>
  <si>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</si>
  <si>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</si>
  <si>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 in subsidiaries</t>
  </si>
  <si>
    <t>Investment in group cos</t>
  </si>
  <si>
    <t>Redemp n Canc of Shares</t>
  </si>
  <si>
    <t>Acquisition of companies</t>
  </si>
  <si>
    <t>Inter corporate deposits</t>
  </si>
  <si>
    <t>Other investing items</t>
  </si>
  <si>
    <t>Cash from Financing Activity -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</si>
  <si>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</si>
  <si>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</si>
  <si>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</si>
  <si>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</si>
  <si>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</si>
  <si>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</si>
  <si>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</si>
  <si>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</si>
  <si>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 xml:space="preserve">Cash from financing Activity </t>
  </si>
  <si>
    <t xml:space="preserve">Growth Ratio </t>
  </si>
  <si>
    <t xml:space="preserve">Sales Growth </t>
  </si>
  <si>
    <t xml:space="preserve">EBITDA Growth </t>
  </si>
  <si>
    <t>EBIT Growth</t>
  </si>
  <si>
    <t xml:space="preserve">Net Profit Growth </t>
  </si>
  <si>
    <t>Dividend Growth</t>
  </si>
  <si>
    <t>Margin  Ratio</t>
  </si>
  <si>
    <t xml:space="preserve">Gross Margin </t>
  </si>
  <si>
    <t xml:space="preserve">EBITDA Margin </t>
  </si>
  <si>
    <t xml:space="preserve">EBIT Margin </t>
  </si>
  <si>
    <t xml:space="preserve">Net Profit Margin </t>
  </si>
  <si>
    <t>SalesExpenses%Sales</t>
  </si>
  <si>
    <t>Depreciation%Sales</t>
  </si>
  <si>
    <t>OperatingIncome%Sales</t>
  </si>
  <si>
    <t>Return on Capital Employed</t>
  </si>
  <si>
    <t>Retained Earnings%</t>
  </si>
  <si>
    <t>Return on Equity%</t>
  </si>
  <si>
    <t>Self Sustained Growth Rate</t>
  </si>
  <si>
    <t>Interest Coverage Ratio</t>
  </si>
  <si>
    <t>Debtor Turnover Ratio</t>
  </si>
  <si>
    <t>Creditor Turnover Ratio</t>
  </si>
  <si>
    <t>Inventory Turnover</t>
  </si>
  <si>
    <t>Fixed Asset Turnover</t>
  </si>
  <si>
    <t>Capital Turnover Ratio</t>
  </si>
  <si>
    <t>Debtor Days</t>
  </si>
  <si>
    <t>Payable Days</t>
  </si>
  <si>
    <t>Inventory Days</t>
  </si>
  <si>
    <t>Cash Conversion Cycle</t>
  </si>
  <si>
    <t>CFO/Sales</t>
  </si>
  <si>
    <t>CFO/Total Assets</t>
  </si>
  <si>
    <t>CFO/Total Debt</t>
  </si>
  <si>
    <t>Trend</t>
  </si>
  <si>
    <t xml:space="preserve">Average </t>
  </si>
  <si>
    <t xml:space="preserve">Median </t>
  </si>
  <si>
    <t xml:space="preserve">Weight Year </t>
  </si>
  <si>
    <t xml:space="preserve">                       </t>
  </si>
  <si>
    <t>EBITDA</t>
  </si>
  <si>
    <t>EPS</t>
  </si>
  <si>
    <t xml:space="preserve">All Figure in INR unless Stated otherwise </t>
  </si>
  <si>
    <t>Name of Comp</t>
  </si>
  <si>
    <t xml:space="preserve">Country </t>
  </si>
  <si>
    <t xml:space="preserve">Total Debt </t>
  </si>
  <si>
    <t xml:space="preserve">Total Equity </t>
  </si>
  <si>
    <r>
      <t xml:space="preserve">Tax Rate </t>
    </r>
    <r>
      <rPr>
        <b/>
        <vertAlign val="superscript"/>
        <sz val="11"/>
        <color rgb="FF000000"/>
        <rFont val="Calibri"/>
        <family val="2"/>
      </rPr>
      <t>1</t>
    </r>
  </si>
  <si>
    <t>India</t>
  </si>
  <si>
    <t>debt /</t>
  </si>
  <si>
    <t>Equity</t>
  </si>
  <si>
    <t>debt/</t>
  </si>
  <si>
    <t>Capital</t>
  </si>
  <si>
    <t xml:space="preserve">Levered </t>
  </si>
  <si>
    <t xml:space="preserve">Beta </t>
  </si>
  <si>
    <t xml:space="preserve">Unlevered </t>
  </si>
  <si>
    <t>S.No.</t>
  </si>
  <si>
    <t>Name</t>
  </si>
  <si>
    <t>CMP Rs.</t>
  </si>
  <si>
    <t xml:space="preserve">Mar Cap Rs.Cr. </t>
  </si>
  <si>
    <t>Debt Rs.Cr.</t>
  </si>
  <si>
    <t>Debt / Eq</t>
  </si>
  <si>
    <t>Maruti Suzuki</t>
  </si>
  <si>
    <t>Tata Motors</t>
  </si>
  <si>
    <t>M &amp; M</t>
  </si>
  <si>
    <t>Bajaj Auto</t>
  </si>
  <si>
    <t>Eicher Motors</t>
  </si>
  <si>
    <t>Date</t>
  </si>
  <si>
    <t>Adj Close</t>
  </si>
  <si>
    <t>Regression Beta for 2 year weekly</t>
  </si>
  <si>
    <t xml:space="preserve">Tata Motor Returning </t>
  </si>
  <si>
    <t>Return</t>
  </si>
  <si>
    <t xml:space="preserve">Nifty  Returning </t>
  </si>
  <si>
    <t>Beta 1</t>
  </si>
  <si>
    <t>Beta 2</t>
  </si>
  <si>
    <t>Beta 3(regression)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</si>
  <si>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</si>
  <si>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</si>
  <si>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</si>
  <si>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</si>
  <si>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</si>
  <si>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</si>
  <si>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</si>
  <si>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</si>
  <si>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</si>
  <si>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</si>
  <si>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</si>
  <si>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</si>
  <si>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</si>
  <si>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</si>
  <si>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</si>
  <si>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</si>
  <si>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</si>
  <si>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</si>
  <si>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</si>
  <si>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</si>
  <si>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</si>
  <si>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</si>
  <si>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</si>
  <si>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</si>
  <si>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Tata Motor Beta Calculation</t>
  </si>
  <si>
    <t xml:space="preserve">Levered Raw Beta </t>
  </si>
  <si>
    <t xml:space="preserve">Weight For Raw Beta </t>
  </si>
  <si>
    <t xml:space="preserve">Market Beta </t>
  </si>
  <si>
    <t xml:space="preserve">Weightage </t>
  </si>
  <si>
    <t xml:space="preserve">Tata Motor Beta Drfiting </t>
  </si>
  <si>
    <t>Particular</t>
  </si>
  <si>
    <t xml:space="preserve">Adjusted Beta </t>
  </si>
  <si>
    <t xml:space="preserve">Company </t>
  </si>
  <si>
    <t xml:space="preserve">Leverd Beta </t>
  </si>
  <si>
    <t xml:space="preserve">Tata Motor </t>
  </si>
  <si>
    <t xml:space="preserve">Cost on debt </t>
  </si>
  <si>
    <t xml:space="preserve">Pre Tax cost of debt(interest/Total debt </t>
  </si>
  <si>
    <t>Post tax cost of debt</t>
  </si>
  <si>
    <t xml:space="preserve">Cost on equity </t>
  </si>
  <si>
    <t xml:space="preserve">Risk Free Return </t>
  </si>
  <si>
    <t xml:space="preserve">Cost on Equity </t>
  </si>
  <si>
    <r>
      <t xml:space="preserve">Equity Risk Premium </t>
    </r>
    <r>
      <rPr>
        <vertAlign val="superscript"/>
        <sz val="11"/>
        <color theme="1"/>
        <rFont val="Calibri"/>
        <family val="2"/>
      </rPr>
      <t>2</t>
    </r>
  </si>
  <si>
    <t xml:space="preserve">Levered Beta </t>
  </si>
  <si>
    <t>Year</t>
  </si>
  <si>
    <t>Annual</t>
  </si>
  <si>
    <t xml:space="preserve">Market Return for 10 Year Annualy </t>
  </si>
  <si>
    <t xml:space="preserve">Market return </t>
  </si>
  <si>
    <t xml:space="preserve">Dividend </t>
  </si>
  <si>
    <t xml:space="preserve">Total Market </t>
  </si>
  <si>
    <t xml:space="preserve"># </t>
  </si>
  <si>
    <t xml:space="preserve">Capital Structure </t>
  </si>
  <si>
    <t xml:space="preserve">Unlevered BetaMedian  </t>
  </si>
  <si>
    <t>Debt /Equity (expected )</t>
  </si>
  <si>
    <t xml:space="preserve">Total debt </t>
  </si>
  <si>
    <t xml:space="preserve">Market Capitalization </t>
  </si>
  <si>
    <t xml:space="preserve">Current </t>
  </si>
  <si>
    <t>Expected</t>
  </si>
  <si>
    <t>Debt /Equity</t>
  </si>
  <si>
    <t>Weightage Average Cost of Capital</t>
  </si>
  <si>
    <t>Weightage Equity(expected)</t>
  </si>
  <si>
    <t xml:space="preserve">Cost of Equity </t>
  </si>
  <si>
    <t xml:space="preserve">Cost of Debt </t>
  </si>
  <si>
    <t>Weightage Debt (expected )</t>
  </si>
  <si>
    <t>WACC</t>
  </si>
  <si>
    <t xml:space="preserve">1. Tax rate  considered as marginal tax rate for the country </t>
  </si>
  <si>
    <t xml:space="preserve">2.Levered Beta is based on 2 year of weekly  data </t>
  </si>
  <si>
    <t>3.Unlevered Beta = Levered Beta/(1+(1-Tax rate)*Debt/Equity ))</t>
  </si>
  <si>
    <t>4.Levered Beta =un Levered Beta*(1+(1-Tax rate)*Debt/Equity ))</t>
  </si>
  <si>
    <t>Interprataion</t>
  </si>
  <si>
    <t xml:space="preserve">The Debt of Avenue in long Run would 3% of the total capital </t>
  </si>
  <si>
    <t xml:space="preserve">The Levered beta 2.11 in long run </t>
  </si>
  <si>
    <t xml:space="preserve">We will always take comparable comp beta </t>
  </si>
  <si>
    <r>
      <t xml:space="preserve">Levered Beta Cal </t>
    </r>
    <r>
      <rPr>
        <b/>
        <vertAlign val="superscript"/>
        <sz val="11"/>
        <color theme="1"/>
        <rFont val="Calibri"/>
        <family val="2"/>
      </rPr>
      <t>2</t>
    </r>
  </si>
  <si>
    <t xml:space="preserve">Particluar </t>
  </si>
  <si>
    <t xml:space="preserve">Particular </t>
  </si>
  <si>
    <t xml:space="preserve">Total Laibilites 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</si>
  <si>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</si>
  <si>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</si>
  <si>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</si>
  <si>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</si>
  <si>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</si>
  <si>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</si>
  <si>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</si>
  <si>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</si>
  <si>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</si>
  <si>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</si>
  <si>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</si>
  <si>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Total Liabilities</t>
  </si>
  <si>
    <t>Fixed Assets -</t>
  </si>
  <si>
    <t>Land</t>
  </si>
  <si>
    <t>Building</t>
  </si>
  <si>
    <t>Plant Machinery</t>
  </si>
  <si>
    <t>Equipments</t>
  </si>
  <si>
    <t>Computers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</si>
  <si>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</si>
  <si>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</si>
  <si>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</si>
  <si>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</si>
  <si>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</si>
  <si>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</si>
  <si>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</si>
  <si>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</si>
  <si>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</si>
  <si>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</si>
  <si>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</si>
  <si>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Short term loans</t>
  </si>
  <si>
    <t>Other asset items</t>
  </si>
  <si>
    <t>Total Assets</t>
  </si>
  <si>
    <r>
      <t>Total Current Assets</t>
    </r>
    <r>
      <rPr>
        <b/>
        <sz val="11"/>
        <color rgb="FFFF0000"/>
        <rFont val="Calibri"/>
        <family val="2"/>
      </rPr>
      <t xml:space="preserve">* </t>
    </r>
  </si>
  <si>
    <t>Current Assets</t>
  </si>
  <si>
    <t>Current Liabilities</t>
  </si>
  <si>
    <t>Total Current Liability **</t>
  </si>
  <si>
    <t xml:space="preserve">Working Capital </t>
  </si>
  <si>
    <t xml:space="preserve">Non-Current  Liability </t>
  </si>
  <si>
    <t xml:space="preserve">Net Block </t>
  </si>
  <si>
    <t xml:space="preserve">Invested Capital </t>
  </si>
  <si>
    <t>EBIT</t>
  </si>
  <si>
    <t>ROIC</t>
  </si>
  <si>
    <t xml:space="preserve">Reinvestment Calculation </t>
  </si>
  <si>
    <t xml:space="preserve">Net Capex </t>
  </si>
  <si>
    <t>Net Change In working cap</t>
  </si>
  <si>
    <t xml:space="preserve">EBIT </t>
  </si>
  <si>
    <t>EBIT(1- Tax )</t>
  </si>
  <si>
    <t>A</t>
  </si>
  <si>
    <t>B</t>
  </si>
  <si>
    <t xml:space="preserve">Reinvestment Rate </t>
  </si>
  <si>
    <t>Reinvestment Rate (A/B)</t>
  </si>
  <si>
    <t xml:space="preserve">Sum of the two </t>
  </si>
  <si>
    <t xml:space="preserve">Calculation Intrinsic Growth </t>
  </si>
  <si>
    <t xml:space="preserve">Intrinsic Growth </t>
  </si>
  <si>
    <t>Average Growth</t>
  </si>
  <si>
    <t>Intrinsic Growth</t>
  </si>
  <si>
    <t xml:space="preserve">Median Growth </t>
  </si>
  <si>
    <t xml:space="preserve">#note </t>
  </si>
  <si>
    <t xml:space="preserve">* Here we have do not include cash </t>
  </si>
  <si>
    <t xml:space="preserve">**Here we ignore the non controlling Int </t>
  </si>
  <si>
    <t xml:space="preserve">Tax Rate </t>
  </si>
  <si>
    <t>EBIT(1-Tax Rate )</t>
  </si>
  <si>
    <t>Free cash of firm</t>
  </si>
  <si>
    <t xml:space="preserve">Less;Reinvestment Rate* </t>
  </si>
  <si>
    <r>
      <t xml:space="preserve">Expected Growth </t>
    </r>
    <r>
      <rPr>
        <vertAlign val="superscript"/>
        <sz val="11"/>
        <color theme="1"/>
        <rFont val="Calibri"/>
        <family val="2"/>
      </rPr>
      <t>2</t>
    </r>
  </si>
  <si>
    <r>
      <t xml:space="preserve">Terminal Growth </t>
    </r>
    <r>
      <rPr>
        <vertAlign val="superscript"/>
        <sz val="11"/>
        <color theme="1"/>
        <rFont val="Calibri"/>
        <family val="2"/>
      </rPr>
      <t>3</t>
    </r>
  </si>
  <si>
    <t>Mid Year Conventionn</t>
  </si>
  <si>
    <t xml:space="preserve">Discounting factor </t>
  </si>
  <si>
    <t xml:space="preserve">Calculation Of Terminal Value </t>
  </si>
  <si>
    <t xml:space="preserve">Terminal Growth </t>
  </si>
  <si>
    <t>FCFF(1+n)**</t>
  </si>
  <si>
    <t xml:space="preserve">Terminal Value </t>
  </si>
  <si>
    <t>**</t>
  </si>
  <si>
    <t>PV</t>
  </si>
  <si>
    <t xml:space="preserve">See The formula of terminal Value Gordan Theorem </t>
  </si>
  <si>
    <t xml:space="preserve">add; cash </t>
  </si>
  <si>
    <t>less; Debt</t>
  </si>
  <si>
    <t xml:space="preserve">value Of Share </t>
  </si>
  <si>
    <t xml:space="preserve">PV Of the Terminal value </t>
  </si>
  <si>
    <t xml:space="preserve">value of operation assets orenterprise </t>
  </si>
  <si>
    <t xml:space="preserve">Equity Value Per Share </t>
  </si>
  <si>
    <t xml:space="preserve">Current Share </t>
  </si>
  <si>
    <t xml:space="preserve">Premium/Discount </t>
  </si>
  <si>
    <t>Premium/Discount time</t>
  </si>
  <si>
    <t>Assume the reinvestment Rate 10%</t>
  </si>
  <si>
    <t xml:space="preserve">CIF </t>
  </si>
  <si>
    <t>npv</t>
  </si>
  <si>
    <t xml:space="preserve">loan amount </t>
  </si>
  <si>
    <t xml:space="preserve">Loan rate </t>
  </si>
  <si>
    <t xml:space="preserve">time </t>
  </si>
  <si>
    <t xml:space="preserve">installment </t>
  </si>
  <si>
    <t xml:space="preserve">Interest amount </t>
  </si>
  <si>
    <t xml:space="preserve">IPMT </t>
  </si>
  <si>
    <t xml:space="preserve">PMT </t>
  </si>
  <si>
    <t xml:space="preserve">PPMT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</si>
</sst>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mm/dd/yyyy"/>
    <numFmt numFmtId="167" formatCode="&quot;₹&quot;\ #,##0.0;&quot;₹&quot;\ \(#,##0.0\);\-"/>
    <numFmt numFmtId="168" formatCode="&quot;₹&quot;\ #,##0.00"/>
    <numFmt numFmtId="169" formatCode="0.0"/>
    <numFmt numFmtId="170" formatCode="&quot;₹&quot;\ #,##0.00;&quot;₹&quot;\ \(#,##0.00\);\-"/>
    <numFmt numFmtId="171" formatCode="0.00&quot;x&quot;"/>
    <numFmt numFmtId="172" formatCode="0.00&quot;Days&quot;"/>
    <numFmt numFmtId="173" formatCode="mmm/yy&quot; A&quot;"/>
    <numFmt numFmtId="174" formatCode="mmm/yy&quot; F&quot;"/>
    <numFmt numFmtId="175" formatCode="#,##0.0"/>
    <numFmt numFmtId="176" formatCode="General&quot;*&quot;"/>
    <numFmt numFmtId="177" formatCode="0.000"/>
    <numFmt numFmtId="178" formatCode="&quot;₹&quot;\ #,##0.0"/>
    <numFmt numFmtId="179" formatCode="0.00%;\-"/>
  </numFmts>
  <fonts count="2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33399"/>
      <name val="Calibri"/>
      <family val="2"/>
    </font>
    <font>
      <i/>
      <sz val="11"/>
      <color theme="0" tint="-0.499984740745262"/>
      <name val="Calibri"/>
      <family val="2"/>
    </font>
    <font>
      <i/>
      <sz val="11"/>
      <color theme="0" tint="-0.499984740745262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sz val="11"/>
      <color rgb="FF3333FF"/>
      <name val="Calibri"/>
      <family val="2"/>
    </font>
    <font>
      <i/>
      <sz val="11"/>
      <color theme="1"/>
      <name val="Calibri"/>
      <family val="2"/>
    </font>
    <font>
      <i/>
      <sz val="11"/>
      <color rgb="FF3333FF"/>
      <name val="Calibri"/>
      <family val="2"/>
    </font>
    <font>
      <vertAlign val="superscript"/>
      <sz val="11"/>
      <color theme="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theme="1"/>
      <name val="Calibri"/>
      <family val="2"/>
    </font>
    <font>
      <b/>
      <sz val="11"/>
      <color rgb="FFFF0000"/>
      <name val="Calibri"/>
      <family val="2"/>
    </font>
    <font>
      <b/>
      <i/>
      <sz val="11"/>
      <color rgb="FF333399"/>
      <name val="Calibri"/>
      <family val="2"/>
    </font>
    <font>
      <i/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8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72">
    <xf numFmtId="0" fontId="0" fillId="0" borderId="0" xfId="0"/>
    <xf numFmtId="164" fontId="0" fillId="0" borderId="0" xfId="2" applyFont="1" applyBorder="1"/>
    <xf numFmtId="43" fontId="0" fillId="0" borderId="0" xfId="2" applyNumberFormat="1" applyFont="1" applyBorder="1"/>
    <xf numFmtId="164" fontId="5" fillId="0" borderId="0" xfId="2" applyFont="1" applyBorder="1"/>
    <xf numFmtId="0" fontId="4" fillId="0" borderId="0" xfId="3"/>
    <xf numFmtId="164" fontId="4" fillId="0" borderId="0" xfId="2" applyFont="1" applyBorder="1"/>
    <xf numFmtId="165" fontId="6" fillId="0" borderId="0" xfId="2" applyNumberFormat="1" applyFont="1" applyFill="1" applyBorder="1"/>
    <xf numFmtId="165" fontId="7" fillId="3" borderId="0" xfId="3" applyNumberFormat="1" applyFont="1" applyFill="1" applyAlignment="1">
      <alignment horizontal="center"/>
    </xf>
    <xf numFmtId="165" fontId="7" fillId="3" borderId="0" xfId="2" applyNumberFormat="1" applyFont="1" applyFill="1" applyBorder="1"/>
    <xf numFmtId="14" fontId="0" fillId="0" borderId="0" xfId="0" applyNumberFormat="1"/>
    <xf numFmtId="166" fontId="0" fillId="0" borderId="0" xfId="0" applyNumberFormat="1"/>
    <xf numFmtId="9" fontId="0" fillId="0" borderId="0" xfId="0" applyNumberFormat="1"/>
    <xf numFmtId="9" fontId="10" fillId="0" borderId="0" xfId="0" applyNumberFormat="1" applyFont="1"/>
    <xf numFmtId="0" fontId="10" fillId="0" borderId="0" xfId="0" applyFont="1"/>
    <xf numFmtId="0" fontId="0" fillId="0" borderId="1" xfId="0" applyBorder="1"/>
    <xf numFmtId="10" fontId="0" fillId="0" borderId="0" xfId="0" applyNumberFormat="1"/>
    <xf numFmtId="4" fontId="0" fillId="0" borderId="0" xfId="0" applyNumberFormat="1"/>
    <xf numFmtId="4" fontId="0" fillId="0" borderId="1" xfId="0" applyNumberFormat="1" applyBorder="1"/>
    <xf numFmtId="4" fontId="10" fillId="0" borderId="0" xfId="0" applyNumberFormat="1" applyFont="1"/>
    <xf numFmtId="10" fontId="10" fillId="0" borderId="0" xfId="0" applyNumberFormat="1" applyFont="1"/>
    <xf numFmtId="0" fontId="3" fillId="0" borderId="0" xfId="0" applyFont="1"/>
    <xf numFmtId="0" fontId="2" fillId="5" borderId="0" xfId="0" applyFont="1" applyFill="1" applyAlignment="1">
      <alignment horizontal="center"/>
    </xf>
    <xf numFmtId="17" fontId="2" fillId="5" borderId="0" xfId="0" applyNumberFormat="1" applyFont="1" applyFill="1" applyAlignment="1">
      <alignment horizontal="center"/>
    </xf>
    <xf numFmtId="167" fontId="0" fillId="0" borderId="0" xfId="0" applyNumberFormat="1"/>
    <xf numFmtId="10" fontId="11" fillId="0" borderId="0" xfId="1" applyNumberFormat="1" applyFont="1"/>
    <xf numFmtId="0" fontId="12" fillId="0" borderId="0" xfId="0" applyFont="1"/>
    <xf numFmtId="0" fontId="3" fillId="0" borderId="2" xfId="0" applyFont="1" applyBorder="1"/>
    <xf numFmtId="168" fontId="3" fillId="0" borderId="2" xfId="0" applyNumberFormat="1" applyFont="1" applyBorder="1"/>
    <xf numFmtId="169" fontId="3" fillId="0" borderId="2" xfId="0" applyNumberFormat="1" applyFont="1" applyBorder="1"/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1" fontId="0" fillId="0" borderId="0" xfId="0" applyNumberFormat="1"/>
    <xf numFmtId="170" fontId="0" fillId="0" borderId="0" xfId="0" applyNumberFormat="1"/>
    <xf numFmtId="164" fontId="5" fillId="0" borderId="4" xfId="2" applyFont="1" applyBorder="1"/>
    <xf numFmtId="0" fontId="3" fillId="0" borderId="4" xfId="0" applyFont="1" applyBorder="1"/>
    <xf numFmtId="164" fontId="5" fillId="0" borderId="2" xfId="2" applyFont="1" applyBorder="1"/>
    <xf numFmtId="0" fontId="3" fillId="0" borderId="0" xfId="0" applyFont="1" applyAlignment="1">
      <alignment horizontal="right"/>
    </xf>
    <xf numFmtId="17" fontId="4" fillId="0" borderId="0" xfId="3" applyNumberFormat="1" applyAlignment="1">
      <alignment horizontal="right" vertical="center" wrapText="1" indent="1"/>
    </xf>
    <xf numFmtId="0" fontId="4" fillId="0" borderId="0" xfId="3" applyAlignment="1">
      <alignment horizontal="left" vertical="center" indent="1"/>
    </xf>
    <xf numFmtId="3" fontId="4" fillId="0" borderId="0" xfId="3" applyNumberFormat="1" applyAlignment="1">
      <alignment horizontal="right" vertical="center" wrapText="1" indent="1"/>
    </xf>
    <xf numFmtId="0" fontId="4" fillId="0" borderId="0" xfId="3" applyAlignment="1">
      <alignment horizontal="left" vertical="center"/>
    </xf>
    <xf numFmtId="0" fontId="4" fillId="0" borderId="0" xfId="3" applyAlignment="1">
      <alignment horizontal="right" vertical="center" wrapText="1" indent="1"/>
    </xf>
    <xf numFmtId="9" fontId="4" fillId="0" borderId="0" xfId="1" applyFont="1" applyAlignment="1">
      <alignment horizontal="left" vertical="center" indent="1"/>
    </xf>
    <xf numFmtId="9" fontId="4" fillId="0" borderId="0" xfId="1" applyFont="1" applyAlignment="1">
      <alignment horizontal="left" vertical="center"/>
    </xf>
    <xf numFmtId="9" fontId="5" fillId="0" borderId="2" xfId="1" applyFont="1" applyBorder="1" applyAlignment="1">
      <alignment horizontal="left" vertical="center" indent="1"/>
    </xf>
    <xf numFmtId="167" fontId="3" fillId="0" borderId="2" xfId="0" applyNumberFormat="1" applyFont="1" applyBorder="1"/>
    <xf numFmtId="9" fontId="5" fillId="0" borderId="3" xfId="1" applyFont="1" applyBorder="1" applyAlignment="1">
      <alignment horizontal="left" vertical="center" indent="1"/>
    </xf>
    <xf numFmtId="167" fontId="3" fillId="0" borderId="3" xfId="0" applyNumberFormat="1" applyFont="1" applyBorder="1"/>
    <xf numFmtId="0" fontId="0" fillId="0" borderId="0" xfId="0" applyAlignment="1">
      <alignment wrapText="1"/>
    </xf>
    <xf numFmtId="0" fontId="0" fillId="0" borderId="5" xfId="0" applyBorder="1" applyAlignment="1">
      <alignment vertical="center"/>
    </xf>
    <xf numFmtId="0" fontId="14" fillId="0" borderId="5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14" fillId="0" borderId="6" xfId="0" applyFont="1" applyBorder="1" applyAlignment="1">
      <alignment vertical="center"/>
    </xf>
    <xf numFmtId="0" fontId="5" fillId="0" borderId="0" xfId="3" applyFont="1" applyAlignment="1">
      <alignment horizontal="left" vertical="center" indent="1"/>
    </xf>
    <xf numFmtId="3" fontId="5" fillId="0" borderId="0" xfId="3" applyNumberFormat="1" applyFont="1" applyAlignment="1">
      <alignment horizontal="right" vertical="center" wrapText="1" indent="1"/>
    </xf>
    <xf numFmtId="0" fontId="5" fillId="0" borderId="0" xfId="3" applyFont="1"/>
    <xf numFmtId="172" fontId="0" fillId="0" borderId="0" xfId="0" applyNumberFormat="1"/>
    <xf numFmtId="0" fontId="0" fillId="0" borderId="5" xfId="0" applyBorder="1"/>
    <xf numFmtId="10" fontId="0" fillId="0" borderId="5" xfId="1" applyNumberFormat="1" applyFont="1" applyBorder="1"/>
    <xf numFmtId="10" fontId="0" fillId="0" borderId="0" xfId="1" applyNumberFormat="1" applyFont="1" applyBorder="1"/>
    <xf numFmtId="0" fontId="0" fillId="0" borderId="6" xfId="0" applyBorder="1"/>
    <xf numFmtId="10" fontId="0" fillId="0" borderId="6" xfId="1" applyNumberFormat="1" applyFont="1" applyBorder="1"/>
    <xf numFmtId="0" fontId="14" fillId="0" borderId="0" xfId="0" applyFont="1" applyAlignment="1">
      <alignment vertical="center"/>
    </xf>
    <xf numFmtId="171" fontId="0" fillId="0" borderId="6" xfId="0" applyNumberFormat="1" applyBorder="1"/>
    <xf numFmtId="171" fontId="0" fillId="0" borderId="5" xfId="0" applyNumberFormat="1" applyBorder="1"/>
    <xf numFmtId="171" fontId="0" fillId="0" borderId="0" xfId="0" applyNumberFormat="1"/>
    <xf numFmtId="0" fontId="0" fillId="0" borderId="0" xfId="0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/>
    </xf>
    <xf numFmtId="169" fontId="0" fillId="0" borderId="0" xfId="0" applyNumberFormat="1" applyAlignment="1">
      <alignment horizontal="right"/>
    </xf>
    <xf numFmtId="169" fontId="0" fillId="6" borderId="0" xfId="0" applyNumberFormat="1" applyFill="1" applyAlignment="1">
      <alignment horizontal="right"/>
    </xf>
    <xf numFmtId="17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0" fontId="15" fillId="0" borderId="0" xfId="0" applyFont="1"/>
    <xf numFmtId="0" fontId="16" fillId="0" borderId="8" xfId="0" applyFont="1" applyBorder="1"/>
    <xf numFmtId="0" fontId="16" fillId="0" borderId="8" xfId="0" applyFont="1" applyBorder="1" applyAlignment="1">
      <alignment horizontal="right"/>
    </xf>
    <xf numFmtId="0" fontId="16" fillId="0" borderId="7" xfId="0" applyFont="1" applyBorder="1"/>
    <xf numFmtId="0" fontId="16" fillId="0" borderId="7" xfId="0" applyFont="1" applyBorder="1" applyAlignment="1">
      <alignment horizontal="right"/>
    </xf>
    <xf numFmtId="0" fontId="18" fillId="0" borderId="0" xfId="0" applyFont="1" applyAlignment="1">
      <alignment wrapText="1"/>
    </xf>
    <xf numFmtId="169" fontId="14" fillId="0" borderId="0" xfId="0" applyNumberFormat="1" applyFont="1" applyAlignment="1">
      <alignment horizontal="right" wrapText="1"/>
    </xf>
    <xf numFmtId="14" fontId="0" fillId="0" borderId="0" xfId="0" applyNumberFormat="1" applyAlignment="1">
      <alignment horizontal="left"/>
    </xf>
    <xf numFmtId="169" fontId="0" fillId="0" borderId="0" xfId="0" applyNumberFormat="1"/>
    <xf numFmtId="0" fontId="2" fillId="5" borderId="7" xfId="0" applyFont="1" applyFill="1" applyBorder="1" applyAlignment="1">
      <alignment horizontal="left"/>
    </xf>
    <xf numFmtId="169" fontId="2" fillId="5" borderId="7" xfId="0" applyNumberFormat="1" applyFont="1" applyFill="1" applyBorder="1"/>
    <xf numFmtId="14" fontId="4" fillId="0" borderId="0" xfId="3" applyNumberFormat="1" applyAlignment="1">
      <alignment horizontal="left"/>
    </xf>
    <xf numFmtId="175" fontId="4" fillId="0" borderId="0" xfId="3" applyNumberFormat="1" applyAlignment="1">
      <alignment horizontal="right"/>
    </xf>
    <xf numFmtId="0" fontId="19" fillId="0" borderId="9" xfId="0" applyFont="1" applyBorder="1" applyAlignment="1">
      <alignment horizontal="center"/>
    </xf>
    <xf numFmtId="0" fontId="19" fillId="0" borderId="9" xfId="0" applyFont="1" applyBorder="1" applyAlignment="1">
      <alignment horizontal="centerContinuous"/>
    </xf>
    <xf numFmtId="0" fontId="0" fillId="0" borderId="7" xfId="0" applyBorder="1"/>
    <xf numFmtId="2" fontId="3" fillId="0" borderId="0" xfId="0" applyNumberFormat="1" applyFont="1"/>
    <xf numFmtId="0" fontId="2" fillId="7" borderId="0" xfId="0" applyFont="1" applyFill="1"/>
    <xf numFmtId="0" fontId="2" fillId="0" borderId="0" xfId="0" applyFont="1"/>
    <xf numFmtId="0" fontId="3" fillId="0" borderId="7" xfId="0" applyFont="1" applyBorder="1"/>
    <xf numFmtId="176" fontId="0" fillId="0" borderId="0" xfId="0" applyNumberFormat="1"/>
    <xf numFmtId="177" fontId="0" fillId="0" borderId="0" xfId="0" applyNumberFormat="1"/>
    <xf numFmtId="0" fontId="0" fillId="0" borderId="8" xfId="0" applyBorder="1"/>
    <xf numFmtId="10" fontId="0" fillId="0" borderId="8" xfId="0" applyNumberFormat="1" applyBorder="1"/>
    <xf numFmtId="177" fontId="0" fillId="0" borderId="8" xfId="0" applyNumberFormat="1" applyBorder="1"/>
    <xf numFmtId="10" fontId="0" fillId="0" borderId="7" xfId="0" applyNumberFormat="1" applyBorder="1"/>
    <xf numFmtId="177" fontId="0" fillId="0" borderId="7" xfId="0" applyNumberFormat="1" applyBorder="1"/>
    <xf numFmtId="0" fontId="3" fillId="0" borderId="8" xfId="0" applyFont="1" applyBorder="1"/>
    <xf numFmtId="10" fontId="3" fillId="0" borderId="8" xfId="0" applyNumberFormat="1" applyFont="1" applyBorder="1"/>
    <xf numFmtId="10" fontId="20" fillId="0" borderId="0" xfId="0" applyNumberFormat="1" applyFont="1" applyAlignment="1">
      <alignment horizontal="right" vertical="top" wrapText="1"/>
    </xf>
    <xf numFmtId="0" fontId="3" fillId="0" borderId="7" xfId="3" applyFont="1" applyBorder="1" applyAlignment="1">
      <alignment horizontal="left"/>
    </xf>
    <xf numFmtId="0" fontId="3" fillId="0" borderId="7" xfId="3" applyFont="1" applyBorder="1"/>
    <xf numFmtId="0" fontId="4" fillId="0" borderId="0" xfId="3" applyAlignment="1">
      <alignment horizontal="left"/>
    </xf>
    <xf numFmtId="10" fontId="0" fillId="0" borderId="0" xfId="6" applyNumberFormat="1" applyFont="1"/>
    <xf numFmtId="0" fontId="3" fillId="0" borderId="6" xfId="0" applyFont="1" applyBorder="1" applyAlignment="1">
      <alignment horizontal="right"/>
    </xf>
    <xf numFmtId="0" fontId="3" fillId="0" borderId="10" xfId="0" applyFont="1" applyBorder="1"/>
    <xf numFmtId="2" fontId="3" fillId="0" borderId="7" xfId="0" applyNumberFormat="1" applyFont="1" applyBorder="1"/>
    <xf numFmtId="2" fontId="0" fillId="0" borderId="7" xfId="0" applyNumberFormat="1" applyBorder="1"/>
    <xf numFmtId="0" fontId="3" fillId="0" borderId="11" xfId="0" applyFont="1" applyBorder="1"/>
    <xf numFmtId="2" fontId="3" fillId="0" borderId="11" xfId="0" applyNumberFormat="1" applyFont="1" applyBorder="1"/>
    <xf numFmtId="0" fontId="3" fillId="0" borderId="5" xfId="0" applyFont="1" applyBorder="1"/>
    <xf numFmtId="10" fontId="3" fillId="0" borderId="5" xfId="0" applyNumberFormat="1" applyFont="1" applyBorder="1"/>
    <xf numFmtId="10" fontId="3" fillId="0" borderId="5" xfId="1" applyNumberFormat="1" applyFont="1" applyBorder="1"/>
    <xf numFmtId="2" fontId="3" fillId="0" borderId="5" xfId="1" applyNumberFormat="1" applyFont="1" applyBorder="1"/>
    <xf numFmtId="0" fontId="4" fillId="0" borderId="0" xfId="3" applyAlignment="1">
      <alignment horizontal="right"/>
    </xf>
    <xf numFmtId="0" fontId="19" fillId="0" borderId="0" xfId="3" applyFont="1" applyAlignment="1">
      <alignment vertical="top"/>
    </xf>
    <xf numFmtId="0" fontId="3" fillId="6" borderId="12" xfId="0" applyFont="1" applyFill="1" applyBorder="1"/>
    <xf numFmtId="164" fontId="0" fillId="0" borderId="0" xfId="0" applyNumberFormat="1"/>
    <xf numFmtId="164" fontId="3" fillId="0" borderId="6" xfId="0" applyNumberFormat="1" applyFont="1" applyBorder="1"/>
    <xf numFmtId="10" fontId="3" fillId="0" borderId="6" xfId="1" applyNumberFormat="1" applyFont="1" applyBorder="1"/>
    <xf numFmtId="164" fontId="3" fillId="6" borderId="4" xfId="0" applyNumberFormat="1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0" fontId="3" fillId="6" borderId="4" xfId="1" applyNumberFormat="1" applyFont="1" applyFill="1" applyBorder="1"/>
    <xf numFmtId="167" fontId="3" fillId="0" borderId="4" xfId="0" applyNumberFormat="1" applyFont="1" applyBorder="1"/>
    <xf numFmtId="167" fontId="0" fillId="0" borderId="12" xfId="0" applyNumberFormat="1" applyBorder="1"/>
    <xf numFmtId="167" fontId="0" fillId="0" borderId="6" xfId="0" applyNumberFormat="1" applyBorder="1"/>
    <xf numFmtId="17" fontId="2" fillId="7" borderId="7" xfId="0" applyNumberFormat="1" applyFont="1" applyFill="1" applyBorder="1"/>
    <xf numFmtId="17" fontId="2" fillId="7" borderId="7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167" fontId="0" fillId="0" borderId="5" xfId="0" applyNumberFormat="1" applyBorder="1"/>
    <xf numFmtId="0" fontId="2" fillId="7" borderId="7" xfId="0" applyFont="1" applyFill="1" applyBorder="1"/>
    <xf numFmtId="178" fontId="0" fillId="0" borderId="0" xfId="0" applyNumberFormat="1"/>
    <xf numFmtId="10" fontId="3" fillId="0" borderId="2" xfId="1" applyNumberFormat="1" applyFont="1" applyBorder="1"/>
    <xf numFmtId="10" fontId="25" fillId="0" borderId="0" xfId="0" applyNumberFormat="1" applyFont="1"/>
    <xf numFmtId="168" fontId="3" fillId="0" borderId="5" xfId="0" applyNumberFormat="1" applyFont="1" applyBorder="1"/>
    <xf numFmtId="167" fontId="3" fillId="0" borderId="5" xfId="0" applyNumberFormat="1" applyFont="1" applyBorder="1"/>
    <xf numFmtId="179" fontId="0" fillId="0" borderId="0" xfId="0" applyNumberFormat="1"/>
    <xf numFmtId="0" fontId="3" fillId="6" borderId="2" xfId="0" applyFont="1" applyFill="1" applyBorder="1"/>
    <xf numFmtId="10" fontId="3" fillId="6" borderId="2" xfId="0" applyNumberFormat="1" applyFont="1" applyFill="1" applyBorder="1"/>
    <xf numFmtId="10" fontId="3" fillId="0" borderId="0" xfId="0" applyNumberFormat="1" applyFont="1"/>
    <xf numFmtId="0" fontId="26" fillId="0" borderId="0" xfId="0" applyFont="1"/>
    <xf numFmtId="174" fontId="2" fillId="7" borderId="7" xfId="0" applyNumberFormat="1" applyFont="1" applyFill="1" applyBorder="1"/>
    <xf numFmtId="168" fontId="3" fillId="0" borderId="8" xfId="0" applyNumberFormat="1" applyFont="1" applyBorder="1"/>
    <xf numFmtId="0" fontId="1" fillId="6" borderId="0" xfId="3" applyFont="1" applyFill="1"/>
    <xf numFmtId="10" fontId="4" fillId="6" borderId="0" xfId="3" applyNumberFormat="1" applyFill="1"/>
    <xf numFmtId="10" fontId="1" fillId="6" borderId="0" xfId="3" applyNumberFormat="1" applyFont="1" applyFill="1"/>
    <xf numFmtId="168" fontId="0" fillId="0" borderId="0" xfId="0" applyNumberFormat="1"/>
    <xf numFmtId="168" fontId="3" fillId="0" borderId="0" xfId="0" applyNumberFormat="1" applyFont="1"/>
    <xf numFmtId="4" fontId="3" fillId="0" borderId="0" xfId="0" applyNumberFormat="1" applyFont="1"/>
    <xf numFmtId="0" fontId="0" fillId="9" borderId="0" xfId="0" applyFill="1"/>
    <xf numFmtId="0" fontId="3" fillId="9" borderId="0" xfId="0" applyFont="1" applyFill="1"/>
    <xf numFmtId="168" fontId="0" fillId="9" borderId="0" xfId="0" applyNumberFormat="1" applyFill="1"/>
    <xf numFmtId="171" fontId="3" fillId="0" borderId="2" xfId="0" applyNumberFormat="1" applyFont="1" applyBorder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4" fontId="9" fillId="0" borderId="0" xfId="5" applyNumberFormat="1" applyBorder="1" applyAlignment="1" applyProtection="1">
      <alignment horizontal="center"/>
    </xf>
    <xf numFmtId="164" fontId="7" fillId="2" borderId="0" xfId="4" applyNumberFormat="1" applyFont="1" applyBorder="1" applyAlignment="1">
      <alignment horizontal="center"/>
    </xf>
    <xf numFmtId="0" fontId="22" fillId="8" borderId="0" xfId="0" applyFont="1" applyFill="1" applyAlignment="1">
      <alignment horizontal="center"/>
    </xf>
    <xf numFmtId="8" fontId="0" fillId="0" borderId="0" xfId="0" applyNumberFormat="1"/>
  </cellXfs>
  <cellStyles count="7">
    <cellStyle name="Accent6 2" xfId="4" xr:uid="{2D0A6660-2F13-4BC0-87A2-C4C96A91CF38}"/>
    <cellStyle name="Comma 2" xfId="2" xr:uid="{61BE0F5D-5520-4F5D-9568-E0863D65C0E9}"/>
    <cellStyle name="Hyperlink" xfId="5" builtinId="8"/>
    <cellStyle name="Normal" xfId="0" builtinId="0"/>
    <cellStyle name="Normal 2" xfId="3" xr:uid="{3BC6D217-BCF1-4AA4-BE74-818381B133A7}"/>
    <cellStyle name="Percent" xfId="1" builtinId="5"/>
    <cellStyle name="Percent 2" xfId="6" xr:uid="{BF0BA2BE-81D7-4613-BF3E-83A6FB1ADE9A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2568-81BE-41A8-B7A1-E81112888568}">
  <sheetPr>
    <tabColor rgb="FF002060"/>
  </sheetPr>
  <dimension ref="A2:L114"/>
  <sheetViews>
    <sheetView showGridLines="0" workbookViewId="0">
      <pane ySplit="3" topLeftCell="A32" activePane="bottomLeft" state="frozen"/>
      <selection pane="bottomLeft" activeCell="C32" sqref="C32"/>
    </sheetView>
  </sheetViews>
  <sheetFormatPr defaultRowHeight="15" x14ac:dyDescent="0.25"/>
  <cols>
    <col min="1" max="1" width="2" bestFit="1" customWidth="1"/>
    <col min="2" max="2" width="29.28515625" bestFit="1" customWidth="1"/>
    <col min="3" max="3" width="17.85546875" customWidth="1"/>
    <col min="4" max="11" width="11.42578125" bestFit="1" customWidth="1"/>
    <col min="12" max="12" width="12.28515625" bestFit="1" customWidth="1"/>
  </cols>
  <sheetData>
    <row r="2" spans="1:12" x14ac:dyDescent="0.25">
      <c r="B2" s="165" t="str">
        <f>"Historical financial statement "&amp;" -" &amp;'Data Sheet'!$B$1</f>
        <v>Historical financial statement  -ASIAN PAINTS LTD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3" spans="1:12" x14ac:dyDescent="0.25">
      <c r="B3" s="21" t="s">
        <v>109</v>
      </c>
      <c r="C3" s="22">
        <f>'Data Sheet'!B$16</f>
        <v>42094</v>
      </c>
      <c r="D3" s="22">
        <f>'Data Sheet'!C$16</f>
        <v>42460</v>
      </c>
      <c r="E3" s="22">
        <f>'Data Sheet'!D$16</f>
        <v>42825</v>
      </c>
      <c r="F3" s="22">
        <f>'Data Sheet'!E$16</f>
        <v>43190</v>
      </c>
      <c r="G3" s="22">
        <f>'Data Sheet'!F$16</f>
        <v>43555</v>
      </c>
      <c r="H3" s="22">
        <f>'Data Sheet'!G$16</f>
        <v>43921</v>
      </c>
      <c r="I3" s="22">
        <f>'Data Sheet'!H$16</f>
        <v>44286</v>
      </c>
      <c r="J3" s="22">
        <f>'Data Sheet'!I$16</f>
        <v>44651</v>
      </c>
      <c r="K3" s="22">
        <f>'Data Sheet'!J$16</f>
        <v>45016</v>
      </c>
      <c r="L3" s="22">
        <f>'Data Sheet'!K$16</f>
        <v>45382</v>
      </c>
    </row>
    <row r="5" spans="1:12" x14ac:dyDescent="0.25">
      <c r="A5" t="s">
        <v>60</v>
      </c>
      <c r="B5" s="21" t="s">
        <v>110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7" spans="1:12" x14ac:dyDescent="0.25">
      <c r="B7" s="23" t="s">
        <v>111</v>
      </c>
      <c r="C7" s="23">
        <f>IFERROR('Data Sheet'!B17,0)</f>
        <v>13615.26</v>
      </c>
      <c r="D7" s="23">
        <f>IFERROR('Data Sheet'!C17,0)</f>
        <v>14271.49</v>
      </c>
      <c r="E7" s="23">
        <f>IFERROR('Data Sheet'!D17,0)</f>
        <v>15061.99</v>
      </c>
      <c r="F7" s="23">
        <f>IFERROR('Data Sheet'!E17,0)</f>
        <v>16824.55</v>
      </c>
      <c r="G7" s="23">
        <f>IFERROR('Data Sheet'!F17,0)</f>
        <v>19240.13</v>
      </c>
      <c r="H7" s="23">
        <f>IFERROR('Data Sheet'!G17,0)</f>
        <v>20211.25</v>
      </c>
      <c r="I7" s="23">
        <f>IFERROR('Data Sheet'!H17,0)</f>
        <v>21712.79</v>
      </c>
      <c r="J7" s="23">
        <f>IFERROR('Data Sheet'!I17,0)</f>
        <v>29101.279999999999</v>
      </c>
      <c r="K7" s="23">
        <f>IFERROR('Data Sheet'!J17,0)</f>
        <v>34488.589999999997</v>
      </c>
      <c r="L7" s="23">
        <f>IFERROR('Data Sheet'!K17,0)</f>
        <v>35494.730000000003</v>
      </c>
    </row>
    <row r="8" spans="1:12" x14ac:dyDescent="0.25">
      <c r="B8" s="24" t="s">
        <v>112</v>
      </c>
      <c r="C8" s="24"/>
      <c r="D8" s="24">
        <f>D7/C7-1</f>
        <v>4.8198124751198224E-2</v>
      </c>
      <c r="E8" s="24">
        <f>E7/D7-1</f>
        <v>5.5390151974320734E-2</v>
      </c>
      <c r="F8" s="24">
        <f t="shared" ref="F8:L8" si="0">F7/E7-1</f>
        <v>0.11702039371955486</v>
      </c>
      <c r="G8" s="24">
        <f t="shared" si="0"/>
        <v>0.14357471670861943</v>
      </c>
      <c r="H8" s="24">
        <f t="shared" si="0"/>
        <v>5.0473671435691925E-2</v>
      </c>
      <c r="I8" s="24">
        <f t="shared" si="0"/>
        <v>7.4292287711052118E-2</v>
      </c>
      <c r="J8" s="24">
        <f t="shared" si="0"/>
        <v>0.34028284711453471</v>
      </c>
      <c r="K8" s="24">
        <f t="shared" si="0"/>
        <v>0.18512278497715551</v>
      </c>
      <c r="L8" s="24">
        <f t="shared" si="0"/>
        <v>2.9173126532572313E-2</v>
      </c>
    </row>
    <row r="10" spans="1:12" x14ac:dyDescent="0.25">
      <c r="B10" t="s">
        <v>113</v>
      </c>
      <c r="C10" s="23">
        <f>IFERROR(SUM('Data Sheet'!B18,'Data Sheet'!B20:B21)-1*'Data Sheet'!B19,0)</f>
        <v>8361.91</v>
      </c>
      <c r="D10" s="23">
        <f>IFERROR(SUM('Data Sheet'!C18,'Data Sheet'!C20:C21)-1*'Data Sheet'!C19,0)</f>
        <v>8418.8599999999988</v>
      </c>
      <c r="E10" s="23">
        <f>IFERROR(SUM('Data Sheet'!D18,'Data Sheet'!D20:D21)-1*'Data Sheet'!D19,0)</f>
        <v>8692.77</v>
      </c>
      <c r="F10" s="23">
        <f>IFERROR(SUM('Data Sheet'!E18,'Data Sheet'!E20:E21)-1*'Data Sheet'!E19,0)</f>
        <v>10072.279999999999</v>
      </c>
      <c r="G10" s="23">
        <f>IFERROR(SUM('Data Sheet'!F18,'Data Sheet'!F20:F21)-1*'Data Sheet'!F19,0)</f>
        <v>11663.119999999999</v>
      </c>
      <c r="H10" s="23">
        <f>IFERROR(SUM('Data Sheet'!G18,'Data Sheet'!G20:G21)-1*'Data Sheet'!G19,0)</f>
        <v>11786.750000000002</v>
      </c>
      <c r="I10" s="23">
        <f>IFERROR(SUM('Data Sheet'!H18,'Data Sheet'!H20:H21)-1*'Data Sheet'!H19,0)</f>
        <v>12487.459999999997</v>
      </c>
      <c r="J10" s="23">
        <f>IFERROR(SUM('Data Sheet'!I18,'Data Sheet'!I20:I21)-1*'Data Sheet'!I19,0)</f>
        <v>18795.96</v>
      </c>
      <c r="K10" s="23">
        <f>IFERROR(SUM('Data Sheet'!J18,'Data Sheet'!J20:J21)-1*'Data Sheet'!J19,0)</f>
        <v>21730.29</v>
      </c>
      <c r="L10" s="23">
        <f>IFERROR(SUM('Data Sheet'!K18,'Data Sheet'!K20:K21)-1*'Data Sheet'!K19,0)</f>
        <v>20675.07</v>
      </c>
    </row>
    <row r="11" spans="1:12" x14ac:dyDescent="0.25">
      <c r="B11" s="25" t="s">
        <v>114</v>
      </c>
      <c r="C11" s="24">
        <f>C10/C7</f>
        <v>0.61415720302072818</v>
      </c>
      <c r="D11" s="24">
        <f>D10/D7</f>
        <v>0.58990757096841318</v>
      </c>
      <c r="E11" s="24">
        <f t="shared" ref="E11:L11" si="1">E10/E7</f>
        <v>0.5771329020932825</v>
      </c>
      <c r="F11" s="24">
        <f t="shared" si="1"/>
        <v>0.59866564038859871</v>
      </c>
      <c r="G11" s="24">
        <f t="shared" si="1"/>
        <v>0.60618717233199559</v>
      </c>
      <c r="H11" s="24">
        <f t="shared" si="1"/>
        <v>0.58317768569484829</v>
      </c>
      <c r="I11" s="24">
        <f t="shared" si="1"/>
        <v>0.57512000991120882</v>
      </c>
      <c r="J11" s="24">
        <f t="shared" si="1"/>
        <v>0.64588086847039028</v>
      </c>
      <c r="K11" s="24">
        <f t="shared" si="1"/>
        <v>0.63007185854800107</v>
      </c>
      <c r="L11" s="24">
        <f t="shared" si="1"/>
        <v>0.58248280801121743</v>
      </c>
    </row>
    <row r="13" spans="1:12" x14ac:dyDescent="0.25">
      <c r="B13" s="26" t="s">
        <v>115</v>
      </c>
      <c r="C13" s="27">
        <f>C7-C10</f>
        <v>5253.35</v>
      </c>
      <c r="D13" s="27">
        <f>D7-D10</f>
        <v>5852.630000000001</v>
      </c>
      <c r="E13" s="27">
        <f t="shared" ref="E13:L13" si="2">E7-E10</f>
        <v>6369.2199999999993</v>
      </c>
      <c r="F13" s="27">
        <f t="shared" si="2"/>
        <v>6752.27</v>
      </c>
      <c r="G13" s="27">
        <f t="shared" si="2"/>
        <v>7577.010000000002</v>
      </c>
      <c r="H13" s="27">
        <f t="shared" si="2"/>
        <v>8424.4999999999982</v>
      </c>
      <c r="I13" s="27">
        <f t="shared" si="2"/>
        <v>9225.3300000000036</v>
      </c>
      <c r="J13" s="27">
        <f t="shared" si="2"/>
        <v>10305.32</v>
      </c>
      <c r="K13" s="27">
        <f t="shared" si="2"/>
        <v>12758.299999999996</v>
      </c>
      <c r="L13" s="27">
        <f t="shared" si="2"/>
        <v>14819.660000000003</v>
      </c>
    </row>
    <row r="14" spans="1:12" x14ac:dyDescent="0.25">
      <c r="B14" s="25" t="s">
        <v>116</v>
      </c>
      <c r="C14" s="24">
        <f>1-C11</f>
        <v>0.38584279697927182</v>
      </c>
      <c r="D14" s="24">
        <f>1-D11</f>
        <v>0.41009242903158682</v>
      </c>
      <c r="E14" s="24">
        <f t="shared" ref="E14:L14" si="3">1-E11</f>
        <v>0.4228670979067175</v>
      </c>
      <c r="F14" s="24">
        <f t="shared" si="3"/>
        <v>0.40133435961140129</v>
      </c>
      <c r="G14" s="24">
        <f t="shared" si="3"/>
        <v>0.39381282766800441</v>
      </c>
      <c r="H14" s="24">
        <f t="shared" si="3"/>
        <v>0.41682231430515171</v>
      </c>
      <c r="I14" s="24">
        <f t="shared" si="3"/>
        <v>0.42487999008879118</v>
      </c>
      <c r="J14" s="24">
        <f t="shared" si="3"/>
        <v>0.35411913152960972</v>
      </c>
      <c r="K14" s="24">
        <f t="shared" si="3"/>
        <v>0.36992814145199893</v>
      </c>
      <c r="L14" s="24">
        <f t="shared" si="3"/>
        <v>0.41751719198878257</v>
      </c>
    </row>
    <row r="16" spans="1:12" x14ac:dyDescent="0.25">
      <c r="B16" t="s">
        <v>117</v>
      </c>
      <c r="C16" s="23">
        <f>IFERROR(SUM('Data Sheet'!B22:B23),0)</f>
        <v>4288.5199999999995</v>
      </c>
      <c r="D16" s="23">
        <f>IFERROR(SUM('Data Sheet'!C22:C23),0)</f>
        <v>4907.2800000000007</v>
      </c>
      <c r="E16" s="23">
        <f>IFERROR(SUM('Data Sheet'!D22:D23),0)</f>
        <v>5403.93</v>
      </c>
      <c r="F16" s="23">
        <f>IFERROR(SUM('Data Sheet'!E22:E23),0)</f>
        <v>3376.8100000000004</v>
      </c>
      <c r="G16" s="23">
        <f>IFERROR(SUM('Data Sheet'!F22:F23),0)</f>
        <v>3609.56</v>
      </c>
      <c r="H16" s="23">
        <f>IFERROR(SUM('Data Sheet'!G22:G23),0)</f>
        <v>3682.78</v>
      </c>
      <c r="I16" s="23">
        <f>IFERROR(SUM('Data Sheet'!H22:H23),0)</f>
        <v>3793.3</v>
      </c>
      <c r="J16" s="23">
        <f>IFERROR(SUM('Data Sheet'!I22:I23),0)</f>
        <v>4736.59</v>
      </c>
      <c r="K16" s="23">
        <f>IFERROR(SUM('Data Sheet'!J22:J23),0)</f>
        <v>5537.25</v>
      </c>
      <c r="L16" s="23">
        <f>IFERROR(SUM('Data Sheet'!K22:K23),0)</f>
        <v>6146.7800000000007</v>
      </c>
    </row>
    <row r="17" spans="2:12" x14ac:dyDescent="0.25">
      <c r="B17" s="25" t="s">
        <v>118</v>
      </c>
      <c r="C17" s="24">
        <f>C16/C7</f>
        <v>0.31497892805572569</v>
      </c>
      <c r="D17" s="24">
        <f t="shared" ref="D17:L17" si="4">D16/D7</f>
        <v>0.34385197340992429</v>
      </c>
      <c r="E17" s="24">
        <f t="shared" si="4"/>
        <v>0.35877928480897947</v>
      </c>
      <c r="F17" s="24">
        <f t="shared" si="4"/>
        <v>0.20070729974947327</v>
      </c>
      <c r="G17" s="24">
        <f t="shared" si="4"/>
        <v>0.18760580100030508</v>
      </c>
      <c r="H17" s="24">
        <f t="shared" si="4"/>
        <v>0.18221436081390316</v>
      </c>
      <c r="I17" s="24">
        <f t="shared" si="4"/>
        <v>0.17470348122005511</v>
      </c>
      <c r="J17" s="24">
        <f t="shared" si="4"/>
        <v>0.16276225650555579</v>
      </c>
      <c r="K17" s="24">
        <f t="shared" si="4"/>
        <v>0.16055309886545088</v>
      </c>
      <c r="L17" s="24">
        <f t="shared" si="4"/>
        <v>0.17317444026197693</v>
      </c>
    </row>
    <row r="19" spans="2:12" x14ac:dyDescent="0.25">
      <c r="B19" s="26" t="s">
        <v>119</v>
      </c>
      <c r="C19" s="27">
        <f>C13-C16</f>
        <v>964.83000000000084</v>
      </c>
      <c r="D19" s="27">
        <f t="shared" ref="D19:L19" si="5">D13-D16</f>
        <v>945.35000000000036</v>
      </c>
      <c r="E19" s="27">
        <f t="shared" si="5"/>
        <v>965.28999999999905</v>
      </c>
      <c r="F19" s="27">
        <f t="shared" si="5"/>
        <v>3375.46</v>
      </c>
      <c r="G19" s="27">
        <f t="shared" si="5"/>
        <v>3967.4500000000021</v>
      </c>
      <c r="H19" s="27">
        <f t="shared" si="5"/>
        <v>4741.7199999999975</v>
      </c>
      <c r="I19" s="27">
        <f t="shared" si="5"/>
        <v>5432.0300000000034</v>
      </c>
      <c r="J19" s="27">
        <f t="shared" si="5"/>
        <v>5568.73</v>
      </c>
      <c r="K19" s="27">
        <f t="shared" si="5"/>
        <v>7221.0499999999956</v>
      </c>
      <c r="L19" s="27">
        <f t="shared" si="5"/>
        <v>8672.8800000000028</v>
      </c>
    </row>
    <row r="20" spans="2:12" x14ac:dyDescent="0.25">
      <c r="B20" s="25" t="s">
        <v>120</v>
      </c>
      <c r="C20" s="24">
        <f>C19/C7</f>
        <v>7.0863868923546139E-2</v>
      </c>
      <c r="D20" s="24">
        <f t="shared" ref="D20:L20" si="6">D19/D7</f>
        <v>6.6240455621662517E-2</v>
      </c>
      <c r="E20" s="24">
        <f t="shared" si="6"/>
        <v>6.4087813097738019E-2</v>
      </c>
      <c r="F20" s="24">
        <f t="shared" si="6"/>
        <v>0.20062705986192797</v>
      </c>
      <c r="G20" s="24">
        <f t="shared" si="6"/>
        <v>0.20620702666769933</v>
      </c>
      <c r="H20" s="24">
        <f t="shared" si="6"/>
        <v>0.23460795349124855</v>
      </c>
      <c r="I20" s="24">
        <f t="shared" si="6"/>
        <v>0.25017650886873605</v>
      </c>
      <c r="J20" s="24">
        <f t="shared" si="6"/>
        <v>0.19135687502405391</v>
      </c>
      <c r="K20" s="24">
        <f t="shared" si="6"/>
        <v>0.20937504258654807</v>
      </c>
      <c r="L20" s="24">
        <f t="shared" si="6"/>
        <v>0.2443427517268057</v>
      </c>
    </row>
    <row r="22" spans="2:12" x14ac:dyDescent="0.25">
      <c r="B22" t="s">
        <v>29</v>
      </c>
      <c r="C22" s="23">
        <f>IFERROR('Data Sheet'!B27,0)</f>
        <v>42.24</v>
      </c>
      <c r="D22" s="23">
        <f>IFERROR('Data Sheet'!C27,0)</f>
        <v>49</v>
      </c>
      <c r="E22" s="23">
        <f>IFERROR('Data Sheet'!D27,0)</f>
        <v>37.33</v>
      </c>
      <c r="F22" s="23">
        <f>IFERROR('Data Sheet'!E27,0)</f>
        <v>41.47</v>
      </c>
      <c r="G22" s="23">
        <f>IFERROR('Data Sheet'!F27,0)</f>
        <v>110.47</v>
      </c>
      <c r="H22" s="23">
        <f>IFERROR('Data Sheet'!G27,0)</f>
        <v>102.33</v>
      </c>
      <c r="I22" s="23">
        <f>IFERROR('Data Sheet'!H27,0)</f>
        <v>91.63</v>
      </c>
      <c r="J22" s="23">
        <f>IFERROR('Data Sheet'!I27,0)</f>
        <v>95.41</v>
      </c>
      <c r="K22" s="23">
        <f>IFERROR('Data Sheet'!J27,0)</f>
        <v>144.44999999999999</v>
      </c>
      <c r="L22" s="23">
        <f>IFERROR('Data Sheet'!K27,0)</f>
        <v>205.17</v>
      </c>
    </row>
    <row r="23" spans="2:12" x14ac:dyDescent="0.25">
      <c r="B23" s="25" t="s">
        <v>121</v>
      </c>
      <c r="C23" s="24">
        <f>C22/C7</f>
        <v>3.1024012762150706E-3</v>
      </c>
      <c r="D23" s="24">
        <f t="shared" ref="D23:L23" si="7">D22/D7</f>
        <v>3.4334186549547386E-3</v>
      </c>
      <c r="E23" s="24">
        <f t="shared" si="7"/>
        <v>2.4784241657310885E-3</v>
      </c>
      <c r="F23" s="24">
        <f t="shared" si="7"/>
        <v>2.4648504714836358E-3</v>
      </c>
      <c r="G23" s="24">
        <f t="shared" si="7"/>
        <v>5.7416451967840128E-3</v>
      </c>
      <c r="H23" s="24">
        <f t="shared" si="7"/>
        <v>5.0630218319005502E-3</v>
      </c>
      <c r="I23" s="24">
        <f t="shared" si="7"/>
        <v>4.2200933182700148E-3</v>
      </c>
      <c r="J23" s="24">
        <f t="shared" si="7"/>
        <v>3.2785499469439143E-3</v>
      </c>
      <c r="K23" s="24">
        <f t="shared" si="7"/>
        <v>4.1883417095335005E-3</v>
      </c>
      <c r="L23" s="24">
        <f t="shared" si="7"/>
        <v>5.7802947085384216E-3</v>
      </c>
    </row>
    <row r="25" spans="2:12" x14ac:dyDescent="0.25">
      <c r="B25" t="s">
        <v>122</v>
      </c>
      <c r="C25" s="23">
        <f>IFERROR('Data Sheet'!B26,0)</f>
        <v>265.92</v>
      </c>
      <c r="D25" s="23">
        <f>IFERROR('Data Sheet'!C26,0)</f>
        <v>275.58</v>
      </c>
      <c r="E25" s="23">
        <f>IFERROR('Data Sheet'!D26,0)</f>
        <v>334.79</v>
      </c>
      <c r="F25" s="23">
        <f>IFERROR('Data Sheet'!E26,0)</f>
        <v>360.47</v>
      </c>
      <c r="G25" s="23">
        <f>IFERROR('Data Sheet'!F26,0)</f>
        <v>622.14</v>
      </c>
      <c r="H25" s="23">
        <f>IFERROR('Data Sheet'!G26,0)</f>
        <v>780.5</v>
      </c>
      <c r="I25" s="23">
        <f>IFERROR('Data Sheet'!H26,0)</f>
        <v>791.27</v>
      </c>
      <c r="J25" s="23">
        <f>IFERROR('Data Sheet'!I26,0)</f>
        <v>816.36</v>
      </c>
      <c r="K25" s="23">
        <f>IFERROR('Data Sheet'!J26,0)</f>
        <v>858.02</v>
      </c>
      <c r="L25" s="23">
        <f>IFERROR('Data Sheet'!K26,0)</f>
        <v>853</v>
      </c>
    </row>
    <row r="26" spans="2:12" x14ac:dyDescent="0.25">
      <c r="B26" s="25" t="s">
        <v>123</v>
      </c>
      <c r="C26" s="24">
        <f>C25/C7</f>
        <v>1.953102621617215E-2</v>
      </c>
      <c r="D26" s="24">
        <f t="shared" ref="D26:L26" si="8">D25/D7</f>
        <v>1.9309826794539322E-2</v>
      </c>
      <c r="E26" s="24">
        <f t="shared" si="8"/>
        <v>2.2227474590011016E-2</v>
      </c>
      <c r="F26" s="24">
        <f t="shared" si="8"/>
        <v>2.1425238713665449E-2</v>
      </c>
      <c r="G26" s="24">
        <f t="shared" si="8"/>
        <v>3.2335540352378074E-2</v>
      </c>
      <c r="H26" s="24">
        <f t="shared" si="8"/>
        <v>3.8617106809326486E-2</v>
      </c>
      <c r="I26" s="24">
        <f t="shared" si="8"/>
        <v>3.6442576011650275E-2</v>
      </c>
      <c r="J26" s="24">
        <f t="shared" si="8"/>
        <v>2.8052374328551871E-2</v>
      </c>
      <c r="K26" s="24">
        <f t="shared" si="8"/>
        <v>2.4878372818372688E-2</v>
      </c>
      <c r="L26" s="24">
        <f t="shared" si="8"/>
        <v>2.4031736542297968E-2</v>
      </c>
    </row>
    <row r="28" spans="2:12" x14ac:dyDescent="0.25">
      <c r="B28" s="28" t="s">
        <v>124</v>
      </c>
      <c r="C28" s="28">
        <f>C19-SUM(C22,C25)</f>
        <v>656.67000000000075</v>
      </c>
      <c r="D28" s="28">
        <f t="shared" ref="D28:L28" si="9">D19-SUM(D22,D25)</f>
        <v>620.77000000000044</v>
      </c>
      <c r="E28" s="28">
        <f t="shared" si="9"/>
        <v>593.16999999999905</v>
      </c>
      <c r="F28" s="28">
        <f t="shared" si="9"/>
        <v>2973.52</v>
      </c>
      <c r="G28" s="28">
        <f t="shared" si="9"/>
        <v>3234.840000000002</v>
      </c>
      <c r="H28" s="28">
        <f t="shared" si="9"/>
        <v>3858.8899999999976</v>
      </c>
      <c r="I28" s="28">
        <f t="shared" si="9"/>
        <v>4549.1300000000037</v>
      </c>
      <c r="J28" s="28">
        <f t="shared" si="9"/>
        <v>4656.9599999999991</v>
      </c>
      <c r="K28" s="28">
        <f t="shared" si="9"/>
        <v>6218.5799999999954</v>
      </c>
      <c r="L28" s="28">
        <f t="shared" si="9"/>
        <v>7614.7100000000028</v>
      </c>
    </row>
    <row r="29" spans="2:12" x14ac:dyDescent="0.25">
      <c r="B29" s="25" t="s">
        <v>125</v>
      </c>
      <c r="C29" s="24">
        <f>C28/C7</f>
        <v>4.8230441431158913E-2</v>
      </c>
      <c r="D29" s="24">
        <f t="shared" ref="D29:L29" si="10">D28/D7</f>
        <v>4.3497210172168461E-2</v>
      </c>
      <c r="E29" s="24">
        <f t="shared" si="10"/>
        <v>3.9381914341995915E-2</v>
      </c>
      <c r="F29" s="24">
        <f t="shared" si="10"/>
        <v>0.17673697067677888</v>
      </c>
      <c r="G29" s="24">
        <f t="shared" si="10"/>
        <v>0.16812984111853724</v>
      </c>
      <c r="H29" s="24">
        <f t="shared" si="10"/>
        <v>0.19092782485002152</v>
      </c>
      <c r="I29" s="24">
        <f t="shared" si="10"/>
        <v>0.20951383953881578</v>
      </c>
      <c r="J29" s="24">
        <f t="shared" si="10"/>
        <v>0.1600259507485581</v>
      </c>
      <c r="K29" s="24">
        <f t="shared" si="10"/>
        <v>0.18030832805864189</v>
      </c>
      <c r="L29" s="24">
        <f t="shared" si="10"/>
        <v>0.2145307204759693</v>
      </c>
    </row>
    <row r="31" spans="2:12" x14ac:dyDescent="0.25">
      <c r="B31" t="s">
        <v>126</v>
      </c>
      <c r="C31" s="23">
        <f>IFERROR('Data Sheet'!B29,0)</f>
        <v>649.54</v>
      </c>
      <c r="D31" s="23">
        <f>IFERROR('Data Sheet'!C29,0)</f>
        <v>844.49</v>
      </c>
      <c r="E31" s="23">
        <f>IFERROR('Data Sheet'!D29,0)</f>
        <v>943.29</v>
      </c>
      <c r="F31" s="23">
        <f>IFERROR('Data Sheet'!E29,0)</f>
        <v>1040.96</v>
      </c>
      <c r="G31" s="23">
        <f>IFERROR('Data Sheet'!F29,0)</f>
        <v>1098.06</v>
      </c>
      <c r="H31" s="23">
        <f>IFERROR('Data Sheet'!G29,0)</f>
        <v>854.85</v>
      </c>
      <c r="I31" s="23">
        <f>IFERROR('Data Sheet'!H29,0)</f>
        <v>1097.5999999999999</v>
      </c>
      <c r="J31" s="23">
        <f>IFERROR('Data Sheet'!I29,0)</f>
        <v>1102.9100000000001</v>
      </c>
      <c r="K31" s="23">
        <f>IFERROR('Data Sheet'!J29,0)</f>
        <v>1493.5</v>
      </c>
      <c r="L31" s="23">
        <f>IFERROR('Data Sheet'!K29,0)</f>
        <v>1790.08</v>
      </c>
    </row>
    <row r="32" spans="2:12" x14ac:dyDescent="0.25">
      <c r="B32" s="25" t="s">
        <v>127</v>
      </c>
      <c r="C32" s="24">
        <f>C31/C28</f>
        <v>0.98914218709549584</v>
      </c>
      <c r="D32" s="24">
        <f t="shared" ref="D32:L32" si="11">D31/D28</f>
        <v>1.3603911271485405</v>
      </c>
      <c r="E32" s="24">
        <f t="shared" si="11"/>
        <v>1.5902523728442124</v>
      </c>
      <c r="F32" s="24">
        <f t="shared" si="11"/>
        <v>0.35007667680055959</v>
      </c>
      <c r="G32" s="24">
        <f t="shared" si="11"/>
        <v>0.33944800979337442</v>
      </c>
      <c r="H32" s="24">
        <f t="shared" si="11"/>
        <v>0.22152743405487085</v>
      </c>
      <c r="I32" s="24">
        <f t="shared" si="11"/>
        <v>0.24127690349583306</v>
      </c>
      <c r="J32" s="24">
        <f t="shared" si="11"/>
        <v>0.236830464509036</v>
      </c>
      <c r="K32" s="24">
        <f t="shared" si="11"/>
        <v>0.24016736939944508</v>
      </c>
      <c r="L32" s="24">
        <f t="shared" si="11"/>
        <v>0.23508183502720384</v>
      </c>
    </row>
    <row r="34" spans="2:12" x14ac:dyDescent="0.25">
      <c r="B34" s="28" t="s">
        <v>128</v>
      </c>
      <c r="C34" s="28">
        <f>C28-C31</f>
        <v>7.1300000000007913</v>
      </c>
      <c r="D34" s="28">
        <f t="shared" ref="D34:L34" si="12">D28-D31</f>
        <v>-223.71999999999957</v>
      </c>
      <c r="E34" s="28">
        <f t="shared" si="12"/>
        <v>-350.12000000000091</v>
      </c>
      <c r="F34" s="28">
        <f t="shared" si="12"/>
        <v>1932.56</v>
      </c>
      <c r="G34" s="28">
        <f t="shared" si="12"/>
        <v>2136.780000000002</v>
      </c>
      <c r="H34" s="28">
        <f t="shared" si="12"/>
        <v>3004.0399999999977</v>
      </c>
      <c r="I34" s="28">
        <f t="shared" si="12"/>
        <v>3451.5300000000038</v>
      </c>
      <c r="J34" s="28">
        <f t="shared" si="12"/>
        <v>3554.0499999999993</v>
      </c>
      <c r="K34" s="28">
        <f t="shared" si="12"/>
        <v>4725.0799999999954</v>
      </c>
      <c r="L34" s="28">
        <f t="shared" si="12"/>
        <v>5824.6300000000028</v>
      </c>
    </row>
    <row r="35" spans="2:12" x14ac:dyDescent="0.25">
      <c r="B35" s="25" t="s">
        <v>129</v>
      </c>
      <c r="C35" s="24">
        <f>C34/C7</f>
        <v>5.2367710936117198E-4</v>
      </c>
      <c r="D35" s="24">
        <f t="shared" ref="D35:L35" si="13">D34/D7</f>
        <v>-1.5676008601764747E-2</v>
      </c>
      <c r="E35" s="24">
        <f t="shared" si="13"/>
        <v>-2.324526838751061E-2</v>
      </c>
      <c r="F35" s="24">
        <f t="shared" si="13"/>
        <v>0.11486547931445418</v>
      </c>
      <c r="G35" s="24">
        <f t="shared" si="13"/>
        <v>0.11105850116397352</v>
      </c>
      <c r="H35" s="24">
        <f t="shared" si="13"/>
        <v>0.14863207372131845</v>
      </c>
      <c r="I35" s="24">
        <f t="shared" si="13"/>
        <v>0.15896298909536746</v>
      </c>
      <c r="J35" s="24">
        <f t="shared" si="13"/>
        <v>0.12212693049927699</v>
      </c>
      <c r="K35" s="24">
        <f t="shared" si="13"/>
        <v>0.1370041512279857</v>
      </c>
      <c r="L35" s="24">
        <f t="shared" si="13"/>
        <v>0.16409844503677032</v>
      </c>
    </row>
    <row r="37" spans="2:12" x14ac:dyDescent="0.25">
      <c r="B37" t="s">
        <v>130</v>
      </c>
      <c r="C37" s="32">
        <f>IFERROR('Data Sheet'!B93,0)</f>
        <v>95.92</v>
      </c>
      <c r="D37" s="32">
        <f>IFERROR('Data Sheet'!C93,0)</f>
        <v>95.92</v>
      </c>
      <c r="E37" s="32">
        <f>IFERROR('Data Sheet'!D93,0)</f>
        <v>95.92</v>
      </c>
      <c r="F37" s="32">
        <f>IFERROR('Data Sheet'!E93,0)</f>
        <v>95.92</v>
      </c>
      <c r="G37" s="32">
        <f>IFERROR('Data Sheet'!F93,0)</f>
        <v>95.92</v>
      </c>
      <c r="H37" s="32">
        <f>IFERROR('Data Sheet'!G93,0)</f>
        <v>95.92</v>
      </c>
      <c r="I37" s="32">
        <f>IFERROR('Data Sheet'!H93,0)</f>
        <v>95.92</v>
      </c>
      <c r="J37" s="32">
        <f>IFERROR('Data Sheet'!I93,0)</f>
        <v>95.92</v>
      </c>
      <c r="K37" s="32">
        <f>IFERROR('Data Sheet'!J93,0)</f>
        <v>95.92</v>
      </c>
      <c r="L37" s="32">
        <f>IFERROR('Data Sheet'!K93,0)</f>
        <v>95.92</v>
      </c>
    </row>
    <row r="39" spans="2:12" x14ac:dyDescent="0.25">
      <c r="B39" t="s">
        <v>131</v>
      </c>
      <c r="C39" s="33">
        <f>C34/C37</f>
        <v>7.4332777314436937E-2</v>
      </c>
      <c r="D39" s="33">
        <f t="shared" ref="D39:L39" si="14">D34/D37</f>
        <v>-2.3323603002502038</v>
      </c>
      <c r="E39" s="33">
        <f t="shared" si="14"/>
        <v>-3.6501251042535543</v>
      </c>
      <c r="F39" s="33">
        <f t="shared" si="14"/>
        <v>20.14762301918265</v>
      </c>
      <c r="G39" s="33">
        <f t="shared" si="14"/>
        <v>22.276688907422873</v>
      </c>
      <c r="H39" s="33">
        <f t="shared" si="14"/>
        <v>31.318181818181795</v>
      </c>
      <c r="I39" s="33">
        <f t="shared" si="14"/>
        <v>35.983423686405381</v>
      </c>
      <c r="J39" s="33">
        <f t="shared" si="14"/>
        <v>37.052231025854873</v>
      </c>
      <c r="K39" s="33">
        <f t="shared" si="14"/>
        <v>49.260633861551241</v>
      </c>
      <c r="L39" s="33">
        <f t="shared" si="14"/>
        <v>60.723832360300278</v>
      </c>
    </row>
    <row r="40" spans="2:12" x14ac:dyDescent="0.25">
      <c r="B40" s="25" t="s">
        <v>132</v>
      </c>
      <c r="C40" s="24"/>
      <c r="D40" s="24">
        <f>D39/C39-1</f>
        <v>-32.377279102380747</v>
      </c>
      <c r="E40" s="24">
        <f t="shared" ref="E40:L40" si="15">E39/D39-1</f>
        <v>0.56499195422850712</v>
      </c>
      <c r="F40" s="24">
        <f t="shared" si="15"/>
        <v>-6.5197075288472366</v>
      </c>
      <c r="G40" s="24">
        <f t="shared" si="15"/>
        <v>0.10567330380428142</v>
      </c>
      <c r="H40" s="24">
        <f t="shared" si="15"/>
        <v>0.40587238742406573</v>
      </c>
      <c r="I40" s="24">
        <f t="shared" si="15"/>
        <v>0.14896273019001294</v>
      </c>
      <c r="J40" s="24">
        <f t="shared" si="15"/>
        <v>2.9702769496424919E-2</v>
      </c>
      <c r="K40" s="24">
        <f t="shared" si="15"/>
        <v>0.32949170664453109</v>
      </c>
      <c r="L40" s="24">
        <f t="shared" si="15"/>
        <v>0.23270505472923397</v>
      </c>
    </row>
    <row r="42" spans="2:12" x14ac:dyDescent="0.25">
      <c r="B42" s="29" t="s">
        <v>133</v>
      </c>
      <c r="C42" s="33">
        <f>IFERROR(('Data Sheet'!B31)/'Historical FS'!C37,0)</f>
        <v>6.0999791492910758</v>
      </c>
      <c r="D42" s="33">
        <f>IFERROR(('Data Sheet'!C31)/'Historical FS'!D37,0)</f>
        <v>7.5</v>
      </c>
      <c r="E42" s="33">
        <f>IFERROR(('Data Sheet'!D31)/'Historical FS'!E37,0)</f>
        <v>10.300041701417848</v>
      </c>
      <c r="F42" s="33">
        <f>IFERROR(('Data Sheet'!E31)/'Historical FS'!F37,0)</f>
        <v>8.6999582985821515</v>
      </c>
      <c r="G42" s="33">
        <f>IFERROR(('Data Sheet'!F31)/'Historical FS'!G37,0)</f>
        <v>10.5</v>
      </c>
      <c r="H42" s="33">
        <f>IFERROR(('Data Sheet'!G31)/'Historical FS'!H37,0)</f>
        <v>12</v>
      </c>
      <c r="I42" s="33">
        <f>IFERROR(('Data Sheet'!H31)/'Historical FS'!I37,0)</f>
        <v>17.849979149291077</v>
      </c>
      <c r="J42" s="33">
        <f>IFERROR(('Data Sheet'!I31)/'Historical FS'!J37,0)</f>
        <v>19.150020850708923</v>
      </c>
      <c r="K42" s="33">
        <f>IFERROR(('Data Sheet'!J31)/'Historical FS'!K37,0)</f>
        <v>25.650020850708923</v>
      </c>
      <c r="L42" s="33">
        <f>IFERROR(('Data Sheet'!K31)/'Historical FS'!L37,0)</f>
        <v>33.300041701417847</v>
      </c>
    </row>
    <row r="43" spans="2:12" x14ac:dyDescent="0.25">
      <c r="B43" s="25" t="s">
        <v>134</v>
      </c>
      <c r="C43" s="24">
        <f>C42/C39</f>
        <v>82.063113604478971</v>
      </c>
      <c r="D43" s="24">
        <f t="shared" ref="D43:L43" si="16">D42/D39</f>
        <v>-3.2156266762024024</v>
      </c>
      <c r="E43" s="24">
        <f t="shared" si="16"/>
        <v>-2.8218325145664269</v>
      </c>
      <c r="F43" s="24">
        <f t="shared" si="16"/>
        <v>0.43181065529660145</v>
      </c>
      <c r="G43" s="24">
        <f t="shared" si="16"/>
        <v>0.47134473366467255</v>
      </c>
      <c r="H43" s="24">
        <f t="shared" si="16"/>
        <v>0.38316400580551552</v>
      </c>
      <c r="I43" s="24">
        <f t="shared" si="16"/>
        <v>0.49606116707662923</v>
      </c>
      <c r="J43" s="24">
        <f t="shared" si="16"/>
        <v>0.51683853631772214</v>
      </c>
      <c r="K43" s="24">
        <f t="shared" si="16"/>
        <v>0.5207001786213149</v>
      </c>
      <c r="L43" s="24">
        <f t="shared" si="16"/>
        <v>0.5483850476339267</v>
      </c>
    </row>
    <row r="45" spans="2:12" x14ac:dyDescent="0.25">
      <c r="B45" t="s">
        <v>135</v>
      </c>
      <c r="C45" s="31">
        <f>IFERROR(IF(C39&gt;C42,1-C43,0),0)</f>
        <v>0</v>
      </c>
      <c r="D45" s="31">
        <f t="shared" ref="D45:L45" si="17">IFERROR(IF(D39&gt;D42,1-D43,0),0)</f>
        <v>0</v>
      </c>
      <c r="E45" s="31">
        <f t="shared" si="17"/>
        <v>0</v>
      </c>
      <c r="F45" s="31">
        <f t="shared" si="17"/>
        <v>0.56818934470339855</v>
      </c>
      <c r="G45" s="31">
        <f t="shared" si="17"/>
        <v>0.52865526633532745</v>
      </c>
      <c r="H45" s="31">
        <f t="shared" si="17"/>
        <v>0.61683599419448454</v>
      </c>
      <c r="I45" s="31">
        <f t="shared" si="17"/>
        <v>0.50393883292337072</v>
      </c>
      <c r="J45" s="31">
        <f t="shared" si="17"/>
        <v>0.48316146368227786</v>
      </c>
      <c r="K45" s="31">
        <f t="shared" si="17"/>
        <v>0.4792998213786851</v>
      </c>
      <c r="L45" s="31">
        <f t="shared" si="17"/>
        <v>0.4516149523660733</v>
      </c>
    </row>
    <row r="46" spans="2:12" x14ac:dyDescent="0.25">
      <c r="B46" s="25" t="s">
        <v>136</v>
      </c>
      <c r="C46" s="24"/>
      <c r="D46" s="24">
        <f>D45-C45-1</f>
        <v>-1</v>
      </c>
      <c r="E46" s="24">
        <f t="shared" ref="E46:L46" si="18">E45-D45-1</f>
        <v>-1</v>
      </c>
      <c r="F46" s="24">
        <f t="shared" si="18"/>
        <v>-0.43181065529660145</v>
      </c>
      <c r="G46" s="24">
        <f t="shared" si="18"/>
        <v>-1.0395340783680711</v>
      </c>
      <c r="H46" s="24">
        <f t="shared" si="18"/>
        <v>-0.91181927214084291</v>
      </c>
      <c r="I46" s="24">
        <f t="shared" si="18"/>
        <v>-1.1128971612711138</v>
      </c>
      <c r="J46" s="24">
        <f t="shared" si="18"/>
        <v>-1.0207773692410929</v>
      </c>
      <c r="K46" s="24">
        <f t="shared" si="18"/>
        <v>-1.0038616423035926</v>
      </c>
      <c r="L46" s="24">
        <f t="shared" si="18"/>
        <v>-1.0276848690126119</v>
      </c>
    </row>
    <row r="50" spans="1:12" x14ac:dyDescent="0.25">
      <c r="A50" t="s">
        <v>60</v>
      </c>
      <c r="B50" s="165" t="str">
        <f>"Historical Balance Sheet "&amp;" -" &amp;'Data Sheet'!$B$1</f>
        <v>Historical Balance Sheet  -ASIAN PAINTS LTD</v>
      </c>
      <c r="C50" s="165"/>
      <c r="D50" s="165"/>
      <c r="E50" s="165"/>
      <c r="F50" s="165"/>
      <c r="G50" s="165"/>
      <c r="H50" s="165"/>
      <c r="I50" s="165"/>
      <c r="J50" s="165"/>
      <c r="K50" s="165"/>
      <c r="L50" s="165"/>
    </row>
    <row r="51" spans="1:12" x14ac:dyDescent="0.25">
      <c r="B51" s="21" t="s">
        <v>109</v>
      </c>
      <c r="C51" s="22">
        <f>'Data Sheet'!B$16</f>
        <v>42094</v>
      </c>
      <c r="D51" s="22">
        <f>'Data Sheet'!C$16</f>
        <v>42460</v>
      </c>
      <c r="E51" s="22">
        <f>'Data Sheet'!D$16</f>
        <v>42825</v>
      </c>
      <c r="F51" s="22">
        <f>'Data Sheet'!E$16</f>
        <v>43190</v>
      </c>
      <c r="G51" s="22">
        <f>'Data Sheet'!F$16</f>
        <v>43555</v>
      </c>
      <c r="H51" s="22">
        <f>'Data Sheet'!G$16</f>
        <v>43921</v>
      </c>
      <c r="I51" s="22">
        <f>'Data Sheet'!H$16</f>
        <v>44286</v>
      </c>
      <c r="J51" s="22">
        <f>'Data Sheet'!I$16</f>
        <v>44651</v>
      </c>
      <c r="K51" s="22">
        <f>'Data Sheet'!J$16</f>
        <v>45016</v>
      </c>
      <c r="L51" s="22">
        <f>'Data Sheet'!K$16</f>
        <v>45382</v>
      </c>
    </row>
    <row r="53" spans="1:12" x14ac:dyDescent="0.25">
      <c r="B53" s="5" t="s">
        <v>23</v>
      </c>
      <c r="C53">
        <f>IFERROR('Data Sheet'!B57,0)</f>
        <v>95.92</v>
      </c>
      <c r="D53">
        <f>IFERROR('Data Sheet'!C57,0)</f>
        <v>95.92</v>
      </c>
      <c r="E53">
        <f>IFERROR('Data Sheet'!D57,0)</f>
        <v>95.92</v>
      </c>
      <c r="F53">
        <f>IFERROR('Data Sheet'!E57,0)</f>
        <v>95.92</v>
      </c>
      <c r="G53">
        <f>IFERROR('Data Sheet'!F57,0)</f>
        <v>95.92</v>
      </c>
      <c r="H53">
        <f>IFERROR('Data Sheet'!G57,0)</f>
        <v>95.92</v>
      </c>
      <c r="I53">
        <f>IFERROR('Data Sheet'!H57,0)</f>
        <v>95.92</v>
      </c>
      <c r="J53">
        <f>IFERROR('Data Sheet'!I57,0)</f>
        <v>95.92</v>
      </c>
      <c r="K53">
        <f>IFERROR('Data Sheet'!J57,0)</f>
        <v>95.92</v>
      </c>
      <c r="L53">
        <f>IFERROR('Data Sheet'!K57,0)</f>
        <v>95.92</v>
      </c>
    </row>
    <row r="54" spans="1:12" x14ac:dyDescent="0.25">
      <c r="B54" s="5" t="s">
        <v>22</v>
      </c>
      <c r="C54">
        <f>IFERROR('Data Sheet'!B58,0)</f>
        <v>4646.4399999999996</v>
      </c>
      <c r="D54">
        <f>IFERROR('Data Sheet'!C58,0)</f>
        <v>6428.9</v>
      </c>
      <c r="E54">
        <f>IFERROR('Data Sheet'!D58,0)</f>
        <v>7507.97</v>
      </c>
      <c r="F54">
        <f>IFERROR('Data Sheet'!E58,0)</f>
        <v>8314.31</v>
      </c>
      <c r="G54">
        <f>IFERROR('Data Sheet'!F58,0)</f>
        <v>9374.6299999999992</v>
      </c>
      <c r="H54">
        <f>IFERROR('Data Sheet'!G58,0)</f>
        <v>10034.24</v>
      </c>
      <c r="I54">
        <f>IFERROR('Data Sheet'!H58,0)</f>
        <v>12710.37</v>
      </c>
      <c r="J54">
        <f>IFERROR('Data Sheet'!I58,0)</f>
        <v>13715.64</v>
      </c>
      <c r="K54">
        <f>IFERROR('Data Sheet'!J58,0)</f>
        <v>15896.31</v>
      </c>
      <c r="L54">
        <f>IFERROR('Data Sheet'!K58,0)</f>
        <v>18632.38</v>
      </c>
    </row>
    <row r="55" spans="1:12" x14ac:dyDescent="0.25">
      <c r="B55" s="5" t="s">
        <v>21</v>
      </c>
      <c r="C55">
        <f>IFERROR('Data Sheet'!B59,0)</f>
        <v>418.17</v>
      </c>
      <c r="D55">
        <f>IFERROR('Data Sheet'!C59,0)</f>
        <v>323.29000000000002</v>
      </c>
      <c r="E55">
        <f>IFERROR('Data Sheet'!D59,0)</f>
        <v>560.34</v>
      </c>
      <c r="F55">
        <f>IFERROR('Data Sheet'!E59,0)</f>
        <v>533.42999999999995</v>
      </c>
      <c r="G55">
        <f>IFERROR('Data Sheet'!F59,0)</f>
        <v>1319.6</v>
      </c>
      <c r="H55">
        <f>IFERROR('Data Sheet'!G59,0)</f>
        <v>1118.5</v>
      </c>
      <c r="I55">
        <f>IFERROR('Data Sheet'!H59,0)</f>
        <v>1093.1199999999999</v>
      </c>
      <c r="J55">
        <f>IFERROR('Data Sheet'!I59,0)</f>
        <v>1586.88</v>
      </c>
      <c r="K55">
        <f>IFERROR('Data Sheet'!J59,0)</f>
        <v>1932.62</v>
      </c>
      <c r="L55">
        <f>IFERROR('Data Sheet'!K59,0)</f>
        <v>2474.38</v>
      </c>
    </row>
    <row r="56" spans="1:12" x14ac:dyDescent="0.25">
      <c r="B56" s="5" t="s">
        <v>20</v>
      </c>
      <c r="C56">
        <f>IFERROR('Data Sheet'!B60,0)</f>
        <v>3753.97</v>
      </c>
      <c r="D56">
        <f>IFERROR('Data Sheet'!C60,0)</f>
        <v>3710.92</v>
      </c>
      <c r="E56">
        <f>IFERROR('Data Sheet'!D60,0)</f>
        <v>4240.96</v>
      </c>
      <c r="F56">
        <f>IFERROR('Data Sheet'!E60,0)</f>
        <v>4819.82</v>
      </c>
      <c r="G56">
        <f>IFERROR('Data Sheet'!F60,0)</f>
        <v>5458.69</v>
      </c>
      <c r="H56">
        <f>IFERROR('Data Sheet'!G60,0)</f>
        <v>4889.3100000000004</v>
      </c>
      <c r="I56">
        <f>IFERROR('Data Sheet'!H60,0)</f>
        <v>6455.93</v>
      </c>
      <c r="J56">
        <f>IFERROR('Data Sheet'!I60,0)</f>
        <v>7559.99</v>
      </c>
      <c r="K56">
        <f>IFERROR('Data Sheet'!J60,0)</f>
        <v>7854.48</v>
      </c>
      <c r="L56">
        <f>IFERROR('Data Sheet'!K60,0)</f>
        <v>8698.09</v>
      </c>
    </row>
    <row r="57" spans="1:12" ht="15.75" thickBot="1" x14ac:dyDescent="0.3">
      <c r="B57" s="34" t="s">
        <v>137</v>
      </c>
      <c r="C57" s="35">
        <f>IFERROR('Data Sheet'!B61,0)</f>
        <v>8914.5</v>
      </c>
      <c r="D57" s="35">
        <f>IFERROR('Data Sheet'!C61,0)</f>
        <v>10559.03</v>
      </c>
      <c r="E57" s="35">
        <f>IFERROR('Data Sheet'!D61,0)</f>
        <v>12405.19</v>
      </c>
      <c r="F57" s="35">
        <f>IFERROR('Data Sheet'!E61,0)</f>
        <v>13763.48</v>
      </c>
      <c r="G57" s="35">
        <f>IFERROR('Data Sheet'!F61,0)</f>
        <v>16248.84</v>
      </c>
      <c r="H57" s="35">
        <f>IFERROR('Data Sheet'!G61,0)</f>
        <v>16137.97</v>
      </c>
      <c r="I57" s="35">
        <f>IFERROR('Data Sheet'!H61,0)</f>
        <v>20355.34</v>
      </c>
      <c r="J57" s="35">
        <f>IFERROR('Data Sheet'!I61,0)</f>
        <v>22958.43</v>
      </c>
      <c r="K57" s="35">
        <f>IFERROR('Data Sheet'!J61,0)</f>
        <v>25779.33</v>
      </c>
      <c r="L57" s="35">
        <f>IFERROR('Data Sheet'!K61,0)</f>
        <v>29900.77</v>
      </c>
    </row>
    <row r="58" spans="1:12" x14ac:dyDescent="0.25">
      <c r="B58" s="3"/>
    </row>
    <row r="59" spans="1:12" x14ac:dyDescent="0.25">
      <c r="B59" s="5" t="s">
        <v>19</v>
      </c>
      <c r="C59">
        <f>IFERROR('Data Sheet'!B62,0)</f>
        <v>2660.04</v>
      </c>
      <c r="D59">
        <f>IFERROR('Data Sheet'!C62,0)</f>
        <v>3416.35</v>
      </c>
      <c r="E59">
        <f>IFERROR('Data Sheet'!D62,0)</f>
        <v>3303.74</v>
      </c>
      <c r="F59">
        <f>IFERROR('Data Sheet'!E62,0)</f>
        <v>3732.24</v>
      </c>
      <c r="G59">
        <f>IFERROR('Data Sheet'!F62,0)</f>
        <v>6496.56</v>
      </c>
      <c r="H59">
        <f>IFERROR('Data Sheet'!G62,0)</f>
        <v>6272.31</v>
      </c>
      <c r="I59">
        <f>IFERROR('Data Sheet'!H62,0)</f>
        <v>5858.52</v>
      </c>
      <c r="J59">
        <f>IFERROR('Data Sheet'!I62,0)</f>
        <v>5519.06</v>
      </c>
      <c r="K59">
        <f>IFERROR('Data Sheet'!J62,0)</f>
        <v>5770.46</v>
      </c>
      <c r="L59">
        <f>IFERROR('Data Sheet'!K62,0)</f>
        <v>7146.62</v>
      </c>
    </row>
    <row r="60" spans="1:12" x14ac:dyDescent="0.25">
      <c r="B60" s="5" t="s">
        <v>18</v>
      </c>
      <c r="C60">
        <f>IFERROR('Data Sheet'!B63,0)</f>
        <v>196</v>
      </c>
      <c r="D60">
        <f>IFERROR('Data Sheet'!C63,0)</f>
        <v>106.59</v>
      </c>
      <c r="E60">
        <f>IFERROR('Data Sheet'!D63,0)</f>
        <v>257.54000000000002</v>
      </c>
      <c r="F60">
        <f>IFERROR('Data Sheet'!E63,0)</f>
        <v>1405.11</v>
      </c>
      <c r="G60">
        <f>IFERROR('Data Sheet'!F63,0)</f>
        <v>209.67</v>
      </c>
      <c r="H60">
        <f>IFERROR('Data Sheet'!G63,0)</f>
        <v>140.24</v>
      </c>
      <c r="I60">
        <f>IFERROR('Data Sheet'!H63,0)</f>
        <v>182.98</v>
      </c>
      <c r="J60">
        <f>IFERROR('Data Sheet'!I63,0)</f>
        <v>426.43</v>
      </c>
      <c r="K60">
        <f>IFERROR('Data Sheet'!J63,0)</f>
        <v>1019.59</v>
      </c>
      <c r="L60">
        <f>IFERROR('Data Sheet'!K63,0)</f>
        <v>2698.37</v>
      </c>
    </row>
    <row r="61" spans="1:12" x14ac:dyDescent="0.25">
      <c r="B61" s="5" t="s">
        <v>17</v>
      </c>
      <c r="C61">
        <f>IFERROR('Data Sheet'!B64,0)</f>
        <v>1587.79</v>
      </c>
      <c r="D61">
        <f>IFERROR('Data Sheet'!C64,0)</f>
        <v>2712.13</v>
      </c>
      <c r="E61">
        <f>IFERROR('Data Sheet'!D64,0)</f>
        <v>2651.99</v>
      </c>
      <c r="F61">
        <f>IFERROR('Data Sheet'!E64,0)</f>
        <v>2140.6999999999998</v>
      </c>
      <c r="G61">
        <f>IFERROR('Data Sheet'!F64,0)</f>
        <v>2568.58</v>
      </c>
      <c r="H61">
        <f>IFERROR('Data Sheet'!G64,0)</f>
        <v>2018.85</v>
      </c>
      <c r="I61">
        <f>IFERROR('Data Sheet'!H64,0)</f>
        <v>4736.8</v>
      </c>
      <c r="J61">
        <f>IFERROR('Data Sheet'!I64,0)</f>
        <v>3247.53</v>
      </c>
      <c r="K61">
        <f>IFERROR('Data Sheet'!J64,0)</f>
        <v>4261.71</v>
      </c>
      <c r="L61">
        <f>IFERROR('Data Sheet'!K64,0)</f>
        <v>4587.92</v>
      </c>
    </row>
    <row r="62" spans="1:12" ht="17.25" x14ac:dyDescent="0.25">
      <c r="B62" s="5" t="s">
        <v>141</v>
      </c>
      <c r="C62">
        <f>IFERROR('Data Sheet'!B65-SUM('Historical FS'!C65:C67),0)</f>
        <v>825.69</v>
      </c>
      <c r="D62">
        <f>IFERROR('Data Sheet'!C65-SUM('Historical FS'!D65:D67),0)</f>
        <v>714.68000000000029</v>
      </c>
      <c r="E62">
        <f>IFERROR('Data Sheet'!D65-SUM('Historical FS'!E65:E67),0)</f>
        <v>1317.17</v>
      </c>
      <c r="F62">
        <f>IFERROR('Data Sheet'!E65-SUM('Historical FS'!F65:F67),0)</f>
        <v>1691.8400000000001</v>
      </c>
      <c r="G62">
        <f>IFERROR('Data Sheet'!F65-SUM('Historical FS'!G65:G67),0)</f>
        <v>1471.9599999999991</v>
      </c>
      <c r="H62">
        <f>IFERROR('Data Sheet'!G65-SUM('Historical FS'!H65:H67),0)</f>
        <v>1738.71</v>
      </c>
      <c r="I62">
        <f>IFERROR('Data Sheet'!H65-SUM('Historical FS'!I65:I67),0)</f>
        <v>2565.5200000000004</v>
      </c>
      <c r="J62">
        <f>IFERROR('Data Sheet'!I65-SUM('Historical FS'!J65:J67),0)</f>
        <v>2876.66</v>
      </c>
      <c r="K62">
        <f>IFERROR('Data Sheet'!J65-SUM('Historical FS'!K65:K67),0)</f>
        <v>3036.17</v>
      </c>
      <c r="L62">
        <f>IFERROR('Data Sheet'!K65-SUM('Historical FS'!L65:L67),0)</f>
        <v>3571.3900000000012</v>
      </c>
    </row>
    <row r="63" spans="1:12" x14ac:dyDescent="0.25">
      <c r="B63" s="36" t="s">
        <v>138</v>
      </c>
      <c r="C63" s="26">
        <f>SUM(C59:C62)</f>
        <v>5269.52</v>
      </c>
      <c r="D63" s="26">
        <f>SUM(D59:D62)</f>
        <v>6949.75</v>
      </c>
      <c r="E63" s="26">
        <f t="shared" ref="E63:L63" si="19">SUM(E59:E62)</f>
        <v>7530.44</v>
      </c>
      <c r="F63" s="26">
        <f t="shared" si="19"/>
        <v>8969.89</v>
      </c>
      <c r="G63" s="26">
        <f t="shared" si="19"/>
        <v>10746.77</v>
      </c>
      <c r="H63" s="26">
        <f t="shared" si="19"/>
        <v>10170.11</v>
      </c>
      <c r="I63" s="26">
        <f t="shared" si="19"/>
        <v>13343.82</v>
      </c>
      <c r="J63" s="26">
        <f t="shared" si="19"/>
        <v>12069.68</v>
      </c>
      <c r="K63" s="26">
        <f t="shared" si="19"/>
        <v>14087.93</v>
      </c>
      <c r="L63" s="26">
        <f t="shared" si="19"/>
        <v>18004.300000000003</v>
      </c>
    </row>
    <row r="64" spans="1:12" x14ac:dyDescent="0.25">
      <c r="B64" s="3"/>
    </row>
    <row r="65" spans="1:12" x14ac:dyDescent="0.25">
      <c r="B65" s="5" t="s">
        <v>14</v>
      </c>
      <c r="C65">
        <f>IFERROR('Data Sheet'!B67,0)</f>
        <v>1182.07</v>
      </c>
      <c r="D65">
        <f>IFERROR('Data Sheet'!C67,0)</f>
        <v>1186.8399999999999</v>
      </c>
      <c r="E65">
        <f>IFERROR('Data Sheet'!D67,0)</f>
        <v>1446.6</v>
      </c>
      <c r="F65">
        <f>IFERROR('Data Sheet'!E67,0)</f>
        <v>1730.63</v>
      </c>
      <c r="G65">
        <f>IFERROR('Data Sheet'!F67,0)</f>
        <v>1907.33</v>
      </c>
      <c r="H65">
        <f>IFERROR('Data Sheet'!G67,0)</f>
        <v>1795.22</v>
      </c>
      <c r="I65">
        <f>IFERROR('Data Sheet'!H67,0)</f>
        <v>2602.17</v>
      </c>
      <c r="J65">
        <f>IFERROR('Data Sheet'!I67,0)</f>
        <v>3871.44</v>
      </c>
      <c r="K65">
        <f>IFERROR('Data Sheet'!J67,0)</f>
        <v>4636.9399999999996</v>
      </c>
      <c r="L65">
        <f>IFERROR('Data Sheet'!K67,0)</f>
        <v>4889.05</v>
      </c>
    </row>
    <row r="66" spans="1:12" x14ac:dyDescent="0.25">
      <c r="B66" s="5" t="s">
        <v>13</v>
      </c>
      <c r="C66">
        <f>IFERROR('Data Sheet'!B68,0)</f>
        <v>2258.52</v>
      </c>
      <c r="D66">
        <f>IFERROR('Data Sheet'!C68,0)</f>
        <v>1998.24</v>
      </c>
      <c r="E66">
        <f>IFERROR('Data Sheet'!D68,0)</f>
        <v>2626.94</v>
      </c>
      <c r="F66">
        <f>IFERROR('Data Sheet'!E68,0)</f>
        <v>2658.31</v>
      </c>
      <c r="G66">
        <f>IFERROR('Data Sheet'!F68,0)</f>
        <v>3149.86</v>
      </c>
      <c r="H66">
        <f>IFERROR('Data Sheet'!G68,0)</f>
        <v>3389.81</v>
      </c>
      <c r="I66">
        <f>IFERROR('Data Sheet'!H68,0)</f>
        <v>3798.6</v>
      </c>
      <c r="J66">
        <f>IFERROR('Data Sheet'!I68,0)</f>
        <v>6152.98</v>
      </c>
      <c r="K66">
        <f>IFERROR('Data Sheet'!J68,0)</f>
        <v>6210.64</v>
      </c>
      <c r="L66">
        <f>IFERROR('Data Sheet'!K68,0)</f>
        <v>5923.41</v>
      </c>
    </row>
    <row r="67" spans="1:12" x14ac:dyDescent="0.25">
      <c r="B67" s="1" t="s">
        <v>12</v>
      </c>
      <c r="C67">
        <f>IFERROR('Data Sheet'!B69,0)</f>
        <v>204.39</v>
      </c>
      <c r="D67">
        <f>IFERROR('Data Sheet'!C69,0)</f>
        <v>424.2</v>
      </c>
      <c r="E67">
        <f>IFERROR('Data Sheet'!D69,0)</f>
        <v>801.21</v>
      </c>
      <c r="F67">
        <f>IFERROR('Data Sheet'!E69,0)</f>
        <v>404.65</v>
      </c>
      <c r="G67">
        <f>IFERROR('Data Sheet'!F69,0)</f>
        <v>444.88</v>
      </c>
      <c r="H67">
        <f>IFERROR('Data Sheet'!G69,0)</f>
        <v>782.83</v>
      </c>
      <c r="I67">
        <f>IFERROR('Data Sheet'!H69,0)</f>
        <v>610.75</v>
      </c>
      <c r="J67">
        <f>IFERROR('Data Sheet'!I69,0)</f>
        <v>864.33</v>
      </c>
      <c r="K67">
        <f>IFERROR('Data Sheet'!J69,0)</f>
        <v>843.82</v>
      </c>
      <c r="L67">
        <f>IFERROR('Data Sheet'!K69,0)</f>
        <v>1084.01</v>
      </c>
    </row>
    <row r="68" spans="1:12" x14ac:dyDescent="0.25">
      <c r="B68" s="36" t="s">
        <v>139</v>
      </c>
      <c r="C68" s="26">
        <f>SUM(C65:C67)</f>
        <v>3644.98</v>
      </c>
      <c r="D68" s="26">
        <f t="shared" ref="D68:L68" si="20">SUM(D65:D67)</f>
        <v>3609.2799999999997</v>
      </c>
      <c r="E68" s="26">
        <f t="shared" si="20"/>
        <v>4874.75</v>
      </c>
      <c r="F68" s="26">
        <f t="shared" si="20"/>
        <v>4793.59</v>
      </c>
      <c r="G68" s="26">
        <f t="shared" si="20"/>
        <v>5502.0700000000006</v>
      </c>
      <c r="H68" s="26">
        <f t="shared" si="20"/>
        <v>5967.86</v>
      </c>
      <c r="I68" s="26">
        <f t="shared" si="20"/>
        <v>7011.52</v>
      </c>
      <c r="J68" s="26">
        <f t="shared" si="20"/>
        <v>10888.75</v>
      </c>
      <c r="K68" s="26">
        <f t="shared" si="20"/>
        <v>11691.4</v>
      </c>
      <c r="L68" s="26">
        <f t="shared" si="20"/>
        <v>11896.47</v>
      </c>
    </row>
    <row r="70" spans="1:12" ht="15.75" thickBot="1" x14ac:dyDescent="0.3">
      <c r="B70" s="34" t="s">
        <v>140</v>
      </c>
      <c r="C70" s="35">
        <f>C68+C63</f>
        <v>8914.5</v>
      </c>
      <c r="D70" s="35">
        <f t="shared" ref="D70:L70" si="21">D68+D63</f>
        <v>10559.029999999999</v>
      </c>
      <c r="E70" s="35">
        <f t="shared" si="21"/>
        <v>12405.189999999999</v>
      </c>
      <c r="F70" s="35">
        <f t="shared" si="21"/>
        <v>13763.48</v>
      </c>
      <c r="G70" s="35">
        <f t="shared" si="21"/>
        <v>16248.84</v>
      </c>
      <c r="H70" s="35">
        <f t="shared" si="21"/>
        <v>16137.970000000001</v>
      </c>
      <c r="I70" s="35">
        <f t="shared" si="21"/>
        <v>20355.34</v>
      </c>
      <c r="J70" s="35">
        <f t="shared" si="21"/>
        <v>22958.43</v>
      </c>
      <c r="K70" s="35">
        <f t="shared" si="21"/>
        <v>25779.33</v>
      </c>
      <c r="L70" s="35">
        <f t="shared" si="21"/>
        <v>29900.770000000004</v>
      </c>
    </row>
    <row r="72" spans="1:12" x14ac:dyDescent="0.25">
      <c r="B72" s="20" t="s">
        <v>142</v>
      </c>
      <c r="C72" s="37" t="str">
        <f>IF(C70=C57,"Balanced","error")</f>
        <v>Balanced</v>
      </c>
      <c r="D72" s="37" t="str">
        <f t="shared" ref="D72:L72" si="22">IF(D70=D57,"Balanced","error")</f>
        <v>Balanced</v>
      </c>
      <c r="E72" s="37" t="str">
        <f t="shared" si="22"/>
        <v>Balanced</v>
      </c>
      <c r="F72" s="37" t="str">
        <f t="shared" si="22"/>
        <v>Balanced</v>
      </c>
      <c r="G72" s="37" t="str">
        <f t="shared" si="22"/>
        <v>Balanced</v>
      </c>
      <c r="H72" s="37" t="str">
        <f t="shared" si="22"/>
        <v>Balanced</v>
      </c>
      <c r="I72" s="37" t="str">
        <f t="shared" si="22"/>
        <v>Balanced</v>
      </c>
      <c r="J72" s="37" t="str">
        <f t="shared" si="22"/>
        <v>Balanced</v>
      </c>
      <c r="K72" s="37" t="str">
        <f t="shared" si="22"/>
        <v>Balanced</v>
      </c>
      <c r="L72" s="37" t="str">
        <f t="shared" si="22"/>
        <v>Balanced</v>
      </c>
    </row>
    <row r="76" spans="1:12" x14ac:dyDescent="0.25">
      <c r="A76" t="s">
        <v>60</v>
      </c>
      <c r="B76" s="165" t="str">
        <f>"Historical Cash flow  "&amp;" -" &amp;'Data Sheet'!$B$1</f>
        <v>Historical Cash flow   -ASIAN PAINTS LTD</v>
      </c>
      <c r="C76" s="165"/>
      <c r="D76" s="165"/>
      <c r="E76" s="165"/>
      <c r="F76" s="165"/>
      <c r="G76" s="165"/>
      <c r="H76" s="165"/>
      <c r="I76" s="165"/>
      <c r="J76" s="165"/>
      <c r="K76" s="165"/>
      <c r="L76" s="165"/>
    </row>
    <row r="77" spans="1:12" x14ac:dyDescent="0.25">
      <c r="B77" s="21" t="s">
        <v>109</v>
      </c>
      <c r="C77" s="22">
        <f>'Data Sheet'!B$16</f>
        <v>42094</v>
      </c>
      <c r="D77" s="22">
        <f>'Data Sheet'!C$16</f>
        <v>42460</v>
      </c>
      <c r="E77" s="22">
        <f>'Data Sheet'!D$16</f>
        <v>42825</v>
      </c>
      <c r="F77" s="22">
        <f>'Data Sheet'!E$16</f>
        <v>43190</v>
      </c>
      <c r="G77" s="22">
        <f>'Data Sheet'!F$16</f>
        <v>43555</v>
      </c>
      <c r="H77" s="22">
        <f>'Data Sheet'!G$16</f>
        <v>43921</v>
      </c>
      <c r="I77" s="22">
        <f>'Data Sheet'!H$16</f>
        <v>44286</v>
      </c>
      <c r="J77" s="22">
        <f>'Data Sheet'!I$16</f>
        <v>44651</v>
      </c>
      <c r="K77" s="22">
        <f>'Data Sheet'!J$16</f>
        <v>45016</v>
      </c>
      <c r="L77" s="22">
        <f>'Data Sheet'!K$16</f>
        <v>45382</v>
      </c>
    </row>
    <row r="80" spans="1:12" x14ac:dyDescent="0.25">
      <c r="B80" s="41" t="s">
        <v>144</v>
      </c>
      <c r="C80">
        <f>IFERROR('cash flow data  (2)'!E4,0)</f>
        <v>36303</v>
      </c>
      <c r="D80">
        <f>IFERROR('cash flow data  (2)'!F4,0)</f>
        <v>43397</v>
      </c>
      <c r="E80">
        <f>IFERROR('cash flow data  (2)'!G4,0)</f>
        <v>38626</v>
      </c>
      <c r="F80">
        <f>IFERROR('cash flow data  (2)'!H4,0)</f>
        <v>28840</v>
      </c>
      <c r="G80">
        <f>IFERROR('cash flow data  (2)'!I4,0)</f>
        <v>33312</v>
      </c>
      <c r="H80">
        <f>IFERROR('cash flow data  (2)'!J4,0)</f>
        <v>28771</v>
      </c>
      <c r="I80">
        <f>IFERROR('cash flow data  (2)'!K4,0)</f>
        <v>23352</v>
      </c>
      <c r="J80">
        <f>IFERROR('cash flow data  (2)'!L4,0)</f>
        <v>31198</v>
      </c>
      <c r="K80">
        <f>IFERROR('cash flow data  (2)'!M4,0)</f>
        <v>26943</v>
      </c>
      <c r="L80">
        <f>IFERROR('cash flow data  (2)'!N4,0)</f>
        <v>41694</v>
      </c>
    </row>
    <row r="81" spans="2:12" x14ac:dyDescent="0.25">
      <c r="B81" s="41" t="s">
        <v>14</v>
      </c>
      <c r="C81">
        <f>IFERROR('cash flow data  (2)'!E5,0)</f>
        <v>445</v>
      </c>
      <c r="D81">
        <f>IFERROR('cash flow data  (2)'!F5,0)</f>
        <v>-3179</v>
      </c>
      <c r="E81">
        <f>IFERROR('cash flow data  (2)'!G5,0)</f>
        <v>-2223</v>
      </c>
      <c r="F81">
        <f>IFERROR('cash flow data  (2)'!H5,0)</f>
        <v>-4152</v>
      </c>
      <c r="G81">
        <f>IFERROR('cash flow data  (2)'!I5,0)</f>
        <v>-10688</v>
      </c>
      <c r="H81">
        <f>IFERROR('cash flow data  (2)'!J5,0)</f>
        <v>-9109</v>
      </c>
      <c r="I81">
        <f>IFERROR('cash flow data  (2)'!K5,0)</f>
        <v>9950</v>
      </c>
      <c r="J81">
        <f>IFERROR('cash flow data  (2)'!L5,0)</f>
        <v>-5505</v>
      </c>
      <c r="K81">
        <f>IFERROR('cash flow data  (2)'!M5,0)</f>
        <v>185</v>
      </c>
      <c r="L81">
        <f>IFERROR('cash flow data  (2)'!N5,0)</f>
        <v>-2213</v>
      </c>
    </row>
    <row r="82" spans="2:12" x14ac:dyDescent="0.25">
      <c r="B82" s="41" t="s">
        <v>13</v>
      </c>
      <c r="C82">
        <f>IFERROR('cash flow data  (2)'!E6,0)</f>
        <v>-2853</v>
      </c>
      <c r="D82">
        <f>IFERROR('cash flow data  (2)'!F6,0)</f>
        <v>-3692</v>
      </c>
      <c r="E82">
        <f>IFERROR('cash flow data  (2)'!G6,0)</f>
        <v>-5743</v>
      </c>
      <c r="F82">
        <f>IFERROR('cash flow data  (2)'!H6,0)</f>
        <v>-6621</v>
      </c>
      <c r="G82">
        <f>IFERROR('cash flow data  (2)'!I6,0)</f>
        <v>-3560</v>
      </c>
      <c r="H82">
        <f>IFERROR('cash flow data  (2)'!J6,0)</f>
        <v>2069</v>
      </c>
      <c r="I82">
        <f>IFERROR('cash flow data  (2)'!K6,0)</f>
        <v>2326</v>
      </c>
      <c r="J82">
        <f>IFERROR('cash flow data  (2)'!L6,0)</f>
        <v>3814</v>
      </c>
      <c r="K82">
        <f>IFERROR('cash flow data  (2)'!M6,0)</f>
        <v>472</v>
      </c>
      <c r="L82">
        <f>IFERROR('cash flow data  (2)'!N6,0)</f>
        <v>-5665</v>
      </c>
    </row>
    <row r="83" spans="2:12" x14ac:dyDescent="0.25">
      <c r="B83" s="41" t="s">
        <v>145</v>
      </c>
      <c r="C83" s="23">
        <f>IFERROR('cash flow data  (2)'!E7,0)</f>
        <v>4694</v>
      </c>
      <c r="D83" s="23">
        <f>IFERROR('cash flow data  (2)'!F7,0)</f>
        <v>3598</v>
      </c>
      <c r="E83" s="23">
        <f>IFERROR('cash flow data  (2)'!G7,0)</f>
        <v>3947</v>
      </c>
      <c r="F83" s="23">
        <f>IFERROR('cash flow data  (2)'!H7,0)</f>
        <v>9301</v>
      </c>
      <c r="G83" s="23">
        <f>IFERROR('cash flow data  (2)'!I7,0)</f>
        <v>7320</v>
      </c>
      <c r="H83" s="23">
        <f>IFERROR('cash flow data  (2)'!J7,0)</f>
        <v>-4692</v>
      </c>
      <c r="I83" s="23">
        <f>IFERROR('cash flow data  (2)'!K7,0)</f>
        <v>-8085</v>
      </c>
      <c r="J83" s="23">
        <f>IFERROR('cash flow data  (2)'!L7,0)</f>
        <v>5748</v>
      </c>
      <c r="K83" s="23">
        <f>IFERROR('cash flow data  (2)'!M7,0)</f>
        <v>-7012</v>
      </c>
      <c r="L83" s="23">
        <f>IFERROR('cash flow data  (2)'!N7,0)</f>
        <v>6945</v>
      </c>
    </row>
    <row r="84" spans="2:12" x14ac:dyDescent="0.25">
      <c r="B84" s="41" t="s">
        <v>146</v>
      </c>
      <c r="C84" s="23">
        <f>IFERROR('cash flow data  (2)'!E8,0)</f>
        <v>0</v>
      </c>
      <c r="D84" s="23">
        <f>IFERROR('cash flow data  (2)'!F8,0)</f>
        <v>0</v>
      </c>
      <c r="E84" s="23">
        <f>IFERROR('cash flow data  (2)'!G8,0)</f>
        <v>-520</v>
      </c>
      <c r="F84" s="23">
        <f>IFERROR('cash flow data  (2)'!H8,0)</f>
        <v>0</v>
      </c>
      <c r="G84" s="23">
        <f>IFERROR('cash flow data  (2)'!I8,0)</f>
        <v>0</v>
      </c>
      <c r="H84" s="23">
        <f>IFERROR('cash flow data  (2)'!J8,0)</f>
        <v>0</v>
      </c>
      <c r="I84" s="23">
        <f>IFERROR('cash flow data  (2)'!K8,0)</f>
        <v>0</v>
      </c>
      <c r="J84" s="23">
        <f>IFERROR('cash flow data  (2)'!L8,0)</f>
        <v>0</v>
      </c>
      <c r="K84" s="23">
        <f>IFERROR('cash flow data  (2)'!M8,0)</f>
        <v>0</v>
      </c>
      <c r="L84" s="23">
        <f>IFERROR('cash flow data  (2)'!N8,0)</f>
        <v>0</v>
      </c>
    </row>
    <row r="85" spans="2:12" x14ac:dyDescent="0.25">
      <c r="B85" s="41" t="s">
        <v>147</v>
      </c>
      <c r="C85" s="23">
        <f>IFERROR('cash flow data  (2)'!E9,0)</f>
        <v>1870</v>
      </c>
      <c r="D85" s="23">
        <f>IFERROR('cash flow data  (2)'!F9,0)</f>
        <v>-398</v>
      </c>
      <c r="E85" s="23">
        <f>IFERROR('cash flow data  (2)'!G9,0)</f>
        <v>5852</v>
      </c>
      <c r="F85" s="23">
        <f>IFERROR('cash flow data  (2)'!H9,0)</f>
        <v>4727</v>
      </c>
      <c r="G85" s="23">
        <f>IFERROR('cash flow data  (2)'!I9,0)</f>
        <v>494</v>
      </c>
      <c r="H85" s="23">
        <f>IFERROR('cash flow data  (2)'!J9,0)</f>
        <v>4512</v>
      </c>
      <c r="I85" s="23">
        <f>IFERROR('cash flow data  (2)'!K9,0)</f>
        <v>875</v>
      </c>
      <c r="J85" s="23">
        <f>IFERROR('cash flow data  (2)'!L9,0)</f>
        <v>-4150</v>
      </c>
      <c r="K85" s="23">
        <f>IFERROR('cash flow data  (2)'!M9,0)</f>
        <v>-4396</v>
      </c>
      <c r="L85" s="23">
        <f>IFERROR('cash flow data  (2)'!N9,0)</f>
        <v>-2194</v>
      </c>
    </row>
    <row r="86" spans="2:12" x14ac:dyDescent="0.25">
      <c r="B86" s="41" t="s">
        <v>148</v>
      </c>
      <c r="C86" s="23">
        <f>IFERROR('cash flow data  (2)'!E10,0)</f>
        <v>4157</v>
      </c>
      <c r="D86" s="23">
        <f>IFERROR('cash flow data  (2)'!F10,0)</f>
        <v>-3672</v>
      </c>
      <c r="E86" s="23">
        <f>IFERROR('cash flow data  (2)'!G10,0)</f>
        <v>1313</v>
      </c>
      <c r="F86" s="23">
        <f>IFERROR('cash flow data  (2)'!H10,0)</f>
        <v>3254</v>
      </c>
      <c r="G86" s="23">
        <f>IFERROR('cash flow data  (2)'!I10,0)</f>
        <v>-6434</v>
      </c>
      <c r="H86" s="23">
        <f>IFERROR('cash flow data  (2)'!J10,0)</f>
        <v>-7221</v>
      </c>
      <c r="I86" s="23">
        <f>IFERROR('cash flow data  (2)'!K10,0)</f>
        <v>5065</v>
      </c>
      <c r="J86" s="23">
        <f>IFERROR('cash flow data  (2)'!L10,0)</f>
        <v>-93</v>
      </c>
      <c r="K86" s="23">
        <f>IFERROR('cash flow data  (2)'!M10,0)</f>
        <v>-10750</v>
      </c>
      <c r="L86" s="23">
        <f>IFERROR('cash flow data  (2)'!N10,0)</f>
        <v>-3127</v>
      </c>
    </row>
    <row r="87" spans="2:12" x14ac:dyDescent="0.25">
      <c r="B87" s="41" t="s">
        <v>149</v>
      </c>
      <c r="C87" s="23">
        <f>IFERROR('cash flow data  (2)'!E11,0)</f>
        <v>-4308</v>
      </c>
      <c r="D87" s="23">
        <f>IFERROR('cash flow data  (2)'!F11,0)</f>
        <v>-4194</v>
      </c>
      <c r="E87" s="23">
        <f>IFERROR('cash flow data  (2)'!G11,0)</f>
        <v>-2040</v>
      </c>
      <c r="F87" s="23">
        <f>IFERROR('cash flow data  (2)'!H11,0)</f>
        <v>-1895</v>
      </c>
      <c r="G87" s="23">
        <f>IFERROR('cash flow data  (2)'!I11,0)</f>
        <v>-3021</v>
      </c>
      <c r="H87" s="23">
        <f>IFERROR('cash flow data  (2)'!J11,0)</f>
        <v>-2659</v>
      </c>
      <c r="I87" s="23">
        <f>IFERROR('cash flow data  (2)'!K11,0)</f>
        <v>-1785</v>
      </c>
      <c r="J87" s="23">
        <f>IFERROR('cash flow data  (2)'!L11,0)</f>
        <v>-2105</v>
      </c>
      <c r="K87" s="23">
        <f>IFERROR('cash flow data  (2)'!M11,0)</f>
        <v>-1910</v>
      </c>
      <c r="L87" s="23">
        <f>IFERROR('cash flow data  (2)'!N11,0)</f>
        <v>-3179</v>
      </c>
    </row>
    <row r="88" spans="2:12" x14ac:dyDescent="0.25">
      <c r="B88" s="45" t="s">
        <v>143</v>
      </c>
      <c r="C88" s="46">
        <f>SUM(C80:C87)</f>
        <v>40308</v>
      </c>
      <c r="D88" s="46">
        <f t="shared" ref="D88:L88" si="23">SUM(D80:D87)</f>
        <v>31860</v>
      </c>
      <c r="E88" s="46">
        <f t="shared" si="23"/>
        <v>39212</v>
      </c>
      <c r="F88" s="46">
        <f t="shared" si="23"/>
        <v>33454</v>
      </c>
      <c r="G88" s="46">
        <f t="shared" si="23"/>
        <v>17423</v>
      </c>
      <c r="H88" s="46">
        <f t="shared" si="23"/>
        <v>11671</v>
      </c>
      <c r="I88" s="46">
        <f t="shared" si="23"/>
        <v>31698</v>
      </c>
      <c r="J88" s="46">
        <f t="shared" si="23"/>
        <v>28907</v>
      </c>
      <c r="K88" s="46">
        <f t="shared" si="23"/>
        <v>3532</v>
      </c>
      <c r="L88" s="46">
        <f t="shared" si="23"/>
        <v>32261</v>
      </c>
    </row>
    <row r="89" spans="2:12" x14ac:dyDescent="0.25">
      <c r="B89" s="30"/>
    </row>
    <row r="90" spans="2:12" x14ac:dyDescent="0.25">
      <c r="B90" s="44" t="s">
        <v>151</v>
      </c>
      <c r="C90" s="23">
        <f>IFERROR('cash flow data  (2)'!E13,0)</f>
        <v>-26975</v>
      </c>
      <c r="D90" s="23">
        <f>IFERROR('cash flow data  (2)'!F13,0)</f>
        <v>-31962</v>
      </c>
      <c r="E90" s="23">
        <f>IFERROR('cash flow data  (2)'!G13,0)</f>
        <v>-31503</v>
      </c>
      <c r="F90" s="23">
        <f>IFERROR('cash flow data  (2)'!H13,0)</f>
        <v>-16072</v>
      </c>
      <c r="G90" s="23">
        <f>IFERROR('cash flow data  (2)'!I13,0)</f>
        <v>-35079</v>
      </c>
      <c r="H90" s="23">
        <f>IFERROR('cash flow data  (2)'!J13,0)</f>
        <v>-35304</v>
      </c>
      <c r="I90" s="23">
        <f>IFERROR('cash flow data  (2)'!K13,0)</f>
        <v>-29702</v>
      </c>
      <c r="J90" s="23">
        <f>IFERROR('cash flow data  (2)'!L13,0)</f>
        <v>-20205</v>
      </c>
      <c r="K90" s="23">
        <f>IFERROR('cash flow data  (2)'!M13,0)</f>
        <v>-15168</v>
      </c>
      <c r="L90" s="23">
        <f>IFERROR('cash flow data  (2)'!N13,0)</f>
        <v>-19230</v>
      </c>
    </row>
    <row r="91" spans="2:12" x14ac:dyDescent="0.25">
      <c r="B91" s="44" t="s">
        <v>152</v>
      </c>
      <c r="C91" s="23">
        <f>IFERROR('cash flow data  (2)'!E14,0)</f>
        <v>50</v>
      </c>
      <c r="D91" s="23">
        <f>IFERROR('cash flow data  (2)'!F14,0)</f>
        <v>74</v>
      </c>
      <c r="E91" s="23">
        <f>IFERROR('cash flow data  (2)'!G14,0)</f>
        <v>59</v>
      </c>
      <c r="F91" s="23">
        <f>IFERROR('cash flow data  (2)'!H14,0)</f>
        <v>53</v>
      </c>
      <c r="G91" s="23">
        <f>IFERROR('cash flow data  (2)'!I14,0)</f>
        <v>30</v>
      </c>
      <c r="H91" s="23">
        <f>IFERROR('cash flow data  (2)'!J14,0)</f>
        <v>67</v>
      </c>
      <c r="I91" s="23">
        <f>IFERROR('cash flow data  (2)'!K14,0)</f>
        <v>171</v>
      </c>
      <c r="J91" s="23">
        <f>IFERROR('cash flow data  (2)'!L14,0)</f>
        <v>351</v>
      </c>
      <c r="K91" s="23">
        <f>IFERROR('cash flow data  (2)'!M14,0)</f>
        <v>230</v>
      </c>
      <c r="L91" s="23">
        <f>IFERROR('cash flow data  (2)'!N14,0)</f>
        <v>285</v>
      </c>
    </row>
    <row r="92" spans="2:12" x14ac:dyDescent="0.25">
      <c r="B92" s="44" t="s">
        <v>153</v>
      </c>
      <c r="C92" s="23">
        <f>IFERROR('cash flow data  (2)'!E15,0)</f>
        <v>-429</v>
      </c>
      <c r="D92" s="23">
        <f>IFERROR('cash flow data  (2)'!F15,0)</f>
        <v>-5461</v>
      </c>
      <c r="E92" s="23">
        <f>IFERROR('cash flow data  (2)'!G15,0)</f>
        <v>-4728</v>
      </c>
      <c r="F92" s="23">
        <f>IFERROR('cash flow data  (2)'!H15,0)</f>
        <v>-6</v>
      </c>
      <c r="G92" s="23">
        <f>IFERROR('cash flow data  (2)'!I15,0)</f>
        <v>-329</v>
      </c>
      <c r="H92" s="23">
        <f>IFERROR('cash flow data  (2)'!J15,0)</f>
        <v>-130</v>
      </c>
      <c r="I92" s="23">
        <f>IFERROR('cash flow data  (2)'!K15,0)</f>
        <v>-1439</v>
      </c>
      <c r="J92" s="23">
        <f>IFERROR('cash flow data  (2)'!L15,0)</f>
        <v>-7530</v>
      </c>
      <c r="K92" s="23">
        <f>IFERROR('cash flow data  (2)'!M15,0)</f>
        <v>-3008</v>
      </c>
      <c r="L92" s="23">
        <f>IFERROR('cash flow data  (2)'!N15,0)</f>
        <v>-50</v>
      </c>
    </row>
    <row r="93" spans="2:12" x14ac:dyDescent="0.25">
      <c r="B93" s="44" t="s">
        <v>154</v>
      </c>
      <c r="C93" s="23">
        <f>IFERROR('cash flow data  (2)'!E16,0)</f>
        <v>4</v>
      </c>
      <c r="D93" s="23">
        <f>IFERROR('cash flow data  (2)'!F16,0)</f>
        <v>42</v>
      </c>
      <c r="E93" s="23">
        <f>IFERROR('cash flow data  (2)'!G16,0)</f>
        <v>89</v>
      </c>
      <c r="F93" s="23">
        <f>IFERROR('cash flow data  (2)'!H16,0)</f>
        <v>1965</v>
      </c>
      <c r="G93" s="23">
        <f>IFERROR('cash flow data  (2)'!I16,0)</f>
        <v>2381</v>
      </c>
      <c r="H93" s="23">
        <f>IFERROR('cash flow data  (2)'!J16,0)</f>
        <v>5644</v>
      </c>
      <c r="I93" s="23">
        <f>IFERROR('cash flow data  (2)'!K16,0)</f>
        <v>21</v>
      </c>
      <c r="J93" s="23">
        <f>IFERROR('cash flow data  (2)'!L16,0)</f>
        <v>226</v>
      </c>
      <c r="K93" s="23">
        <f>IFERROR('cash flow data  (2)'!M16,0)</f>
        <v>104</v>
      </c>
      <c r="L93" s="23">
        <f>IFERROR('cash flow data  (2)'!N16,0)</f>
        <v>6895</v>
      </c>
    </row>
    <row r="94" spans="2:12" x14ac:dyDescent="0.25">
      <c r="B94" s="44" t="s">
        <v>155</v>
      </c>
      <c r="C94" s="23">
        <f>IFERROR('cash flow data  (2)'!E17,0)</f>
        <v>653</v>
      </c>
      <c r="D94" s="23">
        <f>IFERROR('cash flow data  (2)'!F17,0)</f>
        <v>698</v>
      </c>
      <c r="E94" s="23">
        <f>IFERROR('cash flow data  (2)'!G17,0)</f>
        <v>731</v>
      </c>
      <c r="F94" s="23">
        <f>IFERROR('cash flow data  (2)'!H17,0)</f>
        <v>638</v>
      </c>
      <c r="G94" s="23">
        <f>IFERROR('cash flow data  (2)'!I17,0)</f>
        <v>690</v>
      </c>
      <c r="H94" s="23">
        <f>IFERROR('cash flow data  (2)'!J17,0)</f>
        <v>761</v>
      </c>
      <c r="I94" s="23">
        <f>IFERROR('cash flow data  (2)'!K17,0)</f>
        <v>1104</v>
      </c>
      <c r="J94" s="23">
        <f>IFERROR('cash flow data  (2)'!L17,0)</f>
        <v>428</v>
      </c>
      <c r="K94" s="23">
        <f>IFERROR('cash flow data  (2)'!M17,0)</f>
        <v>653</v>
      </c>
      <c r="L94" s="23">
        <f>IFERROR('cash flow data  (2)'!N17,0)</f>
        <v>973</v>
      </c>
    </row>
    <row r="95" spans="2:12" x14ac:dyDescent="0.25">
      <c r="B95" s="44" t="s">
        <v>156</v>
      </c>
      <c r="C95" s="23">
        <f>IFERROR('cash flow data  (2)'!E18,0)</f>
        <v>40</v>
      </c>
      <c r="D95" s="23">
        <f>IFERROR('cash flow data  (2)'!F18,0)</f>
        <v>80</v>
      </c>
      <c r="E95" s="23">
        <f>IFERROR('cash flow data  (2)'!G18,0)</f>
        <v>58</v>
      </c>
      <c r="F95" s="23">
        <f>IFERROR('cash flow data  (2)'!H18,0)</f>
        <v>620</v>
      </c>
      <c r="G95" s="23">
        <f>IFERROR('cash flow data  (2)'!I18,0)</f>
        <v>1797</v>
      </c>
      <c r="H95" s="23">
        <f>IFERROR('cash flow data  (2)'!J18,0)</f>
        <v>232</v>
      </c>
      <c r="I95" s="23">
        <f>IFERROR('cash flow data  (2)'!K18,0)</f>
        <v>21</v>
      </c>
      <c r="J95" s="23">
        <f>IFERROR('cash flow data  (2)'!L18,0)</f>
        <v>18</v>
      </c>
      <c r="K95" s="23">
        <f>IFERROR('cash flow data  (2)'!M18,0)</f>
        <v>32</v>
      </c>
      <c r="L95" s="23">
        <f>IFERROR('cash flow data  (2)'!N18,0)</f>
        <v>46</v>
      </c>
    </row>
    <row r="96" spans="2:12" x14ac:dyDescent="0.25">
      <c r="B96" s="44" t="s">
        <v>157</v>
      </c>
      <c r="C96" s="23">
        <f>IFERROR('cash flow data  (2)'!E19,0)</f>
        <v>0</v>
      </c>
      <c r="D96" s="23">
        <f>IFERROR('cash flow data  (2)'!F19,0)</f>
        <v>0</v>
      </c>
      <c r="E96" s="23">
        <f>IFERROR('cash flow data  (2)'!G19,0)</f>
        <v>0</v>
      </c>
      <c r="F96" s="23">
        <f>IFERROR('cash flow data  (2)'!H19,0)</f>
        <v>0</v>
      </c>
      <c r="G96" s="23">
        <f>IFERROR('cash flow data  (2)'!I19,0)</f>
        <v>0</v>
      </c>
      <c r="H96" s="23">
        <f>IFERROR('cash flow data  (2)'!J19,0)</f>
        <v>0</v>
      </c>
      <c r="I96" s="23">
        <f>IFERROR('cash flow data  (2)'!K19,0)</f>
        <v>0</v>
      </c>
      <c r="J96" s="23">
        <f>IFERROR('cash flow data  (2)'!L19,0)</f>
        <v>0</v>
      </c>
      <c r="K96" s="23">
        <f>IFERROR('cash flow data  (2)'!M19,0)</f>
        <v>0</v>
      </c>
      <c r="L96" s="23">
        <f>IFERROR('cash flow data  (2)'!N19,0)</f>
        <v>0</v>
      </c>
    </row>
    <row r="97" spans="2:12" x14ac:dyDescent="0.25">
      <c r="B97" s="44" t="s">
        <v>158</v>
      </c>
      <c r="C97" s="23">
        <f>IFERROR('cash flow data  (2)'!E20,0)</f>
        <v>0</v>
      </c>
      <c r="D97" s="23">
        <f>IFERROR('cash flow data  (2)'!F20,0)</f>
        <v>-160</v>
      </c>
      <c r="E97" s="23">
        <f>IFERROR('cash flow data  (2)'!G20,0)</f>
        <v>0</v>
      </c>
      <c r="F97" s="23">
        <f>IFERROR('cash flow data  (2)'!H20,0)</f>
        <v>-107</v>
      </c>
      <c r="G97" s="23">
        <f>IFERROR('cash flow data  (2)'!I20,0)</f>
        <v>-4</v>
      </c>
      <c r="H97" s="23">
        <f>IFERROR('cash flow data  (2)'!J20,0)</f>
        <v>-9</v>
      </c>
      <c r="I97" s="23">
        <f>IFERROR('cash flow data  (2)'!K20,0)</f>
        <v>-606</v>
      </c>
      <c r="J97" s="23">
        <f>IFERROR('cash flow data  (2)'!L20,0)</f>
        <v>-10</v>
      </c>
      <c r="K97" s="23">
        <f>IFERROR('cash flow data  (2)'!M20,0)</f>
        <v>0</v>
      </c>
      <c r="L97" s="23">
        <f>IFERROR('cash flow data  (2)'!N20,0)</f>
        <v>0</v>
      </c>
    </row>
    <row r="98" spans="2:12" x14ac:dyDescent="0.25">
      <c r="B98" s="44" t="s">
        <v>159</v>
      </c>
      <c r="C98" s="23">
        <f>IFERROR('cash flow data  (2)'!E21,0)</f>
        <v>0</v>
      </c>
      <c r="D98" s="23">
        <f>IFERROR('cash flow data  (2)'!F21,0)</f>
        <v>0</v>
      </c>
      <c r="E98" s="23">
        <f>IFERROR('cash flow data  (2)'!G21,0)</f>
        <v>0</v>
      </c>
      <c r="F98" s="23">
        <f>IFERROR('cash flow data  (2)'!H21,0)</f>
        <v>0</v>
      </c>
      <c r="G98" s="23">
        <f>IFERROR('cash flow data  (2)'!I21,0)</f>
        <v>14</v>
      </c>
      <c r="H98" s="23">
        <f>IFERROR('cash flow data  (2)'!J21,0)</f>
        <v>533</v>
      </c>
      <c r="I98" s="23">
        <f>IFERROR('cash flow data  (2)'!K21,0)</f>
        <v>0</v>
      </c>
      <c r="J98" s="23">
        <f>IFERROR('cash flow data  (2)'!L21,0)</f>
        <v>0</v>
      </c>
      <c r="K98" s="23">
        <f>IFERROR('cash flow data  (2)'!M21,0)</f>
        <v>0</v>
      </c>
      <c r="L98" s="23">
        <f>IFERROR('cash flow data  (2)'!N21,0)</f>
        <v>19</v>
      </c>
    </row>
    <row r="99" spans="2:12" x14ac:dyDescent="0.25">
      <c r="B99" s="44" t="s">
        <v>160</v>
      </c>
      <c r="C99" s="23">
        <f>IFERROR('cash flow data  (2)'!E22,0)</f>
        <v>-185</v>
      </c>
      <c r="D99" s="23">
        <f>IFERROR('cash flow data  (2)'!F22,0)</f>
        <v>0</v>
      </c>
      <c r="E99" s="23">
        <f>IFERROR('cash flow data  (2)'!G22,0)</f>
        <v>-111</v>
      </c>
      <c r="F99" s="23">
        <f>IFERROR('cash flow data  (2)'!H22,0)</f>
        <v>0</v>
      </c>
      <c r="G99" s="23">
        <f>IFERROR('cash flow data  (2)'!I22,0)</f>
        <v>0</v>
      </c>
      <c r="H99" s="23">
        <f>IFERROR('cash flow data  (2)'!J22,0)</f>
        <v>-8</v>
      </c>
      <c r="I99" s="23">
        <f>IFERROR('cash flow data  (2)'!K22,0)</f>
        <v>-27</v>
      </c>
      <c r="J99" s="23">
        <f>IFERROR('cash flow data  (2)'!L22,0)</f>
        <v>0</v>
      </c>
      <c r="K99" s="23">
        <f>IFERROR('cash flow data  (2)'!M22,0)</f>
        <v>-98</v>
      </c>
      <c r="L99" s="23">
        <f>IFERROR('cash flow data  (2)'!N22,0)</f>
        <v>0</v>
      </c>
    </row>
    <row r="100" spans="2:12" x14ac:dyDescent="0.25">
      <c r="B100" s="44" t="s">
        <v>161</v>
      </c>
      <c r="C100" s="23">
        <f>IFERROR('cash flow data  (2)'!E23,0)</f>
        <v>0</v>
      </c>
      <c r="D100" s="23">
        <f>IFERROR('cash flow data  (2)'!F23,0)</f>
        <v>0</v>
      </c>
      <c r="E100" s="23">
        <f>IFERROR('cash flow data  (2)'!G23,0)</f>
        <v>0</v>
      </c>
      <c r="F100" s="23">
        <f>IFERROR('cash flow data  (2)'!H23,0)</f>
        <v>0</v>
      </c>
      <c r="G100" s="23">
        <f>IFERROR('cash flow data  (2)'!I23,0)</f>
        <v>0</v>
      </c>
      <c r="H100" s="23">
        <f>IFERROR('cash flow data  (2)'!J23,0)</f>
        <v>0</v>
      </c>
      <c r="I100" s="23">
        <f>IFERROR('cash flow data  (2)'!K23,0)</f>
        <v>0</v>
      </c>
      <c r="J100" s="23">
        <f>IFERROR('cash flow data  (2)'!L23,0)</f>
        <v>0</v>
      </c>
      <c r="K100" s="23">
        <f>IFERROR('cash flow data  (2)'!M23,0)</f>
        <v>0</v>
      </c>
      <c r="L100" s="23">
        <f>IFERROR('cash flow data  (2)'!N23,0)</f>
        <v>0</v>
      </c>
    </row>
    <row r="101" spans="2:12" x14ac:dyDescent="0.25">
      <c r="B101" s="44" t="s">
        <v>162</v>
      </c>
      <c r="C101" s="23">
        <f>IFERROR('cash flow data  (2)'!E24,0)</f>
        <v>-1149</v>
      </c>
      <c r="D101" s="23">
        <f>IFERROR('cash flow data  (2)'!F24,0)</f>
        <v>456</v>
      </c>
      <c r="E101" s="23">
        <f>IFERROR('cash flow data  (2)'!G24,0)</f>
        <v>-1289</v>
      </c>
      <c r="F101" s="23">
        <f>IFERROR('cash flow data  (2)'!H24,0)</f>
        <v>-26663</v>
      </c>
      <c r="G101" s="23">
        <f>IFERROR('cash flow data  (2)'!I24,0)</f>
        <v>5360</v>
      </c>
      <c r="H101" s="23">
        <f>IFERROR('cash flow data  (2)'!J24,0)</f>
        <v>7335</v>
      </c>
      <c r="I101" s="23">
        <f>IFERROR('cash flow data  (2)'!K24,0)</f>
        <v>-2659</v>
      </c>
      <c r="J101" s="23">
        <f>IFERROR('cash flow data  (2)'!L24,0)</f>
        <v>1051</v>
      </c>
      <c r="K101" s="23">
        <f>IFERROR('cash flow data  (2)'!M24,0)</f>
        <v>12813</v>
      </c>
      <c r="L101" s="23">
        <f>IFERROR('cash flow data  (2)'!N24,0)</f>
        <v>-4357</v>
      </c>
    </row>
    <row r="102" spans="2:12" x14ac:dyDescent="0.25">
      <c r="B102" s="45" t="s">
        <v>150</v>
      </c>
      <c r="C102" s="46">
        <f>SUM(C90:C101)</f>
        <v>-27991</v>
      </c>
      <c r="D102" s="46">
        <f t="shared" ref="D102:L102" si="24">SUM(D90:D101)</f>
        <v>-36233</v>
      </c>
      <c r="E102" s="46">
        <f t="shared" si="24"/>
        <v>-36694</v>
      </c>
      <c r="F102" s="46">
        <f t="shared" si="24"/>
        <v>-39572</v>
      </c>
      <c r="G102" s="46">
        <f t="shared" si="24"/>
        <v>-25140</v>
      </c>
      <c r="H102" s="46">
        <f t="shared" si="24"/>
        <v>-20879</v>
      </c>
      <c r="I102" s="46">
        <f t="shared" si="24"/>
        <v>-33116</v>
      </c>
      <c r="J102" s="46">
        <f t="shared" si="24"/>
        <v>-25671</v>
      </c>
      <c r="K102" s="46">
        <f t="shared" si="24"/>
        <v>-4442</v>
      </c>
      <c r="L102" s="46">
        <f t="shared" si="24"/>
        <v>-15419</v>
      </c>
    </row>
    <row r="103" spans="2:12" x14ac:dyDescent="0.25">
      <c r="B103" s="43"/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2:12" x14ac:dyDescent="0.25">
      <c r="B104" s="44" t="s">
        <v>164</v>
      </c>
      <c r="C104" s="23">
        <f>IFERROR('cash flow data  (2)'!C26,0)</f>
        <v>139</v>
      </c>
      <c r="D104" s="23">
        <f>IFERROR('cash flow data  (2)'!D26,0)</f>
        <v>1</v>
      </c>
      <c r="E104" s="23">
        <f>IFERROR('cash flow data  (2)'!E26,0)</f>
        <v>0</v>
      </c>
      <c r="F104" s="23">
        <f>IFERROR('cash flow data  (2)'!F26,0)</f>
        <v>0</v>
      </c>
      <c r="G104" s="23">
        <f>IFERROR('cash flow data  (2)'!G26,0)</f>
        <v>7433</v>
      </c>
      <c r="H104" s="23">
        <f>IFERROR('cash flow data  (2)'!H26,0)</f>
        <v>5</v>
      </c>
      <c r="I104" s="23">
        <f>IFERROR('cash flow data  (2)'!I26,0)</f>
        <v>0</v>
      </c>
      <c r="J104" s="23">
        <f>IFERROR('cash flow data  (2)'!J26,0)</f>
        <v>0</v>
      </c>
      <c r="K104" s="23">
        <f>IFERROR('cash flow data  (2)'!K26,0)</f>
        <v>3889</v>
      </c>
      <c r="L104" s="23">
        <f>IFERROR('cash flow data  (2)'!L26,0)</f>
        <v>2603</v>
      </c>
    </row>
    <row r="105" spans="2:12" x14ac:dyDescent="0.25">
      <c r="B105" s="44" t="s">
        <v>165</v>
      </c>
      <c r="C105" s="23">
        <f>IFERROR('cash flow data  (2)'!C27,0)</f>
        <v>0</v>
      </c>
      <c r="D105" s="23">
        <f>IFERROR('cash flow data  (2)'!D27,0)</f>
        <v>-97</v>
      </c>
      <c r="E105" s="23">
        <f>IFERROR('cash flow data  (2)'!E27,0)</f>
        <v>-658</v>
      </c>
      <c r="F105" s="23">
        <f>IFERROR('cash flow data  (2)'!F27,0)</f>
        <v>-744</v>
      </c>
      <c r="G105" s="23">
        <f>IFERROR('cash flow data  (2)'!G27,0)</f>
        <v>0</v>
      </c>
      <c r="H105" s="23">
        <f>IFERROR('cash flow data  (2)'!H27,0)</f>
        <v>0</v>
      </c>
      <c r="I105" s="23">
        <f>IFERROR('cash flow data  (2)'!I27,0)</f>
        <v>0</v>
      </c>
      <c r="J105" s="23">
        <f>IFERROR('cash flow data  (2)'!J27,0)</f>
        <v>0</v>
      </c>
      <c r="K105" s="23">
        <f>IFERROR('cash flow data  (2)'!K27,0)</f>
        <v>0</v>
      </c>
      <c r="L105" s="23">
        <f>IFERROR('cash flow data  (2)'!L27,0)</f>
        <v>0</v>
      </c>
    </row>
    <row r="106" spans="2:12" x14ac:dyDescent="0.25">
      <c r="B106" s="44" t="s">
        <v>166</v>
      </c>
      <c r="C106" s="23">
        <f>IFERROR('cash flow data  (2)'!C28,0)</f>
        <v>27462</v>
      </c>
      <c r="D106" s="23">
        <f>IFERROR('cash flow data  (2)'!D28,0)</f>
        <v>27863</v>
      </c>
      <c r="E106" s="23">
        <f>IFERROR('cash flow data  (2)'!E28,0)</f>
        <v>33258</v>
      </c>
      <c r="F106" s="23">
        <f>IFERROR('cash flow data  (2)'!F28,0)</f>
        <v>36363</v>
      </c>
      <c r="G106" s="23">
        <f>IFERROR('cash flow data  (2)'!G28,0)</f>
        <v>19519</v>
      </c>
      <c r="H106" s="23">
        <f>IFERROR('cash flow data  (2)'!H28,0)</f>
        <v>33390</v>
      </c>
      <c r="I106" s="23">
        <f>IFERROR('cash flow data  (2)'!I28,0)</f>
        <v>37482</v>
      </c>
      <c r="J106" s="23">
        <f>IFERROR('cash flow data  (2)'!J28,0)</f>
        <v>51128</v>
      </c>
      <c r="K106" s="23">
        <f>IFERROR('cash flow data  (2)'!K28,0)</f>
        <v>38297</v>
      </c>
      <c r="L106" s="23">
        <f>IFERROR('cash flow data  (2)'!L28,0)</f>
        <v>46641</v>
      </c>
    </row>
    <row r="107" spans="2:12" x14ac:dyDescent="0.25">
      <c r="B107" s="44" t="s">
        <v>167</v>
      </c>
      <c r="C107" s="23">
        <f>IFERROR('cash flow data  (2)'!C29,0)</f>
        <v>-15010</v>
      </c>
      <c r="D107" s="23">
        <f>IFERROR('cash flow data  (2)'!D29,0)</f>
        <v>-20395</v>
      </c>
      <c r="E107" s="23">
        <f>IFERROR('cash flow data  (2)'!E29,0)</f>
        <v>-29141</v>
      </c>
      <c r="F107" s="23">
        <f>IFERROR('cash flow data  (2)'!F29,0)</f>
        <v>-23332</v>
      </c>
      <c r="G107" s="23">
        <f>IFERROR('cash flow data  (2)'!G29,0)</f>
        <v>-24924</v>
      </c>
      <c r="H107" s="23">
        <f>IFERROR('cash flow data  (2)'!H29,0)</f>
        <v>-21732</v>
      </c>
      <c r="I107" s="23">
        <f>IFERROR('cash flow data  (2)'!I29,0)</f>
        <v>-29964</v>
      </c>
      <c r="J107" s="23">
        <f>IFERROR('cash flow data  (2)'!J29,0)</f>
        <v>-35198</v>
      </c>
      <c r="K107" s="23">
        <f>IFERROR('cash flow data  (2)'!K29,0)</f>
        <v>-29847</v>
      </c>
      <c r="L107" s="23">
        <f>IFERROR('cash flow data  (2)'!L29,0)</f>
        <v>-29709</v>
      </c>
    </row>
    <row r="108" spans="2:12" x14ac:dyDescent="0.25">
      <c r="B108" s="44" t="s">
        <v>168</v>
      </c>
      <c r="C108" s="23">
        <f>IFERROR('cash flow data  (2)'!C30,0)</f>
        <v>-3374</v>
      </c>
      <c r="D108" s="23">
        <f>IFERROR('cash flow data  (2)'!D30,0)</f>
        <v>-4666</v>
      </c>
      <c r="E108" s="23">
        <f>IFERROR('cash flow data  (2)'!E30,0)</f>
        <v>-6171</v>
      </c>
      <c r="F108" s="23">
        <f>IFERROR('cash flow data  (2)'!F30,0)</f>
        <v>-6307</v>
      </c>
      <c r="G108" s="23">
        <f>IFERROR('cash flow data  (2)'!G30,0)</f>
        <v>-5716</v>
      </c>
      <c r="H108" s="23">
        <f>IFERROR('cash flow data  (2)'!H30,0)</f>
        <v>-5336</v>
      </c>
      <c r="I108" s="23">
        <f>IFERROR('cash flow data  (2)'!I30,0)</f>
        <v>-5411</v>
      </c>
      <c r="J108" s="23">
        <f>IFERROR('cash flow data  (2)'!J30,0)</f>
        <v>-7005</v>
      </c>
      <c r="K108" s="23">
        <f>IFERROR('cash flow data  (2)'!K30,0)</f>
        <v>-7518</v>
      </c>
      <c r="L108" s="23">
        <f>IFERROR('cash flow data  (2)'!L30,0)</f>
        <v>-8123</v>
      </c>
    </row>
    <row r="109" spans="2:12" x14ac:dyDescent="0.25">
      <c r="B109" s="44" t="s">
        <v>169</v>
      </c>
      <c r="C109" s="23">
        <f>IFERROR('cash flow data  (2)'!C31,0)</f>
        <v>-1503</v>
      </c>
      <c r="D109" s="23">
        <f>IFERROR('cash flow data  (2)'!D31,0)</f>
        <v>-1551</v>
      </c>
      <c r="E109" s="23">
        <f>IFERROR('cash flow data  (2)'!E31,0)</f>
        <v>-722</v>
      </c>
      <c r="F109" s="23">
        <f>IFERROR('cash flow data  (2)'!F31,0)</f>
        <v>-720</v>
      </c>
      <c r="G109" s="23">
        <f>IFERROR('cash flow data  (2)'!G31,0)</f>
        <v>-108</v>
      </c>
      <c r="H109" s="23">
        <f>IFERROR('cash flow data  (2)'!H31,0)</f>
        <v>-121</v>
      </c>
      <c r="I109" s="23">
        <f>IFERROR('cash flow data  (2)'!I31,0)</f>
        <v>-96</v>
      </c>
      <c r="J109" s="23">
        <f>IFERROR('cash flow data  (2)'!J31,0)</f>
        <v>-95</v>
      </c>
      <c r="K109" s="23">
        <f>IFERROR('cash flow data  (2)'!K31,0)</f>
        <v>-57</v>
      </c>
      <c r="L109" s="23">
        <f>IFERROR('cash flow data  (2)'!L31,0)</f>
        <v>-30</v>
      </c>
    </row>
    <row r="110" spans="2:12" x14ac:dyDescent="0.25">
      <c r="B110" s="44" t="s">
        <v>170</v>
      </c>
      <c r="C110" s="23">
        <f>IFERROR('cash flow data  (2)'!C32,0)</f>
        <v>0</v>
      </c>
      <c r="D110" s="23">
        <f>IFERROR('cash flow data  (2)'!D32,0)</f>
        <v>0</v>
      </c>
      <c r="E110" s="23">
        <f>IFERROR('cash flow data  (2)'!E32,0)</f>
        <v>0</v>
      </c>
      <c r="F110" s="23">
        <f>IFERROR('cash flow data  (2)'!F32,0)</f>
        <v>0</v>
      </c>
      <c r="G110" s="23">
        <f>IFERROR('cash flow data  (2)'!G32,0)</f>
        <v>0</v>
      </c>
      <c r="H110" s="23">
        <f>IFERROR('cash flow data  (2)'!H32,0)</f>
        <v>0</v>
      </c>
      <c r="I110" s="23">
        <f>IFERROR('cash flow data  (2)'!I32,0)</f>
        <v>0</v>
      </c>
      <c r="J110" s="23">
        <f>IFERROR('cash flow data  (2)'!J32,0)</f>
        <v>0</v>
      </c>
      <c r="K110" s="23">
        <f>IFERROR('cash flow data  (2)'!K32,0)</f>
        <v>-1346</v>
      </c>
      <c r="L110" s="23">
        <f>IFERROR('cash flow data  (2)'!L32,0)</f>
        <v>-1477</v>
      </c>
    </row>
    <row r="111" spans="2:12" x14ac:dyDescent="0.25">
      <c r="B111" s="44" t="s">
        <v>171</v>
      </c>
      <c r="C111" s="23">
        <f>IFERROR('cash flow data  (2)'!C33,0)</f>
        <v>-1147</v>
      </c>
      <c r="D111" s="23">
        <f>IFERROR('cash flow data  (2)'!D33,0)</f>
        <v>-2849</v>
      </c>
      <c r="E111" s="23">
        <f>IFERROR('cash flow data  (2)'!E33,0)</f>
        <v>-450</v>
      </c>
      <c r="F111" s="23">
        <f>IFERROR('cash flow data  (2)'!F33,0)</f>
        <v>-57</v>
      </c>
      <c r="G111" s="23">
        <f>IFERROR('cash flow data  (2)'!G33,0)</f>
        <v>0</v>
      </c>
      <c r="H111" s="23">
        <f>IFERROR('cash flow data  (2)'!H33,0)</f>
        <v>0</v>
      </c>
      <c r="I111" s="23">
        <f>IFERROR('cash flow data  (2)'!I33,0)</f>
        <v>0</v>
      </c>
      <c r="J111" s="23">
        <f>IFERROR('cash flow data  (2)'!J33,0)</f>
        <v>0</v>
      </c>
      <c r="K111" s="23">
        <f>IFERROR('cash flow data  (2)'!K33,0)</f>
        <v>-29</v>
      </c>
      <c r="L111" s="23">
        <f>IFERROR('cash flow data  (2)'!L33,0)</f>
        <v>0</v>
      </c>
    </row>
    <row r="112" spans="2:12" x14ac:dyDescent="0.25">
      <c r="B112" s="45" t="s">
        <v>172</v>
      </c>
      <c r="C112" s="46">
        <f>SUM(C104:C111)</f>
        <v>6567</v>
      </c>
      <c r="D112" s="46">
        <f t="shared" ref="D112:L112" si="25">SUM(D104:D111)</f>
        <v>-1694</v>
      </c>
      <c r="E112" s="46">
        <f t="shared" si="25"/>
        <v>-3884</v>
      </c>
      <c r="F112" s="46">
        <f t="shared" si="25"/>
        <v>5203</v>
      </c>
      <c r="G112" s="46">
        <f t="shared" si="25"/>
        <v>-3796</v>
      </c>
      <c r="H112" s="46">
        <f t="shared" si="25"/>
        <v>6206</v>
      </c>
      <c r="I112" s="46">
        <f t="shared" si="25"/>
        <v>2011</v>
      </c>
      <c r="J112" s="46">
        <f t="shared" si="25"/>
        <v>8830</v>
      </c>
      <c r="K112" s="46">
        <f t="shared" si="25"/>
        <v>3389</v>
      </c>
      <c r="L112" s="46">
        <f t="shared" si="25"/>
        <v>9905</v>
      </c>
    </row>
    <row r="113" spans="1:12" ht="15.75" thickBot="1" x14ac:dyDescent="0.3">
      <c r="B113" s="44"/>
    </row>
    <row r="114" spans="1:12" ht="15.75" thickBot="1" x14ac:dyDescent="0.3">
      <c r="A114" t="s">
        <v>60</v>
      </c>
      <c r="B114" s="47" t="s">
        <v>3</v>
      </c>
      <c r="C114" s="48">
        <f>SUM(C112,C102,C88)</f>
        <v>18884</v>
      </c>
      <c r="D114" s="48">
        <f t="shared" ref="D114:L114" si="26">SUM(D112,D102,D88)</f>
        <v>-6067</v>
      </c>
      <c r="E114" s="48">
        <f t="shared" si="26"/>
        <v>-1366</v>
      </c>
      <c r="F114" s="48">
        <f t="shared" si="26"/>
        <v>-915</v>
      </c>
      <c r="G114" s="48">
        <f t="shared" si="26"/>
        <v>-11513</v>
      </c>
      <c r="H114" s="48">
        <f t="shared" si="26"/>
        <v>-3002</v>
      </c>
      <c r="I114" s="48">
        <f t="shared" si="26"/>
        <v>593</v>
      </c>
      <c r="J114" s="48">
        <f t="shared" si="26"/>
        <v>12066</v>
      </c>
      <c r="K114" s="48">
        <f t="shared" si="26"/>
        <v>2479</v>
      </c>
      <c r="L114" s="48">
        <f t="shared" si="26"/>
        <v>26747</v>
      </c>
    </row>
  </sheetData>
  <mergeCells count="3">
    <mergeCell ref="B2:L2"/>
    <mergeCell ref="B50:L50"/>
    <mergeCell ref="B76:L76"/>
  </mergeCells>
  <pageMargins left="0.7" right="0.7" top="0.75" bottom="0.75" header="0.3" footer="0.3"/>
  <ignoredErrors>
    <ignoredError sqref="C16:L1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E624-F2D3-40F3-8509-0C756B22CC16}">
  <sheetPr>
    <tabColor rgb="FF00206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29EE-90D8-4E85-AC00-88FE582DE2E7}">
  <sheetPr>
    <tabColor rgb="FF002060"/>
  </sheetPr>
  <dimension ref="B1:Q18"/>
  <sheetViews>
    <sheetView showGridLines="0" zoomScale="96" zoomScaleNormal="96" workbookViewId="0">
      <selection activeCell="E15" sqref="E15"/>
    </sheetView>
  </sheetViews>
  <sheetFormatPr defaultRowHeight="15" x14ac:dyDescent="0.25"/>
  <cols>
    <col min="1" max="1" width="2.28515625" customWidth="1"/>
    <col min="2" max="2" width="12.42578125" bestFit="1" customWidth="1"/>
    <col min="3" max="3" width="8.85546875" bestFit="1" customWidth="1"/>
    <col min="4" max="4" width="11.28515625" bestFit="1" customWidth="1"/>
    <col min="5" max="5" width="15.85546875" bestFit="1" customWidth="1"/>
    <col min="8" max="8" width="12.42578125" bestFit="1" customWidth="1"/>
    <col min="9" max="9" width="8.85546875" bestFit="1" customWidth="1"/>
    <col min="10" max="10" width="7.85546875" bestFit="1" customWidth="1"/>
    <col min="11" max="11" width="15.85546875" bestFit="1" customWidth="1"/>
    <col min="14" max="14" width="12.42578125" bestFit="1" customWidth="1"/>
    <col min="15" max="15" width="7.28515625" bestFit="1" customWidth="1"/>
    <col min="16" max="16" width="5.5703125" bestFit="1" customWidth="1"/>
    <col min="17" max="17" width="15.85546875" bestFit="1" customWidth="1"/>
  </cols>
  <sheetData>
    <row r="1" spans="2:17" x14ac:dyDescent="0.25">
      <c r="D1" t="s">
        <v>208</v>
      </c>
    </row>
    <row r="2" spans="2:17" x14ac:dyDescent="0.25">
      <c r="B2" s="166" t="str">
        <f>"Sales Forecasting "&amp;"-"&amp;'Data Sheet'!$B$1</f>
        <v>Sales Forecasting -ASIAN PAINTS LTD</v>
      </c>
      <c r="C2" s="166"/>
      <c r="D2" s="166"/>
      <c r="E2" s="166"/>
      <c r="H2" s="166" t="str">
        <f>"EBITDA Forecasting "&amp;"-"&amp;'Data Sheet'!$B$1</f>
        <v>EBITDA Forecasting -ASIAN PAINTS LTD</v>
      </c>
      <c r="I2" s="166"/>
      <c r="J2" s="166"/>
      <c r="K2" s="166"/>
      <c r="N2" s="166" t="str">
        <f>"EPS Forecasting "&amp;"-"&amp;'Data Sheet'!$B$1</f>
        <v>EPS Forecasting -ASIAN PAINTS LTD</v>
      </c>
      <c r="O2" s="166"/>
      <c r="P2" s="166"/>
      <c r="Q2" s="166"/>
    </row>
    <row r="4" spans="2:17" x14ac:dyDescent="0.25">
      <c r="B4" s="69" t="s">
        <v>207</v>
      </c>
      <c r="C4" s="70" t="s">
        <v>109</v>
      </c>
      <c r="D4" s="70" t="s">
        <v>33</v>
      </c>
      <c r="E4" s="70" t="str">
        <f>"Growth of "&amp;D4</f>
        <v>Growth of Sales</v>
      </c>
      <c r="H4" s="69" t="s">
        <v>207</v>
      </c>
      <c r="I4" s="70" t="s">
        <v>109</v>
      </c>
      <c r="J4" s="70" t="s">
        <v>209</v>
      </c>
      <c r="K4" s="70" t="str">
        <f>"Growth of "&amp;J4</f>
        <v>Growth of EBITDA</v>
      </c>
      <c r="N4" s="69" t="s">
        <v>207</v>
      </c>
      <c r="O4" s="70" t="s">
        <v>109</v>
      </c>
      <c r="P4" s="70" t="s">
        <v>210</v>
      </c>
      <c r="Q4" s="70" t="str">
        <f>"Growth of "&amp;P4</f>
        <v>Growth of EPS</v>
      </c>
    </row>
    <row r="5" spans="2:17" x14ac:dyDescent="0.25">
      <c r="B5" s="68">
        <v>1</v>
      </c>
      <c r="C5" s="74">
        <f>'Historical FS'!$C$3</f>
        <v>42094</v>
      </c>
      <c r="D5" s="71">
        <f t="array" ref="D5:D14">TRANSPOSE('Data Sheet'!B17:K17)</f>
        <v>13615.26</v>
      </c>
      <c r="H5" s="68">
        <v>1</v>
      </c>
      <c r="I5" s="74">
        <f>'Historical FS'!$C$3</f>
        <v>42094</v>
      </c>
      <c r="J5" s="71">
        <f t="array" ref="J5:J14">TRANSPOSE('Historical FS'!C19:L19)</f>
        <v>964.83000000000084</v>
      </c>
      <c r="N5" s="68">
        <v>1</v>
      </c>
      <c r="O5" s="73">
        <f>'Historical FS'!$C$3</f>
        <v>42094</v>
      </c>
      <c r="P5" s="71">
        <f t="array" ref="P5:P14">TRANSPOSE('Historical FS'!C39:L39)</f>
        <v>7.4332777314436937E-2</v>
      </c>
    </row>
    <row r="6" spans="2:17" x14ac:dyDescent="0.25">
      <c r="B6" s="68">
        <f>B5+1</f>
        <v>2</v>
      </c>
      <c r="C6" s="74">
        <f>C5+365</f>
        <v>42459</v>
      </c>
      <c r="D6" s="71">
        <v>263158.98</v>
      </c>
      <c r="E6" s="31">
        <f>D6/D5-1</f>
        <v>18.328237580479549</v>
      </c>
      <c r="F6" s="31"/>
      <c r="G6" s="31"/>
      <c r="H6" s="68">
        <f>H5+1</f>
        <v>2</v>
      </c>
      <c r="I6" s="74">
        <f>I5+365</f>
        <v>42459</v>
      </c>
      <c r="J6" s="71">
        <v>36699.089999999989</v>
      </c>
      <c r="K6" s="31">
        <f>J6/J5-1</f>
        <v>37.036845869220443</v>
      </c>
      <c r="N6" s="68">
        <f>N5+1</f>
        <v>2</v>
      </c>
      <c r="O6" s="73">
        <f>O5+365</f>
        <v>42459</v>
      </c>
      <c r="P6" s="71">
        <v>37.424880515342487</v>
      </c>
      <c r="Q6" s="31">
        <f>P6/P5-1</f>
        <v>502.47749495529496</v>
      </c>
    </row>
    <row r="7" spans="2:17" x14ac:dyDescent="0.25">
      <c r="B7" s="68">
        <f t="shared" ref="B7:B18" si="0">B6+1</f>
        <v>3</v>
      </c>
      <c r="C7" s="74">
        <f t="shared" ref="C7:C18" si="1">C6+365</f>
        <v>42824</v>
      </c>
      <c r="D7" s="71">
        <v>273045.59999999998</v>
      </c>
      <c r="E7" s="31">
        <f t="shared" ref="E7:E18" si="2">D7/D6-1</f>
        <v>3.75690010654397E-2</v>
      </c>
      <c r="F7" s="31"/>
      <c r="G7" s="31"/>
      <c r="H7" s="68">
        <f t="shared" ref="H7:H18" si="3">H6+1</f>
        <v>3</v>
      </c>
      <c r="I7" s="74">
        <f t="shared" ref="I7:I18" si="4">I6+365</f>
        <v>42824</v>
      </c>
      <c r="J7" s="71">
        <v>45544.629999999954</v>
      </c>
      <c r="K7" s="31">
        <f t="shared" ref="K7:K18" si="5">J7/J6-1</f>
        <v>0.24102886474841667</v>
      </c>
      <c r="N7" s="68">
        <f t="shared" ref="N7:N18" si="6">N6+1</f>
        <v>3</v>
      </c>
      <c r="O7" s="73">
        <f t="shared" ref="O7:O18" si="7">O6+365</f>
        <v>42824</v>
      </c>
      <c r="P7" s="71">
        <v>72.456774729841896</v>
      </c>
      <c r="Q7" s="31">
        <f t="shared" ref="Q7:Q18" si="8">P7/P6-1</f>
        <v>0.93605894613712759</v>
      </c>
    </row>
    <row r="8" spans="2:17" x14ac:dyDescent="0.25">
      <c r="B8" s="68">
        <f t="shared" si="0"/>
        <v>4</v>
      </c>
      <c r="C8" s="74">
        <f t="shared" si="1"/>
        <v>43189</v>
      </c>
      <c r="D8" s="71">
        <v>269692.51</v>
      </c>
      <c r="E8" s="31">
        <f t="shared" si="2"/>
        <v>-1.2280329732469508E-2</v>
      </c>
      <c r="F8" s="31"/>
      <c r="G8" s="31"/>
      <c r="H8" s="68">
        <f t="shared" si="3"/>
        <v>4</v>
      </c>
      <c r="I8" s="74">
        <f t="shared" si="4"/>
        <v>43189</v>
      </c>
      <c r="J8" s="71">
        <v>34198.890000000029</v>
      </c>
      <c r="K8" s="31">
        <f t="shared" si="5"/>
        <v>-0.2491125737545774</v>
      </c>
      <c r="N8" s="68">
        <f t="shared" si="6"/>
        <v>4</v>
      </c>
      <c r="O8" s="73">
        <f t="shared" si="7"/>
        <v>43189</v>
      </c>
      <c r="P8" s="71">
        <v>30.494441173414707</v>
      </c>
      <c r="Q8" s="31">
        <f t="shared" si="8"/>
        <v>-0.57913609476664529</v>
      </c>
    </row>
    <row r="9" spans="2:17" x14ac:dyDescent="0.25">
      <c r="B9" s="68">
        <f t="shared" si="0"/>
        <v>5</v>
      </c>
      <c r="C9" s="74">
        <f t="shared" si="1"/>
        <v>43554</v>
      </c>
      <c r="D9" s="71">
        <v>291550.48</v>
      </c>
      <c r="E9" s="31">
        <f t="shared" si="2"/>
        <v>8.104774581985974E-2</v>
      </c>
      <c r="F9" s="31"/>
      <c r="G9" s="31"/>
      <c r="H9" s="68">
        <f t="shared" si="3"/>
        <v>5</v>
      </c>
      <c r="I9" s="74">
        <f t="shared" si="4"/>
        <v>43554</v>
      </c>
      <c r="J9" s="71">
        <v>32116.069999999992</v>
      </c>
      <c r="K9" s="31">
        <f t="shared" si="5"/>
        <v>-6.0903146271707453E-2</v>
      </c>
      <c r="N9" s="68">
        <f t="shared" si="6"/>
        <v>5</v>
      </c>
      <c r="O9" s="73">
        <f t="shared" si="7"/>
        <v>43554</v>
      </c>
      <c r="P9" s="71">
        <v>5.3294080975305338</v>
      </c>
      <c r="Q9" s="31">
        <f t="shared" si="8"/>
        <v>-0.82523345591993491</v>
      </c>
    </row>
    <row r="10" spans="2:17" x14ac:dyDescent="0.25">
      <c r="B10" s="68">
        <f t="shared" si="0"/>
        <v>6</v>
      </c>
      <c r="C10" s="74">
        <f t="shared" si="1"/>
        <v>43919</v>
      </c>
      <c r="D10" s="71">
        <v>301938.40000000002</v>
      </c>
      <c r="E10" s="31">
        <f t="shared" si="2"/>
        <v>3.5629919045237157E-2</v>
      </c>
      <c r="F10" s="31"/>
      <c r="G10" s="31"/>
      <c r="H10" s="68">
        <f t="shared" si="3"/>
        <v>6</v>
      </c>
      <c r="I10" s="74">
        <f t="shared" si="4"/>
        <v>43919</v>
      </c>
      <c r="J10" s="71">
        <v>26373.070000000022</v>
      </c>
      <c r="K10" s="31">
        <f t="shared" si="5"/>
        <v>-0.17882013583853729</v>
      </c>
      <c r="N10" s="68">
        <f t="shared" si="6"/>
        <v>6</v>
      </c>
      <c r="O10" s="73">
        <f t="shared" si="7"/>
        <v>43919</v>
      </c>
      <c r="P10" s="71">
        <v>-1.8657915699788099</v>
      </c>
      <c r="Q10" s="31">
        <f t="shared" si="8"/>
        <v>-1.3500935818451123</v>
      </c>
    </row>
    <row r="11" spans="2:17" x14ac:dyDescent="0.25">
      <c r="B11" s="68">
        <f t="shared" si="0"/>
        <v>7</v>
      </c>
      <c r="C11" s="74">
        <f t="shared" si="1"/>
        <v>44284</v>
      </c>
      <c r="D11" s="71">
        <v>261067.97</v>
      </c>
      <c r="E11" s="31">
        <f t="shared" si="2"/>
        <v>-0.135360159555724</v>
      </c>
      <c r="F11" s="31"/>
      <c r="G11" s="31"/>
      <c r="H11" s="68">
        <f t="shared" si="3"/>
        <v>7</v>
      </c>
      <c r="I11" s="74">
        <f t="shared" si="4"/>
        <v>44284</v>
      </c>
      <c r="J11" s="71">
        <v>21443.579999999973</v>
      </c>
      <c r="K11" s="31">
        <f t="shared" si="5"/>
        <v>-0.18691377226845585</v>
      </c>
      <c r="N11" s="68">
        <f t="shared" si="6"/>
        <v>7</v>
      </c>
      <c r="O11" s="73">
        <f t="shared" si="7"/>
        <v>44284</v>
      </c>
      <c r="P11" s="71">
        <v>-24.669569439948301</v>
      </c>
      <c r="Q11" s="31">
        <f t="shared" si="8"/>
        <v>12.222039287179584</v>
      </c>
    </row>
    <row r="12" spans="2:17" x14ac:dyDescent="0.25">
      <c r="B12" s="68">
        <f t="shared" si="0"/>
        <v>8</v>
      </c>
      <c r="C12" s="74">
        <f t="shared" si="1"/>
        <v>44649</v>
      </c>
      <c r="D12" s="71">
        <v>249794.75</v>
      </c>
      <c r="E12" s="31">
        <f t="shared" si="2"/>
        <v>-4.3181168490336042E-2</v>
      </c>
      <c r="F12" s="31"/>
      <c r="G12" s="31"/>
      <c r="H12" s="68">
        <f t="shared" si="3"/>
        <v>8</v>
      </c>
      <c r="I12" s="74">
        <f t="shared" si="4"/>
        <v>44649</v>
      </c>
      <c r="J12" s="71">
        <v>31452.92</v>
      </c>
      <c r="K12" s="31">
        <f t="shared" si="5"/>
        <v>0.46677560370050331</v>
      </c>
      <c r="N12" s="68">
        <f t="shared" si="6"/>
        <v>8</v>
      </c>
      <c r="O12" s="73">
        <f t="shared" si="7"/>
        <v>44649</v>
      </c>
      <c r="P12" s="71">
        <v>-8.2306418094750455</v>
      </c>
      <c r="Q12" s="31">
        <f t="shared" si="8"/>
        <v>-0.666364594262157</v>
      </c>
    </row>
    <row r="13" spans="2:17" x14ac:dyDescent="0.25">
      <c r="B13" s="68">
        <f t="shared" si="0"/>
        <v>9</v>
      </c>
      <c r="C13" s="74">
        <f t="shared" si="1"/>
        <v>45014</v>
      </c>
      <c r="D13" s="71">
        <v>278453.62</v>
      </c>
      <c r="E13" s="31">
        <f t="shared" si="2"/>
        <v>0.11472967306158344</v>
      </c>
      <c r="F13" s="31"/>
      <c r="G13" s="31"/>
      <c r="H13" s="68">
        <f t="shared" si="3"/>
        <v>9</v>
      </c>
      <c r="I13" s="74">
        <f t="shared" si="4"/>
        <v>45014</v>
      </c>
      <c r="J13" s="71">
        <v>25948.210000000006</v>
      </c>
      <c r="K13" s="31">
        <f t="shared" si="5"/>
        <v>-0.17501427530416869</v>
      </c>
      <c r="N13" s="68">
        <f t="shared" si="6"/>
        <v>9</v>
      </c>
      <c r="O13" s="73">
        <f t="shared" si="7"/>
        <v>45014</v>
      </c>
      <c r="P13" s="71">
        <v>-37.433763965428966</v>
      </c>
      <c r="Q13" s="31">
        <f t="shared" si="8"/>
        <v>3.5480978071886851</v>
      </c>
    </row>
    <row r="14" spans="2:17" x14ac:dyDescent="0.25">
      <c r="B14" s="68">
        <f t="shared" si="0"/>
        <v>10</v>
      </c>
      <c r="C14" s="74">
        <f t="shared" si="1"/>
        <v>45379</v>
      </c>
      <c r="D14" s="71">
        <v>345966.97</v>
      </c>
      <c r="E14" s="31">
        <f t="shared" si="2"/>
        <v>0.24245815155859707</v>
      </c>
      <c r="F14" s="31"/>
      <c r="G14" s="31"/>
      <c r="H14" s="68">
        <f t="shared" si="3"/>
        <v>10</v>
      </c>
      <c r="I14" s="74">
        <f t="shared" si="4"/>
        <v>45379</v>
      </c>
      <c r="J14" s="71">
        <v>36724.13999999997</v>
      </c>
      <c r="K14" s="31">
        <f t="shared" si="5"/>
        <v>0.41528606404834711</v>
      </c>
      <c r="N14" s="68">
        <f t="shared" si="6"/>
        <v>10</v>
      </c>
      <c r="O14" s="73">
        <f t="shared" si="7"/>
        <v>45379</v>
      </c>
      <c r="P14" s="71">
        <v>2.8128744768613911</v>
      </c>
      <c r="Q14" s="31">
        <f t="shared" si="8"/>
        <v>-1.0751427101869626</v>
      </c>
    </row>
    <row r="15" spans="2:17" x14ac:dyDescent="0.25">
      <c r="B15" s="68">
        <f t="shared" si="0"/>
        <v>11</v>
      </c>
      <c r="C15" s="75">
        <f t="shared" si="1"/>
        <v>45744</v>
      </c>
      <c r="D15" s="72">
        <f>FORECAST($C$15,D5:D14,$C$5:$C$14)</f>
        <v>353711.38466666639</v>
      </c>
      <c r="E15" s="31">
        <f t="shared" si="2"/>
        <v>2.2384838259751794E-2</v>
      </c>
      <c r="F15" s="31"/>
      <c r="G15" s="31"/>
      <c r="H15" s="68">
        <f t="shared" si="3"/>
        <v>11</v>
      </c>
      <c r="I15" s="75">
        <f t="shared" si="4"/>
        <v>45744</v>
      </c>
      <c r="J15" s="72">
        <f>FORECAST($C$15,J5:J14,$C$5:$C$14)</f>
        <v>33550.214666666652</v>
      </c>
      <c r="K15" s="31">
        <f t="shared" si="5"/>
        <v>-8.6426130968167536E-2</v>
      </c>
      <c r="N15" s="68">
        <f t="shared" si="6"/>
        <v>11</v>
      </c>
      <c r="O15" s="73">
        <f t="shared" si="7"/>
        <v>45744</v>
      </c>
      <c r="P15" s="72">
        <f>FORECAST($C$15,P5:P14,$C$5:$C$14)</f>
        <v>-28.210303843907923</v>
      </c>
      <c r="Q15" s="31">
        <f t="shared" si="8"/>
        <v>-11.028994921730391</v>
      </c>
    </row>
    <row r="16" spans="2:17" x14ac:dyDescent="0.25">
      <c r="B16" s="68">
        <f t="shared" si="0"/>
        <v>12</v>
      </c>
      <c r="C16" s="75">
        <f t="shared" si="1"/>
        <v>46109</v>
      </c>
      <c r="D16" s="72">
        <f t="shared" ref="D16:D18" si="9">FORECAST($C$15,D6:D15,$C$5:$C$14)</f>
        <v>328941.03853333311</v>
      </c>
      <c r="E16" s="31">
        <f t="shared" si="2"/>
        <v>-7.0029824334539192E-2</v>
      </c>
      <c r="F16" s="31"/>
      <c r="G16" s="31"/>
      <c r="H16" s="68">
        <f t="shared" si="3"/>
        <v>12</v>
      </c>
      <c r="I16" s="75">
        <f t="shared" si="4"/>
        <v>46109</v>
      </c>
      <c r="J16" s="72">
        <f t="shared" ref="J16:J18" si="10">FORECAST($C$15,J6:J15,$C$5:$C$14)</f>
        <v>27796.559866666677</v>
      </c>
      <c r="K16" s="31">
        <f t="shared" si="5"/>
        <v>-0.17149382968677207</v>
      </c>
      <c r="N16" s="68">
        <f t="shared" si="6"/>
        <v>12</v>
      </c>
      <c r="O16" s="73">
        <f t="shared" si="7"/>
        <v>46109</v>
      </c>
      <c r="P16" s="72">
        <f t="shared" ref="P16:P18" si="11">FORECAST($C$15,P6:P15,$C$5:$C$14)</f>
        <v>-44.567466306552205</v>
      </c>
      <c r="Q16" s="31">
        <f t="shared" si="8"/>
        <v>0.57982936139756069</v>
      </c>
    </row>
    <row r="17" spans="2:17" x14ac:dyDescent="0.25">
      <c r="B17" s="68">
        <f t="shared" si="0"/>
        <v>13</v>
      </c>
      <c r="C17" s="75">
        <f t="shared" si="1"/>
        <v>46474</v>
      </c>
      <c r="D17" s="72">
        <f t="shared" si="9"/>
        <v>338134.47096888884</v>
      </c>
      <c r="E17" s="31">
        <f t="shared" si="2"/>
        <v>2.7948572414518313E-2</v>
      </c>
      <c r="F17" s="31"/>
      <c r="G17" s="31"/>
      <c r="H17" s="68">
        <f t="shared" si="3"/>
        <v>13</v>
      </c>
      <c r="I17" s="75">
        <f t="shared" si="4"/>
        <v>46474</v>
      </c>
      <c r="J17" s="72">
        <f t="shared" si="10"/>
        <v>27098.220168888904</v>
      </c>
      <c r="K17" s="31">
        <f t="shared" si="5"/>
        <v>-2.5123241909342009E-2</v>
      </c>
      <c r="N17" s="68">
        <f t="shared" si="6"/>
        <v>13</v>
      </c>
      <c r="O17" s="73">
        <f t="shared" si="7"/>
        <v>46474</v>
      </c>
      <c r="P17" s="72">
        <f t="shared" si="11"/>
        <v>-55.62170524936505</v>
      </c>
      <c r="Q17" s="31">
        <f t="shared" si="8"/>
        <v>0.24803382060756007</v>
      </c>
    </row>
    <row r="18" spans="2:17" x14ac:dyDescent="0.25">
      <c r="B18" s="68">
        <f t="shared" si="0"/>
        <v>14</v>
      </c>
      <c r="C18" s="75">
        <f t="shared" si="1"/>
        <v>46839</v>
      </c>
      <c r="D18" s="72">
        <f t="shared" si="9"/>
        <v>349256.23780977773</v>
      </c>
      <c r="E18" s="31">
        <f t="shared" si="2"/>
        <v>3.2891549947630772E-2</v>
      </c>
      <c r="F18" s="31"/>
      <c r="G18" s="31"/>
      <c r="H18" s="68">
        <f t="shared" si="3"/>
        <v>14</v>
      </c>
      <c r="I18" s="75">
        <f t="shared" si="4"/>
        <v>46839</v>
      </c>
      <c r="J18" s="72">
        <f t="shared" si="10"/>
        <v>29072.857267555555</v>
      </c>
      <c r="K18" s="31">
        <f t="shared" si="5"/>
        <v>7.2869623405514394E-2</v>
      </c>
      <c r="N18" s="68">
        <f t="shared" si="6"/>
        <v>14</v>
      </c>
      <c r="O18" s="73">
        <f t="shared" si="7"/>
        <v>46839</v>
      </c>
      <c r="P18" s="72">
        <f t="shared" si="11"/>
        <v>-56.289644857310577</v>
      </c>
      <c r="Q18" s="31">
        <f t="shared" si="8"/>
        <v>1.2008614352094993E-2</v>
      </c>
    </row>
  </sheetData>
  <mergeCells count="3">
    <mergeCell ref="H2:K2"/>
    <mergeCell ref="N2:Q2"/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78F2-2551-497E-8BCB-5413A4C395CD}">
  <sheetPr>
    <tabColor rgb="FF002060"/>
  </sheetPr>
  <dimension ref="A2:L41"/>
  <sheetViews>
    <sheetView showGridLines="0" topLeftCell="A9" workbookViewId="0">
      <selection activeCell="D20" sqref="D20"/>
    </sheetView>
  </sheetViews>
  <sheetFormatPr defaultRowHeight="15" x14ac:dyDescent="0.25"/>
  <cols>
    <col min="1" max="1" width="2.28515625" customWidth="1"/>
    <col min="2" max="2" width="37.140625" bestFit="1" customWidth="1"/>
    <col min="3" max="3" width="8.42578125" bestFit="1" customWidth="1"/>
    <col min="4" max="4" width="7.140625" bestFit="1" customWidth="1"/>
    <col min="5" max="5" width="11.85546875" bestFit="1" customWidth="1"/>
    <col min="6" max="6" width="20.5703125" bestFit="1" customWidth="1"/>
    <col min="8" max="8" width="23.140625" bestFit="1" customWidth="1"/>
    <col min="9" max="9" width="7.140625" bestFit="1" customWidth="1"/>
  </cols>
  <sheetData>
    <row r="2" spans="1:12" x14ac:dyDescent="0.25">
      <c r="B2" s="165" t="str">
        <f>"WACC "&amp;" -" &amp;'Data Sheet'!$B$1</f>
        <v>WACC  -ASIAN PAINTS LTD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3" spans="1:12" x14ac:dyDescent="0.25">
      <c r="B3" s="76"/>
      <c r="C3" s="76"/>
      <c r="D3" s="76"/>
      <c r="E3" s="77"/>
      <c r="F3" s="76"/>
    </row>
    <row r="4" spans="1:12" x14ac:dyDescent="0.25">
      <c r="B4" s="78" t="s">
        <v>211</v>
      </c>
      <c r="C4" s="78"/>
      <c r="D4" s="76"/>
      <c r="E4" s="77"/>
      <c r="F4" s="76"/>
    </row>
    <row r="5" spans="1:12" x14ac:dyDescent="0.25">
      <c r="B5" s="79"/>
      <c r="C5" s="79"/>
      <c r="D5" s="79"/>
      <c r="E5" s="80"/>
      <c r="F5" s="79"/>
      <c r="G5" s="79" t="s">
        <v>218</v>
      </c>
      <c r="H5" s="79" t="s">
        <v>220</v>
      </c>
      <c r="I5" s="79" t="s">
        <v>222</v>
      </c>
      <c r="J5" s="79" t="s">
        <v>224</v>
      </c>
    </row>
    <row r="6" spans="1:12" ht="17.25" x14ac:dyDescent="0.25">
      <c r="A6" t="s">
        <v>60</v>
      </c>
      <c r="B6" s="81" t="s">
        <v>212</v>
      </c>
      <c r="C6" s="81" t="s">
        <v>213</v>
      </c>
      <c r="D6" s="81" t="s">
        <v>214</v>
      </c>
      <c r="E6" s="82" t="s">
        <v>215</v>
      </c>
      <c r="F6" s="81" t="s">
        <v>216</v>
      </c>
      <c r="G6" s="81" t="s">
        <v>219</v>
      </c>
      <c r="H6" s="81" t="s">
        <v>221</v>
      </c>
      <c r="I6" s="81" t="s">
        <v>223</v>
      </c>
      <c r="J6" s="81" t="s">
        <v>223</v>
      </c>
    </row>
    <row r="7" spans="1:12" x14ac:dyDescent="0.25">
      <c r="B7" s="83" t="str">
        <f>'Beta for bottom '!C3</f>
        <v>Tata Motors</v>
      </c>
      <c r="C7" s="83" t="s">
        <v>217</v>
      </c>
      <c r="D7" s="84">
        <f>'Beta for bottom '!F3</f>
        <v>127864.3</v>
      </c>
      <c r="E7" s="84">
        <f>'Beta for bottom '!E3</f>
        <v>271463.69</v>
      </c>
      <c r="F7" s="107">
        <v>0.3</v>
      </c>
      <c r="G7" s="99">
        <f>D7/E7</f>
        <v>0.47101805770046079</v>
      </c>
      <c r="H7" s="99">
        <f>D7/SUM(D7:E7)</f>
        <v>0.32019869180720339</v>
      </c>
      <c r="I7" s="29">
        <f>'beta calculation'!K5</f>
        <v>0.10493282904218161</v>
      </c>
      <c r="J7" s="29">
        <f>I7/(1+(1-F7)*G7)</f>
        <v>7.891391407047145E-2</v>
      </c>
    </row>
    <row r="8" spans="1:12" x14ac:dyDescent="0.25">
      <c r="B8" s="83" t="str">
        <f>'Beta for bottom '!C4</f>
        <v>Eicher Motors</v>
      </c>
      <c r="C8" s="83" t="s">
        <v>217</v>
      </c>
      <c r="D8" s="84">
        <f>'Beta for bottom '!F4</f>
        <v>416.16</v>
      </c>
      <c r="E8" s="84">
        <f>'Beta for bottom '!E4</f>
        <v>112763.41</v>
      </c>
      <c r="F8" s="107">
        <v>0.3</v>
      </c>
      <c r="G8" s="99">
        <f t="shared" ref="G8:G10" si="0">D8/E8</f>
        <v>3.6905588435113836E-3</v>
      </c>
      <c r="H8" s="99">
        <f t="shared" ref="H8:H11" si="1">D8/SUM(D8:E8)</f>
        <v>3.6769887003458308E-3</v>
      </c>
      <c r="I8" s="29">
        <f>'beta calculation'!K6</f>
        <v>0.98</v>
      </c>
      <c r="J8" s="29">
        <f t="shared" ref="J8:J11" si="2">I8/(1+(1-F8)*G8)</f>
        <v>0.97747480021223698</v>
      </c>
    </row>
    <row r="9" spans="1:12" x14ac:dyDescent="0.25">
      <c r="B9" s="83" t="str">
        <f>'Beta for bottom '!C5</f>
        <v>Bajaj Auto</v>
      </c>
      <c r="C9" s="83" t="s">
        <v>217</v>
      </c>
      <c r="D9" s="84">
        <f>'Beta for bottom '!F5</f>
        <v>125.04</v>
      </c>
      <c r="E9" s="84">
        <f>'Beta for bottom '!E5</f>
        <v>189880.92</v>
      </c>
      <c r="F9" s="107">
        <v>0.3</v>
      </c>
      <c r="G9" s="99">
        <f t="shared" si="0"/>
        <v>6.5851798063754899E-4</v>
      </c>
      <c r="H9" s="99">
        <f t="shared" si="1"/>
        <v>6.5808462008244369E-4</v>
      </c>
      <c r="I9" s="29">
        <f>'beta calculation'!K7</f>
        <v>0.85</v>
      </c>
      <c r="J9" s="29">
        <f t="shared" si="2"/>
        <v>0.84960836233183312</v>
      </c>
    </row>
    <row r="10" spans="1:12" x14ac:dyDescent="0.25">
      <c r="B10" s="83" t="str">
        <f>'Beta for bottom '!C6</f>
        <v>M &amp; M</v>
      </c>
      <c r="C10" s="83" t="s">
        <v>217</v>
      </c>
      <c r="D10" s="84">
        <f>'Beta for bottom '!F6</f>
        <v>99711.679999999993</v>
      </c>
      <c r="E10" s="84">
        <f>'Beta for bottom '!E6</f>
        <v>209230.78</v>
      </c>
      <c r="F10" s="107">
        <v>0.3</v>
      </c>
      <c r="G10" s="99">
        <f t="shared" si="0"/>
        <v>0.47656315194160243</v>
      </c>
      <c r="H10" s="99">
        <f t="shared" si="1"/>
        <v>0.32275162177448841</v>
      </c>
      <c r="I10" s="29">
        <f>'beta calculation'!K8</f>
        <v>1.22</v>
      </c>
      <c r="J10" s="29">
        <f t="shared" si="2"/>
        <v>0.91482101090612256</v>
      </c>
    </row>
    <row r="11" spans="1:12" x14ac:dyDescent="0.25">
      <c r="B11" s="83" t="str">
        <f>'Beta for bottom '!C7</f>
        <v>Maruti Suzuki</v>
      </c>
      <c r="C11" s="83" t="s">
        <v>217</v>
      </c>
      <c r="D11" s="84">
        <f>'Beta for bottom '!F7</f>
        <v>392.5</v>
      </c>
      <c r="E11" s="84">
        <f>'Beta for bottom '!E7</f>
        <v>323378.63</v>
      </c>
      <c r="F11" s="107">
        <v>0.3</v>
      </c>
      <c r="G11" s="99">
        <f>D11/E11</f>
        <v>1.2137474885090583E-3</v>
      </c>
      <c r="H11" s="99">
        <f t="shared" si="1"/>
        <v>1.212276091447684E-3</v>
      </c>
      <c r="I11" s="29">
        <f>'beta calculation'!K9</f>
        <v>0.57999999999999996</v>
      </c>
      <c r="J11" s="29">
        <f t="shared" si="2"/>
        <v>0.57950763684284712</v>
      </c>
    </row>
    <row r="13" spans="1:12" x14ac:dyDescent="0.25">
      <c r="E13" s="100" t="s">
        <v>205</v>
      </c>
      <c r="F13" s="101">
        <f>AVERAGE(F7:F11)</f>
        <v>0.3</v>
      </c>
      <c r="G13" s="102">
        <f>AVERAGE(G7:G11)</f>
        <v>0.19062880679094424</v>
      </c>
      <c r="H13" s="102">
        <f t="shared" ref="H13:J13" si="3">AVERAGE(H7:H11)</f>
        <v>0.12969953259871353</v>
      </c>
      <c r="I13" s="102">
        <f t="shared" si="3"/>
        <v>0.74698656580843625</v>
      </c>
      <c r="J13" s="102">
        <f t="shared" si="3"/>
        <v>0.6800651448727022</v>
      </c>
    </row>
    <row r="14" spans="1:12" x14ac:dyDescent="0.25">
      <c r="E14" s="93" t="s">
        <v>206</v>
      </c>
      <c r="F14" s="103">
        <f>MEDIAN(F7:F11)</f>
        <v>0.3</v>
      </c>
      <c r="G14" s="104">
        <f t="shared" ref="G14:J14" si="4">MEDIAN(G7:G11)</f>
        <v>3.6905588435113836E-3</v>
      </c>
      <c r="H14" s="104">
        <f t="shared" si="4"/>
        <v>3.6769887003458308E-3</v>
      </c>
      <c r="I14" s="104">
        <f t="shared" si="4"/>
        <v>0.85</v>
      </c>
      <c r="J14" s="104">
        <f t="shared" si="4"/>
        <v>0.84960836233183312</v>
      </c>
    </row>
    <row r="16" spans="1:12" x14ac:dyDescent="0.25">
      <c r="A16" t="s">
        <v>60</v>
      </c>
      <c r="B16" s="97" t="s">
        <v>280</v>
      </c>
      <c r="C16" s="93"/>
      <c r="D16" s="93"/>
      <c r="H16" s="97" t="s">
        <v>283</v>
      </c>
      <c r="I16" s="93"/>
    </row>
    <row r="18" spans="1:9" x14ac:dyDescent="0.25">
      <c r="B18" t="s">
        <v>281</v>
      </c>
      <c r="D18" s="15">
        <f>10225/D7</f>
        <v>7.996759064101551E-2</v>
      </c>
      <c r="H18" t="s">
        <v>284</v>
      </c>
      <c r="I18" s="31">
        <v>7.0999999999999994E-2</v>
      </c>
    </row>
    <row r="19" spans="1:9" ht="17.25" x14ac:dyDescent="0.25">
      <c r="B19" t="s">
        <v>126</v>
      </c>
      <c r="D19" s="15">
        <f>F13</f>
        <v>0.3</v>
      </c>
      <c r="H19" t="s">
        <v>286</v>
      </c>
      <c r="I19" s="15">
        <f>'Beta for bottom '!M9-WACC!I18</f>
        <v>8.6134782608695656E-2</v>
      </c>
    </row>
    <row r="20" spans="1:9" x14ac:dyDescent="0.25">
      <c r="B20" s="118" t="s">
        <v>282</v>
      </c>
      <c r="C20" s="118"/>
      <c r="D20" s="119">
        <f>(1-D19)*D18</f>
        <v>5.5977313448710854E-2</v>
      </c>
      <c r="H20" t="s">
        <v>287</v>
      </c>
      <c r="I20" s="29">
        <f>'beta calculation'!K5</f>
        <v>0.10493282904218161</v>
      </c>
    </row>
    <row r="21" spans="1:9" x14ac:dyDescent="0.25">
      <c r="H21" s="118" t="s">
        <v>285</v>
      </c>
      <c r="I21" s="120">
        <f>I18+I19*I20</f>
        <v>8.0038366418063736E-2</v>
      </c>
    </row>
    <row r="23" spans="1:9" ht="17.25" x14ac:dyDescent="0.25">
      <c r="A23" t="s">
        <v>294</v>
      </c>
      <c r="B23" s="114" t="s">
        <v>295</v>
      </c>
      <c r="C23" s="115"/>
      <c r="D23" s="115"/>
      <c r="E23" s="115"/>
      <c r="H23" s="97" t="s">
        <v>317</v>
      </c>
      <c r="I23" s="93"/>
    </row>
    <row r="24" spans="1:9" x14ac:dyDescent="0.25">
      <c r="D24" s="112" t="s">
        <v>300</v>
      </c>
      <c r="E24" s="112" t="s">
        <v>301</v>
      </c>
    </row>
    <row r="25" spans="1:9" x14ac:dyDescent="0.25">
      <c r="B25" t="s">
        <v>298</v>
      </c>
      <c r="C25" s="86">
        <f>D7</f>
        <v>127864.3</v>
      </c>
      <c r="D25">
        <f>C25/SUM(C25,C26)</f>
        <v>0.32019869180720339</v>
      </c>
      <c r="E25">
        <v>2.9000000000000001E-2</v>
      </c>
      <c r="H25" t="s">
        <v>296</v>
      </c>
      <c r="I25" s="99">
        <f>J14</f>
        <v>0.84960836233183312</v>
      </c>
    </row>
    <row r="26" spans="1:9" x14ac:dyDescent="0.25">
      <c r="B26" t="s">
        <v>299</v>
      </c>
      <c r="C26" s="86">
        <f>E7</f>
        <v>271463.69</v>
      </c>
      <c r="D26">
        <f>C26/SUM(C25,C26)</f>
        <v>0.67980130819279661</v>
      </c>
      <c r="E26">
        <f>1-E25</f>
        <v>0.97099999999999997</v>
      </c>
      <c r="H26" t="s">
        <v>297</v>
      </c>
      <c r="I26" s="29">
        <f>E28</f>
        <v>2.9866117404737387E-2</v>
      </c>
    </row>
    <row r="27" spans="1:9" x14ac:dyDescent="0.25">
      <c r="C27" s="124">
        <f>SUM(C25:C26)</f>
        <v>399327.99</v>
      </c>
      <c r="D27" s="124">
        <f>SUM(D25:D26)</f>
        <v>1</v>
      </c>
      <c r="E27" s="124">
        <f>SUM(E25:E26)</f>
        <v>1</v>
      </c>
      <c r="H27" t="s">
        <v>27</v>
      </c>
      <c r="I27" s="15">
        <f>D19</f>
        <v>0.3</v>
      </c>
    </row>
    <row r="28" spans="1:9" ht="17.25" x14ac:dyDescent="0.25">
      <c r="B28" s="113" t="s">
        <v>302</v>
      </c>
      <c r="C28" s="116"/>
      <c r="D28" s="117">
        <f>D25/D26</f>
        <v>0.47101805770046079</v>
      </c>
      <c r="E28" s="117">
        <f>E25/E26</f>
        <v>2.9866117404737387E-2</v>
      </c>
      <c r="H28" s="20" t="s">
        <v>317</v>
      </c>
      <c r="I28" s="121">
        <f>I25*(1+(1-I27)*I26)</f>
        <v>0.86737051450004754</v>
      </c>
    </row>
    <row r="31" spans="1:9" x14ac:dyDescent="0.25">
      <c r="B31" s="4"/>
      <c r="C31" s="4"/>
      <c r="D31" s="4"/>
      <c r="E31" s="122"/>
    </row>
    <row r="32" spans="1:9" x14ac:dyDescent="0.25">
      <c r="B32" s="123" t="s">
        <v>309</v>
      </c>
      <c r="C32" s="4"/>
      <c r="D32" s="4"/>
      <c r="E32" s="122"/>
    </row>
    <row r="33" spans="2:9" x14ac:dyDescent="0.25">
      <c r="B33" s="123" t="s">
        <v>310</v>
      </c>
      <c r="C33" s="4"/>
      <c r="D33" s="4"/>
      <c r="E33" s="122"/>
      <c r="H33" s="97" t="s">
        <v>303</v>
      </c>
      <c r="I33" s="97"/>
    </row>
    <row r="34" spans="2:9" x14ac:dyDescent="0.25">
      <c r="B34" s="123" t="s">
        <v>311</v>
      </c>
      <c r="C34" s="4"/>
      <c r="D34" s="4"/>
      <c r="E34" s="122"/>
    </row>
    <row r="35" spans="2:9" x14ac:dyDescent="0.25">
      <c r="B35" s="123" t="s">
        <v>312</v>
      </c>
      <c r="C35" s="4"/>
      <c r="D35" s="4"/>
      <c r="E35" s="122"/>
      <c r="H35" t="s">
        <v>305</v>
      </c>
      <c r="I35" s="15">
        <f>I21</f>
        <v>8.0038366418063736E-2</v>
      </c>
    </row>
    <row r="36" spans="2:9" x14ac:dyDescent="0.25">
      <c r="B36" s="4"/>
      <c r="C36" s="4"/>
      <c r="D36" s="4"/>
      <c r="E36" s="122"/>
      <c r="H36" t="s">
        <v>304</v>
      </c>
      <c r="I36">
        <f>E26</f>
        <v>0.97099999999999997</v>
      </c>
    </row>
    <row r="37" spans="2:9" x14ac:dyDescent="0.25">
      <c r="B37" s="4"/>
      <c r="C37" s="4"/>
      <c r="D37" s="4"/>
      <c r="E37" s="122"/>
    </row>
    <row r="38" spans="2:9" x14ac:dyDescent="0.25">
      <c r="B38" s="123" t="s">
        <v>313</v>
      </c>
      <c r="C38" s="4"/>
      <c r="D38" s="4"/>
      <c r="E38" s="122"/>
      <c r="H38" t="s">
        <v>306</v>
      </c>
      <c r="I38" s="15">
        <f>D20</f>
        <v>5.5977313448710854E-2</v>
      </c>
    </row>
    <row r="39" spans="2:9" x14ac:dyDescent="0.25">
      <c r="B39" s="123" t="s">
        <v>314</v>
      </c>
      <c r="C39" s="4"/>
      <c r="D39" s="4"/>
      <c r="E39" s="122"/>
      <c r="H39" t="s">
        <v>307</v>
      </c>
      <c r="I39">
        <f>E25</f>
        <v>2.9000000000000001E-2</v>
      </c>
    </row>
    <row r="40" spans="2:9" x14ac:dyDescent="0.25">
      <c r="B40" s="123" t="s">
        <v>315</v>
      </c>
      <c r="C40" s="4"/>
      <c r="D40" s="4"/>
      <c r="E40" s="122"/>
      <c r="H40" s="118" t="s">
        <v>308</v>
      </c>
      <c r="I40" s="120">
        <f>I35*I36+(I38*I39)</f>
        <v>7.9340595881952497E-2</v>
      </c>
    </row>
    <row r="41" spans="2:9" x14ac:dyDescent="0.25">
      <c r="B41" s="123" t="s">
        <v>316</v>
      </c>
      <c r="C41" s="4"/>
      <c r="D41" s="4"/>
      <c r="E41" s="122"/>
    </row>
  </sheetData>
  <mergeCells count="1">
    <mergeCell ref="B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3EB0-F710-4FAF-B4F0-D5F532A02434}">
  <sheetPr>
    <tabColor rgb="FF002060"/>
  </sheetPr>
  <dimension ref="A2:O42"/>
  <sheetViews>
    <sheetView showGridLines="0" topLeftCell="A7" workbookViewId="0">
      <selection activeCell="B2" sqref="B2:L2"/>
    </sheetView>
  </sheetViews>
  <sheetFormatPr defaultRowHeight="15" x14ac:dyDescent="0.25"/>
  <cols>
    <col min="1" max="1" width="2" bestFit="1" customWidth="1"/>
    <col min="2" max="2" width="26.140625" bestFit="1" customWidth="1"/>
    <col min="4" max="12" width="10.7109375" bestFit="1" customWidth="1"/>
  </cols>
  <sheetData>
    <row r="2" spans="1:15" x14ac:dyDescent="0.25">
      <c r="B2" s="165" t="str">
        <f>"Ratio Analysis  "&amp;" -" &amp;'Data Sheet'!$B$1</f>
        <v>Ratio Analysis   -ASIAN PAINTS LTD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3" spans="1:15" x14ac:dyDescent="0.25">
      <c r="B3" s="21" t="s">
        <v>109</v>
      </c>
      <c r="C3" s="22">
        <f>'Data Sheet'!B$16</f>
        <v>42094</v>
      </c>
      <c r="D3" s="22">
        <f>'Data Sheet'!C$16</f>
        <v>42460</v>
      </c>
      <c r="E3" s="22">
        <f>'Data Sheet'!D$16</f>
        <v>42825</v>
      </c>
      <c r="F3" s="22">
        <f>'Data Sheet'!E$16</f>
        <v>43190</v>
      </c>
      <c r="G3" s="22">
        <f>'Data Sheet'!F$16</f>
        <v>43555</v>
      </c>
      <c r="H3" s="22">
        <f>'Data Sheet'!G$16</f>
        <v>43921</v>
      </c>
      <c r="I3" s="22">
        <f>'Data Sheet'!H$16</f>
        <v>44286</v>
      </c>
      <c r="J3" s="22">
        <f>'Data Sheet'!I$16</f>
        <v>44651</v>
      </c>
      <c r="K3" s="22">
        <f>'Data Sheet'!J$16</f>
        <v>45016</v>
      </c>
      <c r="L3" s="22">
        <f>'Data Sheet'!K$16</f>
        <v>45382</v>
      </c>
      <c r="M3" s="22" t="s">
        <v>204</v>
      </c>
      <c r="N3" s="22" t="s">
        <v>205</v>
      </c>
      <c r="O3" s="22" t="s">
        <v>206</v>
      </c>
    </row>
    <row r="5" spans="1:15" x14ac:dyDescent="0.25">
      <c r="A5" t="s">
        <v>60</v>
      </c>
      <c r="B5" s="20" t="s">
        <v>173</v>
      </c>
    </row>
    <row r="6" spans="1:15" x14ac:dyDescent="0.25">
      <c r="B6" s="59" t="s">
        <v>174</v>
      </c>
      <c r="C6" s="59"/>
      <c r="D6" s="60">
        <f>IFERROR('Historical FS'!D8,0)</f>
        <v>4.8198124751198224E-2</v>
      </c>
      <c r="E6" s="60">
        <f>IFERROR('Historical FS'!E8,0)</f>
        <v>5.5390151974320734E-2</v>
      </c>
      <c r="F6" s="60">
        <f>IFERROR('Historical FS'!F8,0)</f>
        <v>0.11702039371955486</v>
      </c>
      <c r="G6" s="60">
        <f>IFERROR('Historical FS'!G8,0)</f>
        <v>0.14357471670861943</v>
      </c>
      <c r="H6" s="60">
        <f>IFERROR('Historical FS'!H8,0)</f>
        <v>5.0473671435691925E-2</v>
      </c>
      <c r="I6" s="60">
        <f>IFERROR('Historical FS'!I8,0)</f>
        <v>7.4292287711052118E-2</v>
      </c>
      <c r="J6" s="60">
        <f>IFERROR('Historical FS'!J8,0)</f>
        <v>0.34028284711453471</v>
      </c>
      <c r="K6" s="60">
        <f>IFERROR('Historical FS'!K8,0)</f>
        <v>0.18512278497715551</v>
      </c>
      <c r="L6" s="60">
        <f>IFERROR('Historical FS'!L8,0)</f>
        <v>2.9173126532572313E-2</v>
      </c>
      <c r="N6" s="15">
        <f>AVERAGE(D6:L6)</f>
        <v>0.11594756721385553</v>
      </c>
      <c r="O6" s="15">
        <f>MEDIAN(D6:L6)</f>
        <v>7.4292287711052118E-2</v>
      </c>
    </row>
    <row r="7" spans="1:15" x14ac:dyDescent="0.25">
      <c r="B7" t="s">
        <v>175</v>
      </c>
      <c r="D7" s="61">
        <f>IFERROR('Historical FS'!D19/'Historical FS'!C19-1,0)</f>
        <v>-2.0190085300001548E-2</v>
      </c>
      <c r="E7" s="61">
        <f>IFERROR('Historical FS'!E19/'Historical FS'!D19-1,0)</f>
        <v>2.1092716983126536E-2</v>
      </c>
      <c r="F7" s="61">
        <f>IFERROR('Historical FS'!F19/'Historical FS'!E19-1,0)</f>
        <v>2.4968351479866189</v>
      </c>
      <c r="G7" s="61">
        <f>IFERROR('Historical FS'!G19/'Historical FS'!F19-1,0)</f>
        <v>0.1753805407263016</v>
      </c>
      <c r="H7" s="61">
        <f>IFERROR('Historical FS'!H19/'Historical FS'!G19-1,0)</f>
        <v>0.19515557852020704</v>
      </c>
      <c r="I7" s="61">
        <f>IFERROR('Historical FS'!I19/'Historical FS'!H19-1,0)</f>
        <v>0.1455821938030939</v>
      </c>
      <c r="J7" s="61">
        <f>IFERROR('Historical FS'!J19/'Historical FS'!I19-1,0)</f>
        <v>2.5165545845659221E-2</v>
      </c>
      <c r="K7" s="61">
        <f>IFERROR('Historical FS'!K19/'Historical FS'!J19-1,0)</f>
        <v>0.2967139724856469</v>
      </c>
      <c r="L7" s="61">
        <f>IFERROR('Historical FS'!L19/'Historical FS'!K19-1,0)</f>
        <v>0.20105524819797793</v>
      </c>
      <c r="N7" s="15">
        <f t="shared" ref="N7:N10" si="0">AVERAGE(D7:L7)</f>
        <v>0.39297676213873672</v>
      </c>
      <c r="O7" s="15">
        <f t="shared" ref="O7:O10" si="1">MEDIAN(D7:L7)</f>
        <v>0.1753805407263016</v>
      </c>
    </row>
    <row r="8" spans="1:15" x14ac:dyDescent="0.25">
      <c r="B8" t="s">
        <v>176</v>
      </c>
      <c r="D8" s="61">
        <f>IFERROR('Historical FS'!D25/'Historical FS'!C25-1,0)</f>
        <v>3.6326714801443893E-2</v>
      </c>
      <c r="E8" s="61">
        <f>IFERROR('Historical FS'!E25/'Historical FS'!D25-1,0)</f>
        <v>0.21485594019885346</v>
      </c>
      <c r="F8" s="61">
        <f>IFERROR('Historical FS'!F25/'Historical FS'!E25-1,0)</f>
        <v>7.6704800023895681E-2</v>
      </c>
      <c r="G8" s="61">
        <f>IFERROR('Historical FS'!G25/'Historical FS'!F25-1,0)</f>
        <v>0.72591339085083351</v>
      </c>
      <c r="H8" s="61">
        <f>IFERROR('Historical FS'!H25/'Historical FS'!G25-1,0)</f>
        <v>0.25454077860288682</v>
      </c>
      <c r="I8" s="61">
        <f>IFERROR('Historical FS'!I25/'Historical FS'!H25-1,0)</f>
        <v>1.3798846893017247E-2</v>
      </c>
      <c r="J8" s="61">
        <f>IFERROR('Historical FS'!J25/'Historical FS'!I25-1,0)</f>
        <v>3.1708519215944087E-2</v>
      </c>
      <c r="K8" s="61">
        <f>IFERROR('Historical FS'!K25/'Historical FS'!J25-1,0)</f>
        <v>5.1031407712283761E-2</v>
      </c>
      <c r="L8" s="61">
        <f>IFERROR('Historical FS'!L25/'Historical FS'!K25-1,0)</f>
        <v>-5.8506794713409915E-3</v>
      </c>
      <c r="N8" s="15">
        <f t="shared" si="0"/>
        <v>0.15544774653642415</v>
      </c>
      <c r="O8" s="15">
        <f t="shared" si="1"/>
        <v>5.1031407712283761E-2</v>
      </c>
    </row>
    <row r="9" spans="1:15" x14ac:dyDescent="0.25">
      <c r="B9" t="s">
        <v>177</v>
      </c>
      <c r="D9" s="61">
        <f>IFERROR('Historical FS'!D34/'Historical FS'!C34-1,0)</f>
        <v>-32.377279102380754</v>
      </c>
      <c r="E9" s="61">
        <f>IFERROR('Historical FS'!E34/'Historical FS'!D34-1,0)</f>
        <v>0.5649919542285069</v>
      </c>
      <c r="F9" s="61">
        <f>IFERROR('Historical FS'!F34/'Historical FS'!E34-1,0)</f>
        <v>-6.5197075288472375</v>
      </c>
      <c r="G9" s="61">
        <f>IFERROR('Historical FS'!G34/'Historical FS'!F34-1,0)</f>
        <v>0.10567330380428142</v>
      </c>
      <c r="H9" s="61">
        <f>IFERROR('Historical FS'!H34/'Historical FS'!G34-1,0)</f>
        <v>0.40587238742406551</v>
      </c>
      <c r="I9" s="61">
        <f>IFERROR('Historical FS'!I34/'Historical FS'!H34-1,0)</f>
        <v>0.14896273019001294</v>
      </c>
      <c r="J9" s="61">
        <f>IFERROR('Historical FS'!J34/'Historical FS'!I34-1,0)</f>
        <v>2.9702769496424919E-2</v>
      </c>
      <c r="K9" s="61">
        <f>IFERROR('Historical FS'!K34/'Historical FS'!J34-1,0)</f>
        <v>0.32949170664453131</v>
      </c>
      <c r="L9" s="61">
        <f>IFERROR('Historical FS'!L34/'Historical FS'!K34-1,0)</f>
        <v>0.23270505472923397</v>
      </c>
      <c r="N9" s="15">
        <f t="shared" si="0"/>
        <v>-4.1199540805234367</v>
      </c>
      <c r="O9" s="15">
        <f t="shared" si="1"/>
        <v>0.14896273019001294</v>
      </c>
    </row>
    <row r="10" spans="1:15" x14ac:dyDescent="0.25">
      <c r="B10" s="62" t="s">
        <v>178</v>
      </c>
      <c r="C10" s="62"/>
      <c r="D10" s="63">
        <f>IFERROR('Historical FS'!D42/'Historical FS'!C42-1,0)</f>
        <v>0.22951239937789469</v>
      </c>
      <c r="E10" s="63">
        <f>IFERROR('Historical FS'!E42/'Historical FS'!D42-1,0)</f>
        <v>0.37333889352237981</v>
      </c>
      <c r="F10" s="63">
        <f>IFERROR('Historical FS'!F42/'Historical FS'!E42-1,0)</f>
        <v>-0.15534727423632066</v>
      </c>
      <c r="G10" s="63">
        <f>IFERROR('Historical FS'!G42/'Historical FS'!F42-1,0)</f>
        <v>0.20690233672858005</v>
      </c>
      <c r="H10" s="63">
        <f>IFERROR('Historical FS'!H42/'Historical FS'!G42-1,0)</f>
        <v>0.14285714285714279</v>
      </c>
      <c r="I10" s="63">
        <f>IFERROR('Historical FS'!I42/'Historical FS'!H42-1,0)</f>
        <v>0.48749826244092298</v>
      </c>
      <c r="J10" s="63">
        <f>IFERROR('Historical FS'!J42/'Historical FS'!I42-1,0)</f>
        <v>7.2831552941588606E-2</v>
      </c>
      <c r="K10" s="63">
        <f>IFERROR('Historical FS'!K42/'Historical FS'!J42-1,0)</f>
        <v>0.33942521789783719</v>
      </c>
      <c r="L10" s="63">
        <f>IFERROR('Historical FS'!L42/'Historical FS'!K42-1,0)</f>
        <v>0.2982461844859472</v>
      </c>
      <c r="N10" s="15">
        <f t="shared" si="0"/>
        <v>0.22169607955733028</v>
      </c>
      <c r="O10" s="15">
        <f t="shared" si="1"/>
        <v>0.22951239937789469</v>
      </c>
    </row>
    <row r="12" spans="1:15" x14ac:dyDescent="0.25">
      <c r="A12" t="s">
        <v>60</v>
      </c>
      <c r="B12" t="s">
        <v>179</v>
      </c>
    </row>
    <row r="13" spans="1:15" x14ac:dyDescent="0.25">
      <c r="B13" s="59" t="s">
        <v>180</v>
      </c>
      <c r="C13" s="59"/>
      <c r="D13" s="60">
        <f>-IFERROR('Historical FS'!D13/'Historical FS'!C13-1,0)</f>
        <v>-0.11407578021643339</v>
      </c>
      <c r="E13" s="60">
        <f>-IFERROR('Historical FS'!E13/'Historical FS'!D13-1,0)</f>
        <v>-8.8266300791267849E-2</v>
      </c>
      <c r="F13" s="60">
        <f>-IFERROR('Historical FS'!F13/'Historical FS'!E13-1,0)</f>
        <v>-6.0140802170438601E-2</v>
      </c>
      <c r="G13" s="60">
        <f>-IFERROR('Historical FS'!G13/'Historical FS'!F13-1,0)</f>
        <v>-0.12214262759042538</v>
      </c>
      <c r="H13" s="60">
        <f>-IFERROR('Historical FS'!H13/'Historical FS'!G13-1,0)</f>
        <v>-0.11185018892676601</v>
      </c>
      <c r="I13" s="60">
        <f>-IFERROR('Historical FS'!I13/'Historical FS'!H13-1,0)</f>
        <v>-9.5059647456823049E-2</v>
      </c>
      <c r="J13" s="60">
        <f>-IFERROR('Historical FS'!J13/'Historical FS'!I13-1,0)</f>
        <v>-0.11706789892610847</v>
      </c>
      <c r="K13" s="60">
        <f>-IFERROR('Historical FS'!K13/'Historical FS'!J13-1,0)</f>
        <v>-0.23803045417318391</v>
      </c>
      <c r="L13" s="60">
        <f>-IFERROR('Historical FS'!L13/'Historical FS'!K13-1,0)</f>
        <v>-0.1615701151407325</v>
      </c>
      <c r="N13" s="15">
        <f>AVERAGE(D13:L13)</f>
        <v>-0.12313375726579769</v>
      </c>
      <c r="O13" s="15">
        <f>AVERAGE(E13:M13)</f>
        <v>-0.12426600439696822</v>
      </c>
    </row>
    <row r="14" spans="1:15" x14ac:dyDescent="0.25">
      <c r="B14" t="s">
        <v>181</v>
      </c>
      <c r="D14" s="61">
        <f>IFERROR('Historical FS'!D19/'Historical FS'!C19-1,0)</f>
        <v>-2.0190085300001548E-2</v>
      </c>
      <c r="E14" s="61">
        <f>IFERROR('Historical FS'!E19/'Historical FS'!D19-1,0)</f>
        <v>2.1092716983126536E-2</v>
      </c>
      <c r="F14" s="61">
        <f>IFERROR('Historical FS'!F19/'Historical FS'!E19-1,0)</f>
        <v>2.4968351479866189</v>
      </c>
      <c r="G14" s="61">
        <f>IFERROR('Historical FS'!G19/'Historical FS'!F19-1,0)</f>
        <v>0.1753805407263016</v>
      </c>
      <c r="H14" s="61">
        <f>IFERROR('Historical FS'!H19/'Historical FS'!G19-1,0)</f>
        <v>0.19515557852020704</v>
      </c>
      <c r="I14" s="61">
        <f>IFERROR('Historical FS'!I19/'Historical FS'!H19-1,0)</f>
        <v>0.1455821938030939</v>
      </c>
      <c r="J14" s="61">
        <f>IFERROR('Historical FS'!J19/'Historical FS'!I19-1,0)</f>
        <v>2.5165545845659221E-2</v>
      </c>
      <c r="K14" s="61">
        <f>IFERROR('Historical FS'!K19/'Historical FS'!J19-1,0)</f>
        <v>0.2967139724856469</v>
      </c>
      <c r="L14" s="61">
        <f>IFERROR('Historical FS'!L19/'Historical FS'!K19-1,0)</f>
        <v>0.20105524819797793</v>
      </c>
      <c r="N14" s="15">
        <f t="shared" ref="N14:N42" si="2">AVERAGE(D14:L14)</f>
        <v>0.39297676213873672</v>
      </c>
      <c r="O14" s="15">
        <f t="shared" ref="O14:O42" si="3">AVERAGE(E14:M14)</f>
        <v>0.44462261806857895</v>
      </c>
    </row>
    <row r="15" spans="1:15" x14ac:dyDescent="0.25">
      <c r="B15" t="s">
        <v>182</v>
      </c>
      <c r="D15" s="61">
        <f>IFERROR('Historical FS'!D28/'Historical FS'!C28-1,0)</f>
        <v>-5.4669773249882425E-2</v>
      </c>
      <c r="E15" s="61">
        <f>IFERROR('Historical FS'!E28/'Historical FS'!D28-1,0)</f>
        <v>-4.4460911448686913E-2</v>
      </c>
      <c r="F15" s="61">
        <f>IFERROR('Historical FS'!F28/'Historical FS'!E28-1,0)</f>
        <v>4.0129305258189136</v>
      </c>
      <c r="G15" s="61">
        <f>IFERROR('Historical FS'!G28/'Historical FS'!F28-1,0)</f>
        <v>8.7882375097528165E-2</v>
      </c>
      <c r="H15" s="61">
        <f>IFERROR('Historical FS'!H28/'Historical FS'!G28-1,0)</f>
        <v>0.19291526010559878</v>
      </c>
      <c r="I15" s="61">
        <f>IFERROR('Historical FS'!I28/'Historical FS'!H28-1,0)</f>
        <v>0.17887008958534878</v>
      </c>
      <c r="J15" s="61">
        <f>IFERROR('Historical FS'!J28/'Historical FS'!I28-1,0)</f>
        <v>2.3703433403748697E-2</v>
      </c>
      <c r="K15" s="61">
        <f>IFERROR('Historical FS'!K28/'Historical FS'!J28-1,0)</f>
        <v>0.33533034425891484</v>
      </c>
      <c r="L15" s="61">
        <f>IFERROR('Historical FS'!L28/'Historical FS'!K28-1,0)</f>
        <v>0.22450945392678201</v>
      </c>
      <c r="N15" s="15">
        <f t="shared" si="2"/>
        <v>0.5507789774998072</v>
      </c>
      <c r="O15" s="15">
        <f t="shared" si="3"/>
        <v>0.62646007134351844</v>
      </c>
    </row>
    <row r="16" spans="1:15" x14ac:dyDescent="0.25">
      <c r="B16" s="62" t="s">
        <v>183</v>
      </c>
      <c r="C16" s="62"/>
      <c r="D16" s="63">
        <f>IFERROR('Historical FS'!D34/'Historical FS'!C34-1,0)</f>
        <v>-32.377279102380754</v>
      </c>
      <c r="E16" s="63">
        <f>IFERROR('Historical FS'!E34/'Historical FS'!D34-1,0)</f>
        <v>0.5649919542285069</v>
      </c>
      <c r="F16" s="63">
        <f>IFERROR('Historical FS'!F34/'Historical FS'!E34-1,0)</f>
        <v>-6.5197075288472375</v>
      </c>
      <c r="G16" s="63">
        <f>IFERROR('Historical FS'!G34/'Historical FS'!F34-1,0)</f>
        <v>0.10567330380428142</v>
      </c>
      <c r="H16" s="63">
        <f>IFERROR('Historical FS'!H34/'Historical FS'!G34-1,0)</f>
        <v>0.40587238742406551</v>
      </c>
      <c r="I16" s="63">
        <f>IFERROR('Historical FS'!I34/'Historical FS'!H34-1,0)</f>
        <v>0.14896273019001294</v>
      </c>
      <c r="J16" s="63">
        <f>IFERROR('Historical FS'!J34/'Historical FS'!I34-1,0)</f>
        <v>2.9702769496424919E-2</v>
      </c>
      <c r="K16" s="63">
        <f>IFERROR('Historical FS'!K34/'Historical FS'!J34-1,0)</f>
        <v>0.32949170664453131</v>
      </c>
      <c r="L16" s="63">
        <f>IFERROR('Historical FS'!L34/'Historical FS'!K34-1,0)</f>
        <v>0.23270505472923397</v>
      </c>
      <c r="N16" s="15">
        <f t="shared" si="2"/>
        <v>-4.1199540805234367</v>
      </c>
      <c r="O16" s="15">
        <f t="shared" si="3"/>
        <v>-0.58778845279127245</v>
      </c>
    </row>
    <row r="17" spans="1:15" x14ac:dyDescent="0.25">
      <c r="D17" s="31"/>
      <c r="E17" s="31"/>
      <c r="F17" s="31"/>
      <c r="G17" s="31"/>
      <c r="H17" s="31"/>
      <c r="I17" s="31"/>
      <c r="J17" s="31"/>
      <c r="K17" s="31"/>
      <c r="L17" s="31"/>
      <c r="N17" s="15"/>
      <c r="O17" s="15"/>
    </row>
    <row r="18" spans="1:15" x14ac:dyDescent="0.25">
      <c r="A18" t="s">
        <v>60</v>
      </c>
      <c r="B18" s="51" t="s">
        <v>184</v>
      </c>
      <c r="C18" s="59"/>
      <c r="D18" s="60">
        <f>IFERROR('Historical FS'!C11,0)</f>
        <v>0.61415720302072818</v>
      </c>
      <c r="E18" s="60">
        <f>IFERROR('Historical FS'!D11,0)</f>
        <v>0.58990757096841318</v>
      </c>
      <c r="F18" s="60">
        <f>IFERROR('Historical FS'!E11,0)</f>
        <v>0.5771329020932825</v>
      </c>
      <c r="G18" s="60">
        <f>IFERROR('Historical FS'!F11,0)</f>
        <v>0.59866564038859871</v>
      </c>
      <c r="H18" s="60">
        <f>IFERROR('Historical FS'!G11,0)</f>
        <v>0.60618717233199559</v>
      </c>
      <c r="I18" s="60">
        <f>IFERROR('Historical FS'!H11,0)</f>
        <v>0.58317768569484829</v>
      </c>
      <c r="J18" s="60">
        <f>IFERROR('Historical FS'!I11,0)</f>
        <v>0.57512000991120882</v>
      </c>
      <c r="K18" s="60">
        <f>IFERROR('Historical FS'!J11,0)</f>
        <v>0.64588086847039028</v>
      </c>
      <c r="L18" s="60">
        <f>IFERROR('Historical FS'!K11,0)</f>
        <v>0.63007185854800107</v>
      </c>
      <c r="N18" s="15">
        <f t="shared" si="2"/>
        <v>0.60225565682527415</v>
      </c>
      <c r="O18" s="15">
        <f t="shared" si="3"/>
        <v>0.60076796355084217</v>
      </c>
    </row>
    <row r="19" spans="1:15" x14ac:dyDescent="0.25">
      <c r="B19" s="64" t="s">
        <v>185</v>
      </c>
      <c r="D19" s="61">
        <f>IFERROR('Historical FS'!C26,0)</f>
        <v>1.953102621617215E-2</v>
      </c>
      <c r="E19" s="61">
        <f>IFERROR('Historical FS'!D26,0)</f>
        <v>1.9309826794539322E-2</v>
      </c>
      <c r="F19" s="61">
        <f>IFERROR('Historical FS'!E26,0)</f>
        <v>2.2227474590011016E-2</v>
      </c>
      <c r="G19" s="61">
        <f>IFERROR('Historical FS'!F26,0)</f>
        <v>2.1425238713665449E-2</v>
      </c>
      <c r="H19" s="61">
        <f>IFERROR('Historical FS'!G26,0)</f>
        <v>3.2335540352378074E-2</v>
      </c>
      <c r="I19" s="61">
        <f>IFERROR('Historical FS'!H26,0)</f>
        <v>3.8617106809326486E-2</v>
      </c>
      <c r="J19" s="61">
        <f>IFERROR('Historical FS'!I26,0)</f>
        <v>3.6442576011650275E-2</v>
      </c>
      <c r="K19" s="61">
        <f>IFERROR('Historical FS'!J26,0)</f>
        <v>2.8052374328551871E-2</v>
      </c>
      <c r="L19" s="61">
        <f>IFERROR('Historical FS'!K26,0)</f>
        <v>2.4878372818372688E-2</v>
      </c>
      <c r="N19" s="15">
        <f t="shared" si="2"/>
        <v>2.6979948514963034E-2</v>
      </c>
      <c r="O19" s="15">
        <f t="shared" si="3"/>
        <v>2.7911063802311894E-2</v>
      </c>
    </row>
    <row r="20" spans="1:15" x14ac:dyDescent="0.25">
      <c r="B20" s="54" t="s">
        <v>186</v>
      </c>
      <c r="C20" s="62"/>
      <c r="D20" s="63">
        <f>IFERROR('Historical FS'!C14,0)</f>
        <v>0.38584279697927182</v>
      </c>
      <c r="E20" s="63">
        <f>IFERROR('Historical FS'!D14,0)</f>
        <v>0.41009242903158682</v>
      </c>
      <c r="F20" s="63">
        <f>IFERROR('Historical FS'!E14,0)</f>
        <v>0.4228670979067175</v>
      </c>
      <c r="G20" s="63">
        <f>IFERROR('Historical FS'!F14,0)</f>
        <v>0.40133435961140129</v>
      </c>
      <c r="H20" s="63">
        <f>IFERROR('Historical FS'!G14,0)</f>
        <v>0.39381282766800441</v>
      </c>
      <c r="I20" s="63">
        <f>IFERROR('Historical FS'!H14,0)</f>
        <v>0.41682231430515171</v>
      </c>
      <c r="J20" s="63">
        <f>IFERROR('Historical FS'!I14,0)</f>
        <v>0.42487999008879118</v>
      </c>
      <c r="K20" s="63">
        <f>IFERROR('Historical FS'!J14,0)</f>
        <v>0.35411913152960972</v>
      </c>
      <c r="L20" s="63">
        <f>IFERROR('Historical FS'!K14,0)</f>
        <v>0.36992814145199893</v>
      </c>
      <c r="N20" s="15">
        <f t="shared" si="2"/>
        <v>0.3977443431747259</v>
      </c>
      <c r="O20" s="15">
        <f t="shared" si="3"/>
        <v>0.39923203644915772</v>
      </c>
    </row>
    <row r="21" spans="1:15" x14ac:dyDescent="0.25">
      <c r="D21" s="31"/>
      <c r="E21" s="31"/>
      <c r="F21" s="31"/>
      <c r="G21" s="31"/>
      <c r="H21" s="31"/>
      <c r="I21" s="31"/>
      <c r="J21" s="31"/>
      <c r="K21" s="31"/>
      <c r="L21" s="31"/>
      <c r="N21" s="15"/>
      <c r="O21" s="15"/>
    </row>
    <row r="22" spans="1:15" x14ac:dyDescent="0.25">
      <c r="A22" t="s">
        <v>60</v>
      </c>
      <c r="B22" s="50" t="s">
        <v>187</v>
      </c>
      <c r="C22" s="59"/>
      <c r="D22" s="60">
        <f>IFERROR(('Historical FS'!C19-'Historical FS'!C25)/(SUM('Historical FS'!C53:C55)),0)</f>
        <v>0.13543376358629847</v>
      </c>
      <c r="E22" s="60">
        <f>IFERROR(('Historical FS'!D19-'Historical FS'!D25)/(SUM('Historical FS'!D53:D55)),0)</f>
        <v>9.780362757023478E-2</v>
      </c>
      <c r="F22" s="60">
        <f>IFERROR(('Historical FS'!E19-'Historical FS'!E25)/(SUM('Historical FS'!E53:E55)),0)</f>
        <v>7.722712368465845E-2</v>
      </c>
      <c r="G22" s="60">
        <f>IFERROR(('Historical FS'!F19-'Historical FS'!F25)/(SUM('Historical FS'!F53:F55)),0)</f>
        <v>0.33710919243352272</v>
      </c>
      <c r="H22" s="60">
        <f>IFERROR(('Historical FS'!G19-'Historical FS'!G25)/(SUM('Historical FS'!G53:G55)),0)</f>
        <v>0.31003368813223192</v>
      </c>
      <c r="I22" s="60">
        <f>IFERROR(('Historical FS'!H19-'Historical FS'!H25)/(SUM('Historical FS'!H53:H55)),0)</f>
        <v>0.35215038946861205</v>
      </c>
      <c r="J22" s="60">
        <f>IFERROR(('Historical FS'!I19-'Historical FS'!I25)/(SUM('Historical FS'!I53:I55)),0)</f>
        <v>0.333881797860485</v>
      </c>
      <c r="K22" s="60">
        <f>IFERROR(('Historical FS'!J19-'Historical FS'!J25)/(SUM('Historical FS'!J53:J55)),0)</f>
        <v>0.30862671803117719</v>
      </c>
      <c r="L22" s="60">
        <f>IFERROR(('Historical FS'!K19-'Historical FS'!K25)/(SUM('Historical FS'!K53:K55)),0)</f>
        <v>0.35498372371316889</v>
      </c>
      <c r="N22" s="15">
        <f t="shared" si="2"/>
        <v>0.2563611138311544</v>
      </c>
      <c r="O22" s="15">
        <f t="shared" si="3"/>
        <v>0.27147703261176137</v>
      </c>
    </row>
    <row r="23" spans="1:15" x14ac:dyDescent="0.25">
      <c r="B23" s="52" t="s">
        <v>188</v>
      </c>
      <c r="D23" s="61">
        <f>IFERROR('Historical FS'!C45,0)</f>
        <v>0</v>
      </c>
      <c r="E23" s="61">
        <f>IFERROR('Historical FS'!D45,0)</f>
        <v>0</v>
      </c>
      <c r="F23" s="61">
        <f>IFERROR('Historical FS'!E45,0)</f>
        <v>0</v>
      </c>
      <c r="G23" s="61">
        <f>IFERROR('Historical FS'!F45,0)</f>
        <v>0.56818934470339855</v>
      </c>
      <c r="H23" s="61">
        <f>IFERROR('Historical FS'!G45,0)</f>
        <v>0.52865526633532745</v>
      </c>
      <c r="I23" s="61">
        <f>IFERROR('Historical FS'!H45,0)</f>
        <v>0.61683599419448454</v>
      </c>
      <c r="J23" s="61">
        <f>IFERROR('Historical FS'!I45,0)</f>
        <v>0.50393883292337072</v>
      </c>
      <c r="K23" s="61">
        <f>IFERROR('Historical FS'!J45,0)</f>
        <v>0.48316146368227786</v>
      </c>
      <c r="L23" s="61">
        <f>IFERROR('Historical FS'!K45,0)</f>
        <v>0.4792998213786851</v>
      </c>
      <c r="N23" s="15">
        <f t="shared" si="2"/>
        <v>0.35334230257972715</v>
      </c>
      <c r="O23" s="15">
        <f t="shared" si="3"/>
        <v>0.39751009040219304</v>
      </c>
    </row>
    <row r="24" spans="1:15" x14ac:dyDescent="0.25">
      <c r="B24" s="52" t="s">
        <v>189</v>
      </c>
      <c r="D24" s="61">
        <f>IFERROR(('Historical FS'!C34)/SUM('Historical FS'!C53:C54),0)</f>
        <v>1.5034708457394191E-3</v>
      </c>
      <c r="E24" s="61">
        <f>IFERROR(('Historical FS'!D34)/SUM('Historical FS'!D53:D54),0)</f>
        <v>-3.4287535901373463E-2</v>
      </c>
      <c r="F24" s="61">
        <f>IFERROR(('Historical FS'!E34)/SUM('Historical FS'!E53:E54),0)</f>
        <v>-4.6044853357952428E-2</v>
      </c>
      <c r="G24" s="61">
        <f>IFERROR(('Historical FS'!F34)/SUM('Historical FS'!F53:F54),0)</f>
        <v>0.2297868191476333</v>
      </c>
      <c r="H24" s="61">
        <f>IFERROR(('Historical FS'!G34)/SUM('Historical FS'!G53:G54),0)</f>
        <v>0.22562364382216474</v>
      </c>
      <c r="I24" s="61">
        <f>IFERROR(('Historical FS'!H34)/SUM('Historical FS'!H53:H54),0)</f>
        <v>0.29654418094087337</v>
      </c>
      <c r="J24" s="61">
        <f>IFERROR(('Historical FS'!I34)/SUM('Historical FS'!I53:I54),0)</f>
        <v>0.2695183382540926</v>
      </c>
      <c r="K24" s="61">
        <f>IFERROR(('Historical FS'!J34)/SUM('Historical FS'!J53:J54),0)</f>
        <v>0.25732429935503298</v>
      </c>
      <c r="L24" s="61">
        <f>IFERROR(('Historical FS'!K34)/SUM('Historical FS'!K53:K54),0)</f>
        <v>0.29546098323998565</v>
      </c>
      <c r="N24" s="15">
        <f t="shared" si="2"/>
        <v>0.16615881626068849</v>
      </c>
      <c r="O24" s="15">
        <f t="shared" si="3"/>
        <v>0.18674073443755712</v>
      </c>
    </row>
    <row r="25" spans="1:15" x14ac:dyDescent="0.25">
      <c r="B25" s="52" t="s">
        <v>190</v>
      </c>
      <c r="D25" s="61">
        <f>D23*D24</f>
        <v>0</v>
      </c>
      <c r="E25" s="61">
        <f t="shared" ref="E25:L25" si="4">E23*E24</f>
        <v>0</v>
      </c>
      <c r="F25" s="61">
        <f t="shared" si="4"/>
        <v>0</v>
      </c>
      <c r="G25" s="61">
        <f t="shared" si="4"/>
        <v>0.13056242219297212</v>
      </c>
      <c r="H25" s="61">
        <f t="shared" si="4"/>
        <v>0.11927712751635355</v>
      </c>
      <c r="I25" s="61">
        <f t="shared" si="4"/>
        <v>0.18291912467325275</v>
      </c>
      <c r="J25" s="61">
        <f t="shared" si="4"/>
        <v>0.1358207568312137</v>
      </c>
      <c r="K25" s="61">
        <f t="shared" si="4"/>
        <v>0.12432918511739437</v>
      </c>
      <c r="L25" s="61">
        <f t="shared" si="4"/>
        <v>0.14161439649129579</v>
      </c>
      <c r="N25" s="15">
        <f t="shared" si="2"/>
        <v>9.2724779202498039E-2</v>
      </c>
      <c r="O25" s="15">
        <f t="shared" si="3"/>
        <v>0.10431537660281029</v>
      </c>
    </row>
    <row r="26" spans="1:15" x14ac:dyDescent="0.25">
      <c r="B26" s="53" t="s">
        <v>191</v>
      </c>
      <c r="C26" s="62"/>
      <c r="D26" s="65">
        <f>IFERROR(('Historical FS'!C19/'Historical FS'!C22),0)</f>
        <v>22.841619318181838</v>
      </c>
      <c r="E26" s="65">
        <f>IFERROR(('Historical FS'!D19/'Historical FS'!D22),0)</f>
        <v>19.292857142857152</v>
      </c>
      <c r="F26" s="65">
        <f>IFERROR(('Historical FS'!E19/'Historical FS'!E22),0)</f>
        <v>25.858290918832015</v>
      </c>
      <c r="G26" s="65">
        <f>IFERROR(('Historical FS'!F19/'Historical FS'!F22),0)</f>
        <v>81.395225464190986</v>
      </c>
      <c r="H26" s="65">
        <f>IFERROR(('Historical FS'!G19/'Historical FS'!G22),0)</f>
        <v>35.91427536887845</v>
      </c>
      <c r="I26" s="65">
        <f>IFERROR(('Historical FS'!H19/'Historical FS'!H22),0)</f>
        <v>46.337535424606642</v>
      </c>
      <c r="J26" s="65">
        <f>IFERROR(('Historical FS'!I19/'Historical FS'!I22),0)</f>
        <v>59.282221979701013</v>
      </c>
      <c r="K26" s="65">
        <f>IFERROR(('Historical FS'!J19/'Historical FS'!J22),0)</f>
        <v>58.366313803584525</v>
      </c>
      <c r="L26" s="65">
        <f>IFERROR(('Historical FS'!K19/'Historical FS'!K22),0)</f>
        <v>49.98996192454134</v>
      </c>
      <c r="N26" s="15">
        <f t="shared" si="2"/>
        <v>44.36425570504155</v>
      </c>
      <c r="O26" s="15">
        <f t="shared" si="3"/>
        <v>47.054585253399019</v>
      </c>
    </row>
    <row r="27" spans="1:15" x14ac:dyDescent="0.25">
      <c r="B27" s="49"/>
      <c r="N27" s="15"/>
      <c r="O27" s="15"/>
    </row>
    <row r="28" spans="1:15" x14ac:dyDescent="0.25">
      <c r="B28" s="50" t="s">
        <v>192</v>
      </c>
      <c r="C28" s="59"/>
      <c r="D28" s="66">
        <f>IFERROR('Historical FS'!C7/'Historical FS'!C65,0)</f>
        <v>11.518150363345658</v>
      </c>
      <c r="E28" s="66">
        <f>IFERROR('Historical FS'!D7/'Historical FS'!D65,0)</f>
        <v>12.024780088301709</v>
      </c>
      <c r="F28" s="66">
        <f>IFERROR('Historical FS'!E7/'Historical FS'!E65,0)</f>
        <v>10.41199364025992</v>
      </c>
      <c r="G28" s="66">
        <f>IFERROR('Historical FS'!F7/'Historical FS'!F65,0)</f>
        <v>9.7216331624899599</v>
      </c>
      <c r="H28" s="66">
        <f>IFERROR('Historical FS'!G7/'Historical FS'!G65,0)</f>
        <v>10.08746782150965</v>
      </c>
      <c r="I28" s="66">
        <f>IFERROR('Historical FS'!H7/'Historical FS'!H65,0)</f>
        <v>11.258369447755706</v>
      </c>
      <c r="J28" s="66">
        <f>IFERROR('Historical FS'!I7/'Historical FS'!I65,0)</f>
        <v>8.3441089552181449</v>
      </c>
      <c r="K28" s="66">
        <f>IFERROR('Historical FS'!J7/'Historical FS'!J65,0)</f>
        <v>7.5169136032070751</v>
      </c>
      <c r="L28" s="66">
        <f>IFERROR('Historical FS'!K7/'Historical FS'!K65,0)</f>
        <v>7.4377908707035241</v>
      </c>
      <c r="N28" s="67">
        <f t="shared" si="2"/>
        <v>9.8134675503101487</v>
      </c>
      <c r="O28" s="67">
        <f t="shared" si="3"/>
        <v>9.6003821986807107</v>
      </c>
    </row>
    <row r="29" spans="1:15" x14ac:dyDescent="0.25">
      <c r="B29" s="52" t="s">
        <v>193</v>
      </c>
      <c r="D29" s="67">
        <f>IFERROR('Historical FS'!C7/'Historical FS'!C56,0)</f>
        <v>3.6268963257564661</v>
      </c>
      <c r="E29" s="67">
        <f>IFERROR('Historical FS'!D7/'Historical FS'!D56,0)</f>
        <v>3.8458091254998759</v>
      </c>
      <c r="F29" s="67">
        <f>IFERROR('Historical FS'!E7/'Historical FS'!E56,0)</f>
        <v>3.5515520070927336</v>
      </c>
      <c r="G29" s="67">
        <f>IFERROR('Historical FS'!F7/'Historical FS'!F56,0)</f>
        <v>3.4907008975438916</v>
      </c>
      <c r="H29" s="67">
        <f>IFERROR('Historical FS'!G7/'Historical FS'!G56,0)</f>
        <v>3.5246789980746303</v>
      </c>
      <c r="I29" s="67">
        <f>IFERROR('Historical FS'!H7/'Historical FS'!H56,0)</f>
        <v>4.1337632508472559</v>
      </c>
      <c r="J29" s="67">
        <f>IFERROR('Historical FS'!I7/'Historical FS'!I56,0)</f>
        <v>3.3632319433451108</v>
      </c>
      <c r="K29" s="67">
        <f>IFERROR('Historical FS'!J7/'Historical FS'!J56,0)</f>
        <v>3.8493807531491444</v>
      </c>
      <c r="L29" s="67">
        <f>IFERROR('Historical FS'!K7/'Historical FS'!K56,0)</f>
        <v>4.3909450402827428</v>
      </c>
      <c r="N29" s="67">
        <f t="shared" si="2"/>
        <v>3.7529953712879833</v>
      </c>
      <c r="O29" s="67">
        <f t="shared" si="3"/>
        <v>3.7687577519794235</v>
      </c>
    </row>
    <row r="30" spans="1:15" x14ac:dyDescent="0.25">
      <c r="B30" s="52" t="s">
        <v>194</v>
      </c>
      <c r="D30" s="67">
        <f>IFERROR('Historical FS'!C7/'Historical FS'!C66,0)</f>
        <v>6.0283991286329099</v>
      </c>
      <c r="E30" s="67">
        <f>IFERROR('Historical FS'!D7/'Historical FS'!D66,0)</f>
        <v>7.142029986388021</v>
      </c>
      <c r="F30" s="67">
        <f>IFERROR('Historical FS'!E7/'Historical FS'!E66,0)</f>
        <v>5.7336635020213631</v>
      </c>
      <c r="G30" s="67">
        <f>IFERROR('Historical FS'!F7/'Historical FS'!F66,0)</f>
        <v>6.3290398787199385</v>
      </c>
      <c r="H30" s="67">
        <f>IFERROR('Historical FS'!G7/'Historical FS'!G66,0)</f>
        <v>6.1082492555224679</v>
      </c>
      <c r="I30" s="67">
        <f>IFERROR('Historical FS'!H7/'Historical FS'!H66,0)</f>
        <v>5.9623548222466747</v>
      </c>
      <c r="J30" s="67">
        <f>IFERROR('Historical FS'!I7/'Historical FS'!I66,0)</f>
        <v>5.7159979992628864</v>
      </c>
      <c r="K30" s="67">
        <f>IFERROR('Historical FS'!J7/'Historical FS'!J66,0)</f>
        <v>4.7296236945350056</v>
      </c>
      <c r="L30" s="67">
        <f>IFERROR('Historical FS'!K7/'Historical FS'!K66,0)</f>
        <v>5.5531458915667296</v>
      </c>
      <c r="N30" s="67">
        <f t="shared" si="2"/>
        <v>5.9225004620995554</v>
      </c>
      <c r="O30" s="67">
        <f t="shared" si="3"/>
        <v>5.9092631287828858</v>
      </c>
    </row>
    <row r="31" spans="1:15" x14ac:dyDescent="0.25">
      <c r="B31" s="52" t="s">
        <v>195</v>
      </c>
      <c r="D31" s="67">
        <f>IFERROR('Historical FS'!C7/SUM('Historical FS'!C59:C60),0)</f>
        <v>4.7671811319169199</v>
      </c>
      <c r="E31" s="67">
        <f>IFERROR('Historical FS'!D7/SUM('Historical FS'!D59:D60),0)</f>
        <v>4.0510170482608272</v>
      </c>
      <c r="F31" s="67">
        <f>IFERROR('Historical FS'!E7/SUM('Historical FS'!E59:E60),0)</f>
        <v>4.2293753931170821</v>
      </c>
      <c r="G31" s="67">
        <f>IFERROR('Historical FS'!F7/SUM('Historical FS'!F59:F60),0)</f>
        <v>3.2749472004048781</v>
      </c>
      <c r="H31" s="67">
        <f>IFERROR('Historical FS'!G7/SUM('Historical FS'!G59:G60),0)</f>
        <v>2.8689934583215906</v>
      </c>
      <c r="I31" s="67">
        <f>IFERROR('Historical FS'!H7/SUM('Historical FS'!H59:H60),0)</f>
        <v>3.1518272762005752</v>
      </c>
      <c r="J31" s="67">
        <f>IFERROR('Historical FS'!I7/SUM('Historical FS'!I59:I60),0)</f>
        <v>3.5939402466274935</v>
      </c>
      <c r="K31" s="67">
        <f>IFERROR('Historical FS'!J7/SUM('Historical FS'!J59:J60),0)</f>
        <v>4.8946815148961642</v>
      </c>
      <c r="L31" s="67">
        <f>IFERROR('Historical FS'!K7/SUM('Historical FS'!K59:K60),0)</f>
        <v>5.079283657705024</v>
      </c>
      <c r="N31" s="67">
        <f t="shared" si="2"/>
        <v>3.9901385474945061</v>
      </c>
      <c r="O31" s="67">
        <f t="shared" si="3"/>
        <v>3.8930082244417039</v>
      </c>
    </row>
    <row r="32" spans="1:15" x14ac:dyDescent="0.25">
      <c r="B32" s="53" t="s">
        <v>196</v>
      </c>
      <c r="C32" s="62"/>
      <c r="D32" s="65">
        <f>IFERROR('Historical FS'!C7/SUM('Historical FS'!C53:C55),0)</f>
        <v>2.6383452862399794</v>
      </c>
      <c r="E32" s="65">
        <f>IFERROR('Historical FS'!D7/SUM('Historical FS'!D53:D55),0)</f>
        <v>2.0840041996988949</v>
      </c>
      <c r="F32" s="65">
        <f>IFERROR('Historical FS'!E7/SUM('Historical FS'!E53:E55),0)</f>
        <v>1.8448757568074392</v>
      </c>
      <c r="G32" s="65">
        <f>IFERROR('Historical FS'!F7/SUM('Historical FS'!F53:F55),0)</f>
        <v>1.8811705722265828</v>
      </c>
      <c r="H32" s="65">
        <f>IFERROR('Historical FS'!G7/SUM('Historical FS'!G53:G55),0)</f>
        <v>1.7831197898082976</v>
      </c>
      <c r="I32" s="65">
        <f>IFERROR('Historical FS'!H7/SUM('Historical FS'!H53:H55),0)</f>
        <v>1.7967695707755413</v>
      </c>
      <c r="J32" s="65">
        <f>IFERROR('Historical FS'!I7/SUM('Historical FS'!I53:I55),0)</f>
        <v>1.5621375295785938</v>
      </c>
      <c r="K32" s="65">
        <f>IFERROR('Historical FS'!J7/SUM('Historical FS'!J53:J55),0)</f>
        <v>1.8898849493844831</v>
      </c>
      <c r="L32" s="65">
        <f>IFERROR('Historical FS'!K7/SUM('Historical FS'!K53:K55),0)</f>
        <v>1.9240657522936035</v>
      </c>
      <c r="N32" s="67">
        <f t="shared" si="2"/>
        <v>1.9338192674237129</v>
      </c>
      <c r="O32" s="67">
        <f t="shared" si="3"/>
        <v>1.8457535150716795</v>
      </c>
    </row>
    <row r="33" spans="2:15" x14ac:dyDescent="0.25">
      <c r="B33" s="49"/>
      <c r="N33" s="67"/>
      <c r="O33" s="67"/>
    </row>
    <row r="34" spans="2:15" x14ac:dyDescent="0.25">
      <c r="B34" s="49"/>
      <c r="N34" s="67"/>
      <c r="O34" s="67"/>
    </row>
    <row r="35" spans="2:15" x14ac:dyDescent="0.25">
      <c r="B35" s="50" t="s">
        <v>197</v>
      </c>
      <c r="D35" s="58">
        <f>IFERROR(365/D28,0)</f>
        <v>31.689115742189273</v>
      </c>
      <c r="E35" s="58">
        <f t="shared" ref="E35:L35" si="5">IFERROR(365/E28,0)</f>
        <v>30.353985463325834</v>
      </c>
      <c r="F35" s="58">
        <f t="shared" si="5"/>
        <v>35.055726368162503</v>
      </c>
      <c r="G35" s="58">
        <f t="shared" si="5"/>
        <v>37.545131964896534</v>
      </c>
      <c r="H35" s="58">
        <f t="shared" si="5"/>
        <v>36.183510714324697</v>
      </c>
      <c r="I35" s="58">
        <f t="shared" si="5"/>
        <v>32.420325313872226</v>
      </c>
      <c r="J35" s="58">
        <f t="shared" si="5"/>
        <v>43.743436472235949</v>
      </c>
      <c r="K35" s="58">
        <f t="shared" si="5"/>
        <v>48.557163121347244</v>
      </c>
      <c r="L35" s="58">
        <f t="shared" si="5"/>
        <v>49.073711044725229</v>
      </c>
      <c r="N35" s="67">
        <f t="shared" si="2"/>
        <v>38.291345133897721</v>
      </c>
      <c r="O35" s="67">
        <f t="shared" si="3"/>
        <v>39.116623807861274</v>
      </c>
    </row>
    <row r="36" spans="2:15" x14ac:dyDescent="0.25">
      <c r="B36" s="52" t="s">
        <v>198</v>
      </c>
      <c r="D36" s="58">
        <f>IFERROR(365/D29,0)</f>
        <v>100.63700950257284</v>
      </c>
      <c r="E36" s="58">
        <f t="shared" ref="E36:L36" si="6">IFERROR(365/E29,0)</f>
        <v>94.908506399822301</v>
      </c>
      <c r="F36" s="58">
        <f t="shared" si="6"/>
        <v>102.77197103437196</v>
      </c>
      <c r="G36" s="58">
        <f t="shared" si="6"/>
        <v>104.56352770207822</v>
      </c>
      <c r="H36" s="58">
        <f t="shared" si="6"/>
        <v>103.55552951045547</v>
      </c>
      <c r="I36" s="58">
        <f t="shared" si="6"/>
        <v>88.297267610860303</v>
      </c>
      <c r="J36" s="58">
        <f t="shared" si="6"/>
        <v>108.52656199410578</v>
      </c>
      <c r="K36" s="58">
        <f t="shared" si="6"/>
        <v>94.820446042235943</v>
      </c>
      <c r="L36" s="58">
        <f t="shared" si="6"/>
        <v>83.125613427513272</v>
      </c>
      <c r="N36" s="67">
        <f t="shared" si="2"/>
        <v>97.911825913779566</v>
      </c>
      <c r="O36" s="67">
        <f t="shared" si="3"/>
        <v>97.571177965180411</v>
      </c>
    </row>
    <row r="37" spans="2:15" x14ac:dyDescent="0.25">
      <c r="B37" s="52" t="s">
        <v>199</v>
      </c>
      <c r="D37" s="58">
        <f>IFERROR(365/D30,0)</f>
        <v>60.546754156732959</v>
      </c>
      <c r="E37" s="58">
        <f t="shared" ref="E37:L37" si="7">IFERROR(365/E30,0)</f>
        <v>51.105918162714616</v>
      </c>
      <c r="F37" s="58">
        <f t="shared" si="7"/>
        <v>63.659124723891068</v>
      </c>
      <c r="G37" s="58">
        <f t="shared" si="7"/>
        <v>57.670674698580349</v>
      </c>
      <c r="H37" s="58">
        <f t="shared" si="7"/>
        <v>59.755256331428114</v>
      </c>
      <c r="I37" s="58">
        <f t="shared" si="7"/>
        <v>61.217423464654587</v>
      </c>
      <c r="J37" s="58">
        <f t="shared" si="7"/>
        <v>63.855865598110604</v>
      </c>
      <c r="K37" s="58">
        <f t="shared" si="7"/>
        <v>77.173158706421162</v>
      </c>
      <c r="L37" s="58">
        <f t="shared" si="7"/>
        <v>65.728509051834251</v>
      </c>
      <c r="N37" s="67">
        <f t="shared" si="2"/>
        <v>62.301409432707523</v>
      </c>
      <c r="O37" s="67">
        <f t="shared" si="3"/>
        <v>62.520741342204339</v>
      </c>
    </row>
    <row r="38" spans="2:15" x14ac:dyDescent="0.25">
      <c r="B38" s="53" t="s">
        <v>200</v>
      </c>
      <c r="D38" s="58">
        <f>IFERROR(365/D30,0)</f>
        <v>60.546754156732959</v>
      </c>
      <c r="E38" s="58">
        <f t="shared" ref="E38:L38" si="8">IFERROR(365/E30,0)</f>
        <v>51.105918162714616</v>
      </c>
      <c r="F38" s="58">
        <f t="shared" si="8"/>
        <v>63.659124723891068</v>
      </c>
      <c r="G38" s="58">
        <f t="shared" si="8"/>
        <v>57.670674698580349</v>
      </c>
      <c r="H38" s="58">
        <f t="shared" si="8"/>
        <v>59.755256331428114</v>
      </c>
      <c r="I38" s="58">
        <f t="shared" si="8"/>
        <v>61.217423464654587</v>
      </c>
      <c r="J38" s="58">
        <f t="shared" si="8"/>
        <v>63.855865598110604</v>
      </c>
      <c r="K38" s="58">
        <f t="shared" si="8"/>
        <v>77.173158706421162</v>
      </c>
      <c r="L38" s="58">
        <f t="shared" si="8"/>
        <v>65.728509051834251</v>
      </c>
      <c r="N38" s="67">
        <f t="shared" si="2"/>
        <v>62.301409432707523</v>
      </c>
      <c r="O38" s="67">
        <f t="shared" si="3"/>
        <v>62.520741342204339</v>
      </c>
    </row>
    <row r="39" spans="2:15" x14ac:dyDescent="0.25">
      <c r="B39" s="49"/>
      <c r="N39" s="15"/>
      <c r="O39" s="15"/>
    </row>
    <row r="40" spans="2:15" x14ac:dyDescent="0.25">
      <c r="B40" s="50" t="s">
        <v>201</v>
      </c>
      <c r="D40" s="31">
        <f>IFERROR('Historical FS'!C88/'Historical FS'!C7,0)</f>
        <v>2.9605016723881881</v>
      </c>
      <c r="E40" s="31">
        <f>IFERROR('Historical FS'!D88/'Historical FS'!D7,0)</f>
        <v>2.2324228234052645</v>
      </c>
      <c r="F40" s="31">
        <f>IFERROR('Historical FS'!E88/'Historical FS'!E7,0)</f>
        <v>2.6033744545043516</v>
      </c>
      <c r="G40" s="31">
        <f>IFERROR('Historical FS'!F88/'Historical FS'!F7,0)</f>
        <v>1.9884038503258632</v>
      </c>
      <c r="H40" s="31">
        <f>IFERROR('Historical FS'!G88/'Historical FS'!G7,0)</f>
        <v>0.90555521194503363</v>
      </c>
      <c r="I40" s="31">
        <f>IFERROR('Historical FS'!H88/'Historical FS'!H7,0)</f>
        <v>0.57745067722184429</v>
      </c>
      <c r="J40" s="31">
        <f>IFERROR('Historical FS'!I88/'Historical FS'!I7,0)</f>
        <v>1.4598768744136519</v>
      </c>
      <c r="K40" s="31">
        <f>IFERROR('Historical FS'!J88/'Historical FS'!J7,0)</f>
        <v>0.99332400499222029</v>
      </c>
      <c r="L40" s="31">
        <f>IFERROR('Historical FS'!K88/'Historical FS'!K7,0)</f>
        <v>0.10241068132968034</v>
      </c>
      <c r="N40" s="15">
        <f t="shared" si="2"/>
        <v>1.5359244722806773</v>
      </c>
      <c r="O40" s="15">
        <f t="shared" si="3"/>
        <v>1.3578523222672385</v>
      </c>
    </row>
    <row r="41" spans="2:15" x14ac:dyDescent="0.25">
      <c r="B41" s="52" t="s">
        <v>202</v>
      </c>
      <c r="D41" s="31">
        <f>IFERROR('Historical FS'!C88/'Historical FS'!C70,0)</f>
        <v>4.5216220763923944</v>
      </c>
      <c r="E41" s="31">
        <f>IFERROR('Historical FS'!D88/'Historical FS'!D70,0)</f>
        <v>3.0173226139143465</v>
      </c>
      <c r="F41" s="31">
        <f>IFERROR('Historical FS'!E88/'Historical FS'!E70,0)</f>
        <v>3.1609350602449462</v>
      </c>
      <c r="G41" s="31">
        <f>IFERROR('Historical FS'!F88/'Historical FS'!F70,0)</f>
        <v>2.4306352753809359</v>
      </c>
      <c r="H41" s="31">
        <f>IFERROR('Historical FS'!G88/'Historical FS'!G70,0)</f>
        <v>1.072261158334995</v>
      </c>
      <c r="I41" s="31">
        <f>IFERROR('Historical FS'!H88/'Historical FS'!H70,0)</f>
        <v>0.72320124526195051</v>
      </c>
      <c r="J41" s="31">
        <f>IFERROR('Historical FS'!I88/'Historical FS'!I70,0)</f>
        <v>1.5572326475509621</v>
      </c>
      <c r="K41" s="31">
        <f>IFERROR('Historical FS'!J88/'Historical FS'!J70,0)</f>
        <v>1.2591017765587629</v>
      </c>
      <c r="L41" s="31">
        <f>IFERROR('Historical FS'!K88/'Historical FS'!K70,0)</f>
        <v>0.13700899131203176</v>
      </c>
      <c r="N41" s="15">
        <f t="shared" si="2"/>
        <v>1.9865912049945917</v>
      </c>
      <c r="O41" s="15">
        <f t="shared" si="3"/>
        <v>1.6697123460698662</v>
      </c>
    </row>
    <row r="42" spans="2:15" x14ac:dyDescent="0.25">
      <c r="B42" s="53" t="s">
        <v>203</v>
      </c>
      <c r="D42" s="31">
        <f>IFERROR('Historical FS'!C88/'Historical FS'!C55,0)</f>
        <v>96.391419757514882</v>
      </c>
      <c r="E42" s="31">
        <f>IFERROR('Historical FS'!D88/'Historical FS'!D55,0)</f>
        <v>98.549290111045806</v>
      </c>
      <c r="F42" s="31">
        <f>IFERROR('Historical FS'!E88/'Historical FS'!E55,0)</f>
        <v>69.978941357033221</v>
      </c>
      <c r="G42" s="31">
        <f>IFERROR('Historical FS'!F88/'Historical FS'!F55,0)</f>
        <v>62.714882927469404</v>
      </c>
      <c r="H42" s="31">
        <f>IFERROR('Historical FS'!G88/'Historical FS'!G55,0)</f>
        <v>13.20324340709306</v>
      </c>
      <c r="I42" s="31">
        <f>IFERROR('Historical FS'!H88/'Historical FS'!H55,0)</f>
        <v>10.434510505140814</v>
      </c>
      <c r="J42" s="31">
        <f>IFERROR('Historical FS'!I88/'Historical FS'!I55,0)</f>
        <v>28.997731264637004</v>
      </c>
      <c r="K42" s="31">
        <f>IFERROR('Historical FS'!J88/'Historical FS'!J55,0)</f>
        <v>18.216248235531356</v>
      </c>
      <c r="L42" s="31">
        <f>IFERROR('Historical FS'!K88/'Historical FS'!K55,0)</f>
        <v>1.8275708623526612</v>
      </c>
      <c r="N42" s="15">
        <f t="shared" si="2"/>
        <v>44.479315380868691</v>
      </c>
      <c r="O42" s="15">
        <f t="shared" si="3"/>
        <v>37.990302333787916</v>
      </c>
    </row>
  </sheetData>
  <mergeCells count="1">
    <mergeCell ref="B2:L2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 xr2:uid="{0F30939D-29F2-40DE-BE81-803CFF21D228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'Ratio Analysis '!D6:L6</xm:f>
              <xm:sqref>M6</xm:sqref>
            </x14:sparkline>
            <x14:sparkline>
              <xm:f>'Ratio Analysis '!D7:L7</xm:f>
              <xm:sqref>M7</xm:sqref>
            </x14:sparkline>
            <x14:sparkline>
              <xm:f>'Ratio Analysis '!D8:L8</xm:f>
              <xm:sqref>M8</xm:sqref>
            </x14:sparkline>
            <x14:sparkline>
              <xm:f>'Ratio Analysis '!D9:L9</xm:f>
              <xm:sqref>M9</xm:sqref>
            </x14:sparkline>
            <x14:sparkline>
              <xm:f>'Ratio Analysis '!D10:L10</xm:f>
              <xm:sqref>M10</xm:sqref>
            </x14:sparkline>
            <x14:sparkline>
              <xm:f>'Ratio Analysis '!D11:L11</xm:f>
              <xm:sqref>M11</xm:sqref>
            </x14:sparkline>
            <x14:sparkline>
              <xm:f>'Ratio Analysis '!D12:L12</xm:f>
              <xm:sqref>M12</xm:sqref>
            </x14:sparkline>
            <x14:sparkline>
              <xm:f>'Ratio Analysis '!D13:L13</xm:f>
              <xm:sqref>M13</xm:sqref>
            </x14:sparkline>
            <x14:sparkline>
              <xm:f>'Ratio Analysis '!D14:L14</xm:f>
              <xm:sqref>M14</xm:sqref>
            </x14:sparkline>
            <x14:sparkline>
              <xm:f>'Ratio Analysis '!D15:L15</xm:f>
              <xm:sqref>M15</xm:sqref>
            </x14:sparkline>
            <x14:sparkline>
              <xm:f>'Ratio Analysis '!D16:L16</xm:f>
              <xm:sqref>M16</xm:sqref>
            </x14:sparkline>
            <x14:sparkline>
              <xm:f>'Ratio Analysis '!D17:L17</xm:f>
              <xm:sqref>M17</xm:sqref>
            </x14:sparkline>
            <x14:sparkline>
              <xm:f>'Ratio Analysis '!D18:L18</xm:f>
              <xm:sqref>M18</xm:sqref>
            </x14:sparkline>
            <x14:sparkline>
              <xm:f>'Ratio Analysis '!D19:L19</xm:f>
              <xm:sqref>M19</xm:sqref>
            </x14:sparkline>
            <x14:sparkline>
              <xm:f>'Ratio Analysis '!D20:L20</xm:f>
              <xm:sqref>M20</xm:sqref>
            </x14:sparkline>
            <x14:sparkline>
              <xm:f>'Ratio Analysis '!D21:L21</xm:f>
              <xm:sqref>M21</xm:sqref>
            </x14:sparkline>
            <x14:sparkline>
              <xm:f>'Ratio Analysis '!D22:L22</xm:f>
              <xm:sqref>M22</xm:sqref>
            </x14:sparkline>
            <x14:sparkline>
              <xm:f>'Ratio Analysis '!D23:L23</xm:f>
              <xm:sqref>M23</xm:sqref>
            </x14:sparkline>
            <x14:sparkline>
              <xm:f>'Ratio Analysis '!D24:L24</xm:f>
              <xm:sqref>M24</xm:sqref>
            </x14:sparkline>
            <x14:sparkline>
              <xm:f>'Ratio Analysis '!D25:L25</xm:f>
              <xm:sqref>M25</xm:sqref>
            </x14:sparkline>
            <x14:sparkline>
              <xm:f>'Ratio Analysis '!D26:L26</xm:f>
              <xm:sqref>M26</xm:sqref>
            </x14:sparkline>
            <x14:sparkline>
              <xm:f>'Ratio Analysis '!D27:L27</xm:f>
              <xm:sqref>M27</xm:sqref>
            </x14:sparkline>
            <x14:sparkline>
              <xm:f>'Ratio Analysis '!D28:L28</xm:f>
              <xm:sqref>M28</xm:sqref>
            </x14:sparkline>
            <x14:sparkline>
              <xm:f>'Ratio Analysis '!D29:L29</xm:f>
              <xm:sqref>M29</xm:sqref>
            </x14:sparkline>
            <x14:sparkline>
              <xm:f>'Ratio Analysis '!D30:L30</xm:f>
              <xm:sqref>M30</xm:sqref>
            </x14:sparkline>
            <x14:sparkline>
              <xm:f>'Ratio Analysis '!D31:L31</xm:f>
              <xm:sqref>M31</xm:sqref>
            </x14:sparkline>
            <x14:sparkline>
              <xm:f>'Ratio Analysis '!D32:L32</xm:f>
              <xm:sqref>M32</xm:sqref>
            </x14:sparkline>
            <x14:sparkline>
              <xm:f>'Ratio Analysis '!D33:L33</xm:f>
              <xm:sqref>M33</xm:sqref>
            </x14:sparkline>
            <x14:sparkline>
              <xm:f>'Ratio Analysis '!D34:L34</xm:f>
              <xm:sqref>M34</xm:sqref>
            </x14:sparkline>
            <x14:sparkline>
              <xm:f>'Ratio Analysis '!D35:L35</xm:f>
              <xm:sqref>M35</xm:sqref>
            </x14:sparkline>
            <x14:sparkline>
              <xm:f>'Ratio Analysis '!D36:L36</xm:f>
              <xm:sqref>M36</xm:sqref>
            </x14:sparkline>
            <x14:sparkline>
              <xm:f>'Ratio Analysis '!D37:L37</xm:f>
              <xm:sqref>M37</xm:sqref>
            </x14:sparkline>
            <x14:sparkline>
              <xm:f>'Ratio Analysis '!D38:L38</xm:f>
              <xm:sqref>M38</xm:sqref>
            </x14:sparkline>
            <x14:sparkline>
              <xm:f>'Ratio Analysis '!D39:L39</xm:f>
              <xm:sqref>M39</xm:sqref>
            </x14:sparkline>
            <x14:sparkline>
              <xm:f>'Ratio Analysis '!D40:L40</xm:f>
              <xm:sqref>M40</xm:sqref>
            </x14:sparkline>
            <x14:sparkline>
              <xm:f>'Ratio Analysis '!D41:L41</xm:f>
              <xm:sqref>M41</xm:sqref>
            </x14:sparkline>
            <x14:sparkline>
              <xm:f>'Ratio Analysis '!D42:L42</xm:f>
              <xm:sqref>M42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49CE-2658-4B08-9F51-A86B8A330030}">
  <sheetPr>
    <tabColor rgb="FF0070C0"/>
  </sheetPr>
  <dimension ref="B2:AB111"/>
  <sheetViews>
    <sheetView showGridLines="0" topLeftCell="G13" workbookViewId="0">
      <selection activeCell="U5" sqref="U5"/>
    </sheetView>
  </sheetViews>
  <sheetFormatPr defaultRowHeight="15" x14ac:dyDescent="0.25"/>
  <cols>
    <col min="1" max="1" width="2.28515625" customWidth="1"/>
    <col min="2" max="2" width="10.42578125" style="68" bestFit="1" customWidth="1"/>
    <col min="3" max="3" width="9.28515625" style="86" bestFit="1" customWidth="1"/>
    <col min="4" max="4" width="7.85546875" bestFit="1" customWidth="1"/>
    <col min="6" max="6" width="10.42578125" bestFit="1" customWidth="1"/>
    <col min="7" max="7" width="9.28515625" bestFit="1" customWidth="1"/>
    <col min="8" max="8" width="7" bestFit="1" customWidth="1"/>
    <col min="10" max="10" width="13.28515625" bestFit="1" customWidth="1"/>
    <col min="11" max="11" width="11.85546875" bestFit="1" customWidth="1"/>
    <col min="16" max="16" width="23.140625" bestFit="1" customWidth="1"/>
    <col min="17" max="17" width="5" bestFit="1" customWidth="1"/>
    <col min="18" max="18" width="5" customWidth="1"/>
    <col min="21" max="21" width="20.42578125" bestFit="1" customWidth="1"/>
  </cols>
  <sheetData>
    <row r="2" spans="2:22" x14ac:dyDescent="0.25">
      <c r="B2" s="167" t="s">
        <v>238</v>
      </c>
      <c r="C2" s="167"/>
      <c r="D2" s="167"/>
    </row>
    <row r="4" spans="2:22" x14ac:dyDescent="0.25">
      <c r="B4" s="167" t="s">
        <v>239</v>
      </c>
      <c r="C4" s="167"/>
      <c r="D4" s="167"/>
      <c r="F4" s="167" t="s">
        <v>241</v>
      </c>
      <c r="G4" s="167"/>
      <c r="H4" s="167"/>
      <c r="J4" s="97" t="s">
        <v>277</v>
      </c>
      <c r="K4" s="97" t="s">
        <v>278</v>
      </c>
      <c r="P4" s="95" t="s">
        <v>274</v>
      </c>
      <c r="Q4" s="95"/>
      <c r="R4" s="96"/>
      <c r="S4" s="96"/>
      <c r="T4" s="167" t="s">
        <v>269</v>
      </c>
      <c r="U4" s="167"/>
      <c r="V4" s="167"/>
    </row>
    <row r="5" spans="2:22" x14ac:dyDescent="0.25">
      <c r="J5" t="s">
        <v>279</v>
      </c>
      <c r="K5" s="29">
        <f>Q6</f>
        <v>0.10493282904218161</v>
      </c>
      <c r="P5" s="20" t="s">
        <v>275</v>
      </c>
      <c r="Q5" s="20"/>
      <c r="T5" t="s">
        <v>242</v>
      </c>
      <c r="U5" s="29">
        <f>SLOPE(D8:D111,H8:H111)</f>
        <v>0.10493282904218144</v>
      </c>
    </row>
    <row r="6" spans="2:22" x14ac:dyDescent="0.25">
      <c r="B6" s="87" t="s">
        <v>236</v>
      </c>
      <c r="C6" s="88" t="s">
        <v>237</v>
      </c>
      <c r="D6" s="88" t="s">
        <v>240</v>
      </c>
      <c r="F6" s="87" t="s">
        <v>236</v>
      </c>
      <c r="G6" s="88" t="s">
        <v>237</v>
      </c>
      <c r="H6" s="88" t="s">
        <v>240</v>
      </c>
      <c r="J6" s="98" t="s">
        <v>235</v>
      </c>
      <c r="K6" s="13">
        <v>0.98</v>
      </c>
      <c r="P6" t="s">
        <v>270</v>
      </c>
      <c r="Q6" s="29">
        <f>U7</f>
        <v>0.10493282904218161</v>
      </c>
      <c r="R6" s="29"/>
      <c r="T6" t="s">
        <v>243</v>
      </c>
      <c r="U6" s="29">
        <f>_xlfn.COVARIANCE.S(D8:D111,H8:H111)/_xlfn.VAR.S(H8:H111)</f>
        <v>0.10493282904218144</v>
      </c>
    </row>
    <row r="7" spans="2:22" x14ac:dyDescent="0.25">
      <c r="B7" s="85">
        <v>44557</v>
      </c>
      <c r="C7" s="86">
        <v>480.901184</v>
      </c>
      <c r="F7" s="89">
        <v>44249</v>
      </c>
      <c r="G7" s="90">
        <v>14529.150390999999</v>
      </c>
      <c r="J7" s="98" t="s">
        <v>234</v>
      </c>
      <c r="K7" s="13">
        <v>0.85</v>
      </c>
      <c r="P7" t="s">
        <v>271</v>
      </c>
      <c r="Q7">
        <v>0.75</v>
      </c>
      <c r="T7" t="s">
        <v>244</v>
      </c>
      <c r="U7" s="29">
        <f>U27</f>
        <v>0.10493282904218161</v>
      </c>
    </row>
    <row r="8" spans="2:22" x14ac:dyDescent="0.25">
      <c r="B8" s="85">
        <v>44564</v>
      </c>
      <c r="C8" s="86">
        <v>489.075714</v>
      </c>
      <c r="D8" s="31">
        <f>C8/C7-1</f>
        <v>1.6998356984706531E-2</v>
      </c>
      <c r="F8" s="89">
        <v>44256</v>
      </c>
      <c r="G8" s="90">
        <v>14938.099609000001</v>
      </c>
      <c r="H8" s="31">
        <f>G8/G7-1</f>
        <v>2.8146808794361711E-2</v>
      </c>
      <c r="J8" s="98" t="s">
        <v>233</v>
      </c>
      <c r="K8" s="13">
        <v>1.22</v>
      </c>
    </row>
    <row r="9" spans="2:22" x14ac:dyDescent="0.25">
      <c r="B9" s="85">
        <v>44571</v>
      </c>
      <c r="C9" s="86">
        <v>508.31573500000002</v>
      </c>
      <c r="D9" s="31">
        <f t="shared" ref="D9:D72" si="0">C9/C8-1</f>
        <v>3.933955510209608E-2</v>
      </c>
      <c r="F9" s="89">
        <v>44263</v>
      </c>
      <c r="G9" s="90">
        <v>15030.950194999999</v>
      </c>
      <c r="H9" s="31">
        <f t="shared" ref="H9:H72" si="1">G9/G8-1</f>
        <v>6.2156893065605789E-3</v>
      </c>
      <c r="J9" s="98" t="s">
        <v>231</v>
      </c>
      <c r="K9" s="13">
        <v>0.57999999999999996</v>
      </c>
      <c r="P9" t="s">
        <v>272</v>
      </c>
      <c r="Q9">
        <v>1</v>
      </c>
    </row>
    <row r="10" spans="2:22" x14ac:dyDescent="0.25">
      <c r="B10" s="85">
        <v>44578</v>
      </c>
      <c r="C10" s="86">
        <v>500.29074100000003</v>
      </c>
      <c r="D10" s="31">
        <f t="shared" si="0"/>
        <v>-1.5787419997927099E-2</v>
      </c>
      <c r="F10" s="89">
        <v>44270</v>
      </c>
      <c r="G10" s="90">
        <v>14744</v>
      </c>
      <c r="H10" s="31">
        <f t="shared" si="1"/>
        <v>-1.9090622434199345E-2</v>
      </c>
      <c r="P10" s="93" t="s">
        <v>273</v>
      </c>
      <c r="Q10" s="93">
        <f>-Q7+1</f>
        <v>0.25</v>
      </c>
      <c r="T10" t="s">
        <v>245</v>
      </c>
    </row>
    <row r="11" spans="2:22" ht="15.75" thickBot="1" x14ac:dyDescent="0.3">
      <c r="B11" s="85">
        <v>44585</v>
      </c>
      <c r="C11" s="86">
        <v>495.75488300000001</v>
      </c>
      <c r="D11" s="31">
        <f t="shared" si="0"/>
        <v>-9.0664440259948798E-3</v>
      </c>
      <c r="F11" s="89">
        <v>44277</v>
      </c>
      <c r="G11" s="90">
        <v>14507.299805000001</v>
      </c>
      <c r="H11" s="31">
        <f t="shared" si="1"/>
        <v>-1.6054001288659747E-2</v>
      </c>
      <c r="P11" s="20" t="s">
        <v>276</v>
      </c>
      <c r="Q11" s="94">
        <f>Q6*Q7+(Q9*Q10)</f>
        <v>0.3286996217816362</v>
      </c>
      <c r="R11" s="94"/>
    </row>
    <row r="12" spans="2:22" x14ac:dyDescent="0.25">
      <c r="B12" s="85">
        <v>44592</v>
      </c>
      <c r="C12" s="86">
        <v>499.044647</v>
      </c>
      <c r="D12" s="31">
        <f t="shared" si="0"/>
        <v>6.635868072730533E-3</v>
      </c>
      <c r="F12" s="89">
        <v>44284</v>
      </c>
      <c r="G12" s="90">
        <v>14867.349609000001</v>
      </c>
      <c r="H12" s="31">
        <f t="shared" si="1"/>
        <v>2.4818526454930545E-2</v>
      </c>
      <c r="T12" s="92" t="s">
        <v>246</v>
      </c>
      <c r="U12" s="92"/>
    </row>
    <row r="13" spans="2:22" x14ac:dyDescent="0.25">
      <c r="B13" s="85">
        <v>44599</v>
      </c>
      <c r="C13" s="86">
        <v>497.30007899999998</v>
      </c>
      <c r="D13" s="31">
        <f t="shared" si="0"/>
        <v>-3.4958154756041804E-3</v>
      </c>
      <c r="F13" s="89">
        <v>44291</v>
      </c>
      <c r="G13" s="90">
        <v>14834.849609000001</v>
      </c>
      <c r="H13" s="31">
        <f t="shared" si="1"/>
        <v>-2.1859982347038898E-3</v>
      </c>
      <c r="T13" t="s">
        <v>247</v>
      </c>
      <c r="U13">
        <v>5.9872141160222069E-2</v>
      </c>
    </row>
    <row r="14" spans="2:22" x14ac:dyDescent="0.25">
      <c r="B14" s="85">
        <v>44606</v>
      </c>
      <c r="C14" s="86">
        <v>491.61776700000001</v>
      </c>
      <c r="D14" s="31">
        <f t="shared" si="0"/>
        <v>-1.1426324346109684E-2</v>
      </c>
      <c r="F14" s="89">
        <v>44298</v>
      </c>
      <c r="G14" s="90">
        <v>14617.849609000001</v>
      </c>
      <c r="H14" s="31">
        <f t="shared" si="1"/>
        <v>-1.4627718225626696E-2</v>
      </c>
      <c r="T14" t="s">
        <v>248</v>
      </c>
      <c r="U14">
        <v>3.5846732871095579E-3</v>
      </c>
    </row>
    <row r="15" spans="2:22" x14ac:dyDescent="0.25">
      <c r="B15" s="85">
        <v>44613</v>
      </c>
      <c r="C15" s="86">
        <v>458.32156400000002</v>
      </c>
      <c r="D15" s="31">
        <f t="shared" si="0"/>
        <v>-6.7727826850488837E-2</v>
      </c>
      <c r="F15" s="89">
        <v>44305</v>
      </c>
      <c r="G15" s="90">
        <v>14341.349609000001</v>
      </c>
      <c r="H15" s="31">
        <f t="shared" si="1"/>
        <v>-1.8915230857879606E-2</v>
      </c>
      <c r="T15" t="s">
        <v>249</v>
      </c>
      <c r="U15">
        <v>-6.1841044257619181E-3</v>
      </c>
    </row>
    <row r="16" spans="2:22" x14ac:dyDescent="0.25">
      <c r="B16" s="85">
        <v>44620</v>
      </c>
      <c r="C16" s="86">
        <v>415.95361300000002</v>
      </c>
      <c r="D16" s="31">
        <f t="shared" si="0"/>
        <v>-9.2441539582457932E-2</v>
      </c>
      <c r="F16" s="89">
        <v>44312</v>
      </c>
      <c r="G16" s="90">
        <v>14631.099609000001</v>
      </c>
      <c r="H16" s="31">
        <f t="shared" si="1"/>
        <v>2.0203816788495699E-2</v>
      </c>
      <c r="T16" t="s">
        <v>250</v>
      </c>
      <c r="U16">
        <v>3.5419620402376555E-2</v>
      </c>
    </row>
    <row r="17" spans="2:28" ht="15.75" thickBot="1" x14ac:dyDescent="0.3">
      <c r="B17" s="85">
        <v>44627</v>
      </c>
      <c r="C17" s="86">
        <v>416.85079999999999</v>
      </c>
      <c r="D17" s="31">
        <f t="shared" si="0"/>
        <v>2.1569400335992306E-3</v>
      </c>
      <c r="F17" s="89">
        <v>44319</v>
      </c>
      <c r="G17" s="90">
        <v>14823.150390999999</v>
      </c>
      <c r="H17" s="31">
        <f t="shared" si="1"/>
        <v>1.3126202891945438E-2</v>
      </c>
      <c r="T17" s="14" t="s">
        <v>251</v>
      </c>
      <c r="U17" s="14">
        <v>104</v>
      </c>
    </row>
    <row r="18" spans="2:28" x14ac:dyDescent="0.25">
      <c r="B18" s="85">
        <v>44634</v>
      </c>
      <c r="C18" s="86">
        <v>432.452179</v>
      </c>
      <c r="D18" s="31">
        <f t="shared" si="0"/>
        <v>3.7426769961818485E-2</v>
      </c>
      <c r="F18" s="89">
        <v>44326</v>
      </c>
      <c r="G18" s="90">
        <v>14677.799805000001</v>
      </c>
      <c r="H18" s="31">
        <f t="shared" si="1"/>
        <v>-9.8056473938393784E-3</v>
      </c>
    </row>
    <row r="19" spans="2:28" ht="15.75" thickBot="1" x14ac:dyDescent="0.3">
      <c r="B19" s="85">
        <v>44641</v>
      </c>
      <c r="C19" s="86">
        <v>430.75747699999999</v>
      </c>
      <c r="D19" s="31">
        <f t="shared" si="0"/>
        <v>-3.9188194262747E-3</v>
      </c>
      <c r="F19" s="89">
        <v>44333</v>
      </c>
      <c r="G19" s="90">
        <v>15175.299805000001</v>
      </c>
      <c r="H19" s="31">
        <f t="shared" si="1"/>
        <v>3.3894725817865901E-2</v>
      </c>
      <c r="T19" t="s">
        <v>252</v>
      </c>
    </row>
    <row r="20" spans="2:28" x14ac:dyDescent="0.25">
      <c r="B20" s="85">
        <v>44648</v>
      </c>
      <c r="C20" s="86">
        <v>439.77932700000002</v>
      </c>
      <c r="D20" s="31">
        <f t="shared" si="0"/>
        <v>2.0944151829545676E-2</v>
      </c>
      <c r="F20" s="89">
        <v>44340</v>
      </c>
      <c r="G20" s="90">
        <v>15435.650390999999</v>
      </c>
      <c r="H20" s="31">
        <f t="shared" si="1"/>
        <v>1.7156207082921426E-2</v>
      </c>
      <c r="T20" s="91"/>
      <c r="U20" s="91" t="s">
        <v>256</v>
      </c>
      <c r="V20" s="91" t="s">
        <v>257</v>
      </c>
      <c r="W20" s="91" t="s">
        <v>258</v>
      </c>
      <c r="X20" s="91" t="s">
        <v>259</v>
      </c>
      <c r="Y20" s="91" t="s">
        <v>260</v>
      </c>
    </row>
    <row r="21" spans="2:28" x14ac:dyDescent="0.25">
      <c r="B21" s="85">
        <v>44655</v>
      </c>
      <c r="C21" s="86">
        <v>450.64547700000003</v>
      </c>
      <c r="D21" s="31">
        <f t="shared" si="0"/>
        <v>2.4708187340511278E-2</v>
      </c>
      <c r="F21" s="89">
        <v>44347</v>
      </c>
      <c r="G21" s="90">
        <v>15670.25</v>
      </c>
      <c r="H21" s="31">
        <f t="shared" si="1"/>
        <v>1.5198556786229611E-2</v>
      </c>
      <c r="T21" t="s">
        <v>253</v>
      </c>
      <c r="U21">
        <v>1</v>
      </c>
      <c r="V21">
        <v>4.6035955019743668E-4</v>
      </c>
      <c r="W21">
        <v>4.6035955019743668E-4</v>
      </c>
      <c r="X21">
        <v>0.36695207859897799</v>
      </c>
      <c r="Y21">
        <v>0.54601596241817441</v>
      </c>
    </row>
    <row r="22" spans="2:28" x14ac:dyDescent="0.25">
      <c r="B22" s="85">
        <v>44662</v>
      </c>
      <c r="C22" s="86">
        <v>429.71072400000003</v>
      </c>
      <c r="D22" s="31">
        <f t="shared" si="0"/>
        <v>-4.6455038535757942E-2</v>
      </c>
      <c r="F22" s="89">
        <v>44354</v>
      </c>
      <c r="G22" s="90">
        <v>15799.349609000001</v>
      </c>
      <c r="H22" s="31">
        <f t="shared" si="1"/>
        <v>8.2385162329892125E-3</v>
      </c>
      <c r="T22" t="s">
        <v>254</v>
      </c>
      <c r="U22">
        <v>102</v>
      </c>
      <c r="V22">
        <v>0.12796404996374183</v>
      </c>
      <c r="W22">
        <v>1.2545495094484493E-3</v>
      </c>
    </row>
    <row r="23" spans="2:28" ht="15.75" thickBot="1" x14ac:dyDescent="0.3">
      <c r="B23" s="85">
        <v>44669</v>
      </c>
      <c r="C23" s="86">
        <v>437.48648100000003</v>
      </c>
      <c r="D23" s="31">
        <f t="shared" si="0"/>
        <v>1.8095329173120733E-2</v>
      </c>
      <c r="F23" s="89">
        <v>44361</v>
      </c>
      <c r="G23" s="90">
        <v>15683.349609000001</v>
      </c>
      <c r="H23" s="31">
        <f t="shared" si="1"/>
        <v>-7.3420743809555766E-3</v>
      </c>
      <c r="T23" s="14" t="s">
        <v>15</v>
      </c>
      <c r="U23" s="14">
        <v>103</v>
      </c>
      <c r="V23" s="14">
        <v>0.12842440951393927</v>
      </c>
      <c r="W23" s="14"/>
      <c r="X23" s="14"/>
      <c r="Y23" s="14"/>
    </row>
    <row r="24" spans="2:28" ht="15.75" thickBot="1" x14ac:dyDescent="0.3">
      <c r="B24" s="85">
        <v>44676</v>
      </c>
      <c r="C24" s="86">
        <v>436.240387</v>
      </c>
      <c r="D24" s="31">
        <f t="shared" si="0"/>
        <v>-2.8483028713292002E-3</v>
      </c>
      <c r="F24" s="89">
        <v>44368</v>
      </c>
      <c r="G24" s="90">
        <v>15860.349609000001</v>
      </c>
      <c r="H24" s="31">
        <f t="shared" si="1"/>
        <v>1.1285854387791394E-2</v>
      </c>
    </row>
    <row r="25" spans="2:28" x14ac:dyDescent="0.25">
      <c r="B25" s="85">
        <v>44683</v>
      </c>
      <c r="C25" s="86">
        <v>407.28060900000003</v>
      </c>
      <c r="D25" s="31">
        <f t="shared" si="0"/>
        <v>-6.6384908098845896E-2</v>
      </c>
      <c r="F25" s="89">
        <v>44375</v>
      </c>
      <c r="G25" s="90">
        <v>15722.200194999999</v>
      </c>
      <c r="H25" s="31">
        <f t="shared" si="1"/>
        <v>-8.7103637313018512E-3</v>
      </c>
      <c r="T25" s="91"/>
      <c r="U25" s="91" t="s">
        <v>261</v>
      </c>
      <c r="V25" s="91" t="s">
        <v>250</v>
      </c>
      <c r="W25" s="91" t="s">
        <v>262</v>
      </c>
      <c r="X25" s="91" t="s">
        <v>263</v>
      </c>
      <c r="Y25" s="91" t="s">
        <v>264</v>
      </c>
      <c r="Z25" s="91" t="s">
        <v>265</v>
      </c>
      <c r="AA25" s="91" t="s">
        <v>266</v>
      </c>
      <c r="AB25" s="91" t="s">
        <v>267</v>
      </c>
    </row>
    <row r="26" spans="2:28" x14ac:dyDescent="0.25">
      <c r="B26" s="85">
        <v>44690</v>
      </c>
      <c r="C26" s="86">
        <v>403.04382299999997</v>
      </c>
      <c r="D26" s="31">
        <f t="shared" si="0"/>
        <v>-1.0402621451589988E-2</v>
      </c>
      <c r="F26" s="89">
        <v>44382</v>
      </c>
      <c r="G26" s="90">
        <v>15689.799805000001</v>
      </c>
      <c r="H26" s="31">
        <f t="shared" si="1"/>
        <v>-2.0608050780515086E-3</v>
      </c>
      <c r="T26" t="s">
        <v>255</v>
      </c>
      <c r="U26">
        <v>4.2735505351402013E-3</v>
      </c>
      <c r="V26">
        <v>3.4934679493465203E-3</v>
      </c>
      <c r="W26">
        <v>1.2232974789248034</v>
      </c>
      <c r="X26">
        <v>0.22403598487447426</v>
      </c>
      <c r="Y26">
        <v>-2.655726578330013E-3</v>
      </c>
      <c r="Z26">
        <v>1.1202827648610416E-2</v>
      </c>
      <c r="AA26">
        <v>-2.655726578330013E-3</v>
      </c>
      <c r="AB26">
        <v>1.1202827648610416E-2</v>
      </c>
    </row>
    <row r="27" spans="2:28" ht="15.75" thickBot="1" x14ac:dyDescent="0.3">
      <c r="B27" s="85">
        <v>44697</v>
      </c>
      <c r="C27" s="86">
        <v>416.70126299999998</v>
      </c>
      <c r="D27" s="31">
        <f t="shared" si="0"/>
        <v>3.3885744478957092E-2</v>
      </c>
      <c r="F27" s="89">
        <v>44389</v>
      </c>
      <c r="G27" s="90">
        <v>15923.400390999999</v>
      </c>
      <c r="H27" s="31">
        <f t="shared" si="1"/>
        <v>1.488869130921322E-2</v>
      </c>
      <c r="T27" s="14" t="s">
        <v>268</v>
      </c>
      <c r="U27" s="14">
        <v>0.10493282904218161</v>
      </c>
      <c r="V27" s="14">
        <v>0.1732234586967068</v>
      </c>
      <c r="W27" s="14">
        <v>0.60576569612263786</v>
      </c>
      <c r="X27" s="14">
        <v>0.54601596241819284</v>
      </c>
      <c r="Y27" s="14">
        <v>-0.23865507995459939</v>
      </c>
      <c r="Z27" s="14">
        <v>0.44852073803896259</v>
      </c>
      <c r="AA27" s="14">
        <v>-0.23865507995459939</v>
      </c>
      <c r="AB27" s="14">
        <v>0.44852073803896259</v>
      </c>
    </row>
    <row r="28" spans="2:28" x14ac:dyDescent="0.25">
      <c r="B28" s="85">
        <v>44704</v>
      </c>
      <c r="C28" s="86">
        <v>428.26522799999998</v>
      </c>
      <c r="D28" s="31">
        <f t="shared" si="0"/>
        <v>2.7751211783584084E-2</v>
      </c>
      <c r="F28" s="89">
        <v>44396</v>
      </c>
      <c r="G28" s="90">
        <v>15856.049805000001</v>
      </c>
      <c r="H28" s="31">
        <f t="shared" si="1"/>
        <v>-4.2296610237889665E-3</v>
      </c>
    </row>
    <row r="29" spans="2:28" x14ac:dyDescent="0.25">
      <c r="B29" s="85">
        <v>44711</v>
      </c>
      <c r="C29" s="86">
        <v>430.55807499999997</v>
      </c>
      <c r="D29" s="31">
        <f t="shared" si="0"/>
        <v>5.3538014531500089E-3</v>
      </c>
      <c r="F29" s="89">
        <v>44403</v>
      </c>
      <c r="G29" s="90">
        <v>15763.049805000001</v>
      </c>
      <c r="H29" s="31">
        <f t="shared" si="1"/>
        <v>-5.8652691650018518E-3</v>
      </c>
    </row>
    <row r="30" spans="2:28" x14ac:dyDescent="0.25">
      <c r="B30" s="85">
        <v>44718</v>
      </c>
      <c r="C30" s="86">
        <v>426.720032</v>
      </c>
      <c r="D30" s="31">
        <f t="shared" si="0"/>
        <v>-8.9141122251625848E-3</v>
      </c>
      <c r="F30" s="89">
        <v>44410</v>
      </c>
      <c r="G30" s="90">
        <v>16238.200194999999</v>
      </c>
      <c r="H30" s="31">
        <f t="shared" si="1"/>
        <v>3.0143303223547635E-2</v>
      </c>
    </row>
    <row r="31" spans="2:28" x14ac:dyDescent="0.25">
      <c r="B31" s="85">
        <v>44725</v>
      </c>
      <c r="C31" s="86">
        <v>387.74154700000003</v>
      </c>
      <c r="D31" s="31">
        <f t="shared" si="0"/>
        <v>-9.1344399318005198E-2</v>
      </c>
      <c r="F31" s="89">
        <v>44417</v>
      </c>
      <c r="G31" s="90">
        <v>16529.099609000001</v>
      </c>
      <c r="H31" s="31">
        <f t="shared" si="1"/>
        <v>1.79145108760006E-2</v>
      </c>
    </row>
    <row r="32" spans="2:28" x14ac:dyDescent="0.25">
      <c r="B32" s="85">
        <v>44732</v>
      </c>
      <c r="C32" s="86">
        <v>408.02829000000003</v>
      </c>
      <c r="D32" s="31">
        <f t="shared" si="0"/>
        <v>5.232027147196594E-2</v>
      </c>
      <c r="F32" s="89">
        <v>44424</v>
      </c>
      <c r="G32" s="90">
        <v>16450.5</v>
      </c>
      <c r="H32" s="31">
        <f t="shared" si="1"/>
        <v>-4.7552262893499897E-3</v>
      </c>
    </row>
    <row r="33" spans="2:8" x14ac:dyDescent="0.25">
      <c r="B33" s="85">
        <v>44739</v>
      </c>
      <c r="C33" s="86">
        <v>411.417755</v>
      </c>
      <c r="D33" s="31">
        <f t="shared" si="0"/>
        <v>8.3069362666003954E-3</v>
      </c>
      <c r="F33" s="89">
        <v>44431</v>
      </c>
      <c r="G33" s="90">
        <v>16705.199218999998</v>
      </c>
      <c r="H33" s="31">
        <f t="shared" si="1"/>
        <v>1.5482764596820742E-2</v>
      </c>
    </row>
    <row r="34" spans="2:8" x14ac:dyDescent="0.25">
      <c r="B34" s="85">
        <v>44746</v>
      </c>
      <c r="C34" s="86">
        <v>440.17810100000003</v>
      </c>
      <c r="D34" s="31">
        <f t="shared" si="0"/>
        <v>6.9905456559598456E-2</v>
      </c>
      <c r="F34" s="89">
        <v>44438</v>
      </c>
      <c r="G34" s="90">
        <v>17323.599609000001</v>
      </c>
      <c r="H34" s="31">
        <f t="shared" si="1"/>
        <v>3.7018438504860862E-2</v>
      </c>
    </row>
    <row r="35" spans="2:8" x14ac:dyDescent="0.25">
      <c r="B35" s="85">
        <v>44753</v>
      </c>
      <c r="C35" s="86">
        <v>438.83230600000002</v>
      </c>
      <c r="D35" s="31">
        <f t="shared" si="0"/>
        <v>-3.0573874459965955E-3</v>
      </c>
      <c r="F35" s="89">
        <v>44445</v>
      </c>
      <c r="G35" s="90">
        <v>17369.25</v>
      </c>
      <c r="H35" s="31">
        <f t="shared" si="1"/>
        <v>2.6351562048503308E-3</v>
      </c>
    </row>
    <row r="36" spans="2:8" x14ac:dyDescent="0.25">
      <c r="B36" s="85">
        <v>44760</v>
      </c>
      <c r="C36" s="86">
        <v>453.486603</v>
      </c>
      <c r="D36" s="31">
        <f t="shared" si="0"/>
        <v>3.3393842704005472E-2</v>
      </c>
      <c r="F36" s="89">
        <v>44452</v>
      </c>
      <c r="G36" s="90">
        <v>17585.150390999999</v>
      </c>
      <c r="H36" s="31">
        <f t="shared" si="1"/>
        <v>1.2430035321041366E-2</v>
      </c>
    </row>
    <row r="37" spans="2:8" x14ac:dyDescent="0.25">
      <c r="B37" s="85">
        <v>44767</v>
      </c>
      <c r="C37" s="86">
        <v>448.20309400000002</v>
      </c>
      <c r="D37" s="31">
        <f t="shared" si="0"/>
        <v>-1.1650860168850419E-2</v>
      </c>
      <c r="F37" s="89">
        <v>44459</v>
      </c>
      <c r="G37" s="90">
        <v>17853.199218999998</v>
      </c>
      <c r="H37" s="31">
        <f t="shared" si="1"/>
        <v>1.5242907910368864E-2</v>
      </c>
    </row>
    <row r="38" spans="2:8" x14ac:dyDescent="0.25">
      <c r="B38" s="85">
        <v>44774</v>
      </c>
      <c r="C38" s="86">
        <v>463.80447400000003</v>
      </c>
      <c r="D38" s="31">
        <f t="shared" si="0"/>
        <v>3.4808728919662579E-2</v>
      </c>
      <c r="F38" s="89">
        <v>44466</v>
      </c>
      <c r="G38" s="90">
        <v>17532.050781000002</v>
      </c>
      <c r="H38" s="31">
        <f t="shared" si="1"/>
        <v>-1.7988285128091697E-2</v>
      </c>
    </row>
    <row r="39" spans="2:8" x14ac:dyDescent="0.25">
      <c r="B39" s="85">
        <v>44781</v>
      </c>
      <c r="C39" s="86">
        <v>476.06622299999998</v>
      </c>
      <c r="D39" s="31">
        <f t="shared" si="0"/>
        <v>2.6437323672733548E-2</v>
      </c>
      <c r="F39" s="89">
        <v>44473</v>
      </c>
      <c r="G39" s="90">
        <v>17895.199218999998</v>
      </c>
      <c r="H39" s="31">
        <f t="shared" si="1"/>
        <v>2.0713403271313213E-2</v>
      </c>
    </row>
    <row r="40" spans="2:8" x14ac:dyDescent="0.25">
      <c r="B40" s="85">
        <v>44788</v>
      </c>
      <c r="C40" s="86">
        <v>469.53659099999999</v>
      </c>
      <c r="D40" s="31">
        <f t="shared" si="0"/>
        <v>-1.3715806088599569E-2</v>
      </c>
      <c r="F40" s="89">
        <v>44480</v>
      </c>
      <c r="G40" s="90">
        <v>18338.550781000002</v>
      </c>
      <c r="H40" s="31">
        <f t="shared" si="1"/>
        <v>2.4774888313580767E-2</v>
      </c>
    </row>
    <row r="41" spans="2:8" x14ac:dyDescent="0.25">
      <c r="B41" s="85">
        <v>44795</v>
      </c>
      <c r="C41" s="86">
        <v>463.60507200000001</v>
      </c>
      <c r="D41" s="31">
        <f t="shared" si="0"/>
        <v>-1.2632708746654342E-2</v>
      </c>
      <c r="F41" s="89">
        <v>44487</v>
      </c>
      <c r="G41" s="90">
        <v>18114.900390999999</v>
      </c>
      <c r="H41" s="31">
        <f t="shared" si="1"/>
        <v>-1.2195641447944716E-2</v>
      </c>
    </row>
    <row r="42" spans="2:8" x14ac:dyDescent="0.25">
      <c r="B42" s="85">
        <v>44802</v>
      </c>
      <c r="C42" s="86">
        <v>460.315338</v>
      </c>
      <c r="D42" s="31">
        <f t="shared" si="0"/>
        <v>-7.0959836263396747E-3</v>
      </c>
      <c r="F42" s="89">
        <v>44494</v>
      </c>
      <c r="G42" s="90">
        <v>17671.650390999999</v>
      </c>
      <c r="H42" s="31">
        <f t="shared" si="1"/>
        <v>-2.4468806917658736E-2</v>
      </c>
    </row>
    <row r="43" spans="2:8" x14ac:dyDescent="0.25">
      <c r="B43" s="85">
        <v>44809</v>
      </c>
      <c r="C43" s="86">
        <v>444.51458700000001</v>
      </c>
      <c r="D43" s="31">
        <f t="shared" si="0"/>
        <v>-3.4325927675258106E-2</v>
      </c>
      <c r="F43" s="89">
        <v>44501</v>
      </c>
      <c r="G43" s="90">
        <v>17916.800781000002</v>
      </c>
      <c r="H43" s="31">
        <f t="shared" si="1"/>
        <v>1.3872523764099309E-2</v>
      </c>
    </row>
    <row r="44" spans="2:8" x14ac:dyDescent="0.25">
      <c r="B44" s="85">
        <v>44816</v>
      </c>
      <c r="C44" s="86">
        <v>431.15621900000002</v>
      </c>
      <c r="D44" s="31">
        <f t="shared" si="0"/>
        <v>-3.0051585236279266E-2</v>
      </c>
      <c r="F44" s="89">
        <v>44508</v>
      </c>
      <c r="G44" s="90">
        <v>18102.75</v>
      </c>
      <c r="H44" s="31">
        <f t="shared" si="1"/>
        <v>1.0378483372834646E-2</v>
      </c>
    </row>
    <row r="45" spans="2:8" x14ac:dyDescent="0.25">
      <c r="B45" s="85">
        <v>44823</v>
      </c>
      <c r="C45" s="86">
        <v>421.78543100000002</v>
      </c>
      <c r="D45" s="31">
        <f t="shared" si="0"/>
        <v>-2.1734089842735171E-2</v>
      </c>
      <c r="F45" s="89">
        <v>44515</v>
      </c>
      <c r="G45" s="90">
        <v>17764.800781000002</v>
      </c>
      <c r="H45" s="31">
        <f t="shared" si="1"/>
        <v>-1.8668391211279944E-2</v>
      </c>
    </row>
    <row r="46" spans="2:8" x14ac:dyDescent="0.25">
      <c r="B46" s="85">
        <v>44830</v>
      </c>
      <c r="C46" s="86">
        <v>403.342896</v>
      </c>
      <c r="D46" s="31">
        <f t="shared" si="0"/>
        <v>-4.372492183116683E-2</v>
      </c>
      <c r="F46" s="89">
        <v>44522</v>
      </c>
      <c r="G46" s="90">
        <v>17026.449218999998</v>
      </c>
      <c r="H46" s="31">
        <f t="shared" si="1"/>
        <v>-4.1562614245001406E-2</v>
      </c>
    </row>
    <row r="47" spans="2:8" x14ac:dyDescent="0.25">
      <c r="B47" s="85">
        <v>44837</v>
      </c>
      <c r="C47" s="86">
        <v>410.86944599999998</v>
      </c>
      <c r="D47" s="31">
        <f t="shared" si="0"/>
        <v>1.8660425346874066E-2</v>
      </c>
      <c r="F47" s="89">
        <v>44529</v>
      </c>
      <c r="G47" s="90">
        <v>17196.699218999998</v>
      </c>
      <c r="H47" s="31">
        <f t="shared" si="1"/>
        <v>9.9991488424970854E-3</v>
      </c>
    </row>
    <row r="48" spans="2:8" x14ac:dyDescent="0.25">
      <c r="B48" s="85">
        <v>44844</v>
      </c>
      <c r="C48" s="86">
        <v>395.01886000000002</v>
      </c>
      <c r="D48" s="31">
        <f t="shared" si="0"/>
        <v>-3.8578157013894776E-2</v>
      </c>
      <c r="F48" s="89">
        <v>44536</v>
      </c>
      <c r="G48" s="90">
        <v>17511.300781000002</v>
      </c>
      <c r="H48" s="31">
        <f t="shared" si="1"/>
        <v>1.8294299271828462E-2</v>
      </c>
    </row>
    <row r="49" spans="2:8" x14ac:dyDescent="0.25">
      <c r="B49" s="85">
        <v>44851</v>
      </c>
      <c r="C49" s="86">
        <v>396.81323200000003</v>
      </c>
      <c r="D49" s="31">
        <f t="shared" si="0"/>
        <v>4.5424970341922943E-3</v>
      </c>
      <c r="F49" s="89">
        <v>44543</v>
      </c>
      <c r="G49" s="90">
        <v>16985.199218999998</v>
      </c>
      <c r="H49" s="31">
        <f t="shared" si="1"/>
        <v>-3.0043545512668635E-2</v>
      </c>
    </row>
    <row r="50" spans="2:8" x14ac:dyDescent="0.25">
      <c r="B50" s="85">
        <v>44858</v>
      </c>
      <c r="C50" s="86">
        <v>408.62643400000002</v>
      </c>
      <c r="D50" s="31">
        <f t="shared" si="0"/>
        <v>2.9770181655635941E-2</v>
      </c>
      <c r="F50" s="89">
        <v>44550</v>
      </c>
      <c r="G50" s="90">
        <v>17003.75</v>
      </c>
      <c r="H50" s="31">
        <f t="shared" si="1"/>
        <v>1.0921732951623131E-3</v>
      </c>
    </row>
    <row r="51" spans="2:8" x14ac:dyDescent="0.25">
      <c r="B51" s="85">
        <v>44865</v>
      </c>
      <c r="C51" s="86">
        <v>424.02844199999998</v>
      </c>
      <c r="D51" s="31">
        <f t="shared" si="0"/>
        <v>3.7692147933826359E-2</v>
      </c>
      <c r="F51" s="89">
        <v>44557</v>
      </c>
      <c r="G51" s="90">
        <v>17354.050781000002</v>
      </c>
      <c r="H51" s="31">
        <f t="shared" si="1"/>
        <v>2.0601383871204915E-2</v>
      </c>
    </row>
    <row r="52" spans="2:8" x14ac:dyDescent="0.25">
      <c r="B52" s="85">
        <v>44872</v>
      </c>
      <c r="C52" s="86">
        <v>422.18417399999998</v>
      </c>
      <c r="D52" s="31">
        <f t="shared" si="0"/>
        <v>-4.3493969208792116E-3</v>
      </c>
      <c r="F52" s="89">
        <v>44564</v>
      </c>
      <c r="G52" s="90">
        <v>17812.699218999998</v>
      </c>
      <c r="H52" s="31">
        <f t="shared" si="1"/>
        <v>2.6428898001275014E-2</v>
      </c>
    </row>
    <row r="53" spans="2:8" x14ac:dyDescent="0.25">
      <c r="B53" s="85">
        <v>44879</v>
      </c>
      <c r="C53" s="86">
        <v>422.48324600000001</v>
      </c>
      <c r="D53" s="31">
        <f t="shared" si="0"/>
        <v>7.0839225726171406E-4</v>
      </c>
      <c r="F53" s="89">
        <v>44571</v>
      </c>
      <c r="G53" s="90">
        <v>18255.75</v>
      </c>
      <c r="H53" s="31">
        <f t="shared" si="1"/>
        <v>2.4872748119354027E-2</v>
      </c>
    </row>
    <row r="54" spans="2:8" x14ac:dyDescent="0.25">
      <c r="B54" s="85">
        <v>44886</v>
      </c>
      <c r="C54" s="86">
        <v>431.85406499999999</v>
      </c>
      <c r="D54" s="31">
        <f t="shared" si="0"/>
        <v>2.2180332803066971E-2</v>
      </c>
      <c r="F54" s="89">
        <v>44578</v>
      </c>
      <c r="G54" s="90">
        <v>17617.150390999999</v>
      </c>
      <c r="H54" s="31">
        <f t="shared" si="1"/>
        <v>-3.4980738068827621E-2</v>
      </c>
    </row>
    <row r="55" spans="2:8" x14ac:dyDescent="0.25">
      <c r="B55" s="85">
        <v>44893</v>
      </c>
      <c r="C55" s="86">
        <v>434.047211</v>
      </c>
      <c r="D55" s="31">
        <f t="shared" si="0"/>
        <v>5.0784424131795625E-3</v>
      </c>
      <c r="F55" s="89">
        <v>44585</v>
      </c>
      <c r="G55" s="90">
        <v>17101.949218999998</v>
      </c>
      <c r="H55" s="31">
        <f t="shared" si="1"/>
        <v>-2.9244296640800638E-2</v>
      </c>
    </row>
    <row r="56" spans="2:8" x14ac:dyDescent="0.25">
      <c r="B56" s="85">
        <v>44900</v>
      </c>
      <c r="C56" s="86">
        <v>412.01586900000001</v>
      </c>
      <c r="D56" s="31">
        <f t="shared" si="0"/>
        <v>-5.0757939324715506E-2</v>
      </c>
      <c r="F56" s="89">
        <v>44592</v>
      </c>
      <c r="G56" s="90">
        <v>17516.300781000002</v>
      </c>
      <c r="H56" s="31">
        <f t="shared" si="1"/>
        <v>2.4228323724623468E-2</v>
      </c>
    </row>
    <row r="57" spans="2:8" x14ac:dyDescent="0.25">
      <c r="B57" s="85">
        <v>44907</v>
      </c>
      <c r="C57" s="86">
        <v>420.2901</v>
      </c>
      <c r="D57" s="31">
        <f t="shared" si="0"/>
        <v>2.008231144126138E-2</v>
      </c>
      <c r="F57" s="89">
        <v>44599</v>
      </c>
      <c r="G57" s="90">
        <v>17374.75</v>
      </c>
      <c r="H57" s="31">
        <f t="shared" si="1"/>
        <v>-8.0810887395552644E-3</v>
      </c>
    </row>
    <row r="58" spans="2:8" x14ac:dyDescent="0.25">
      <c r="B58" s="85">
        <v>44914</v>
      </c>
      <c r="C58" s="86">
        <v>377.17446899999999</v>
      </c>
      <c r="D58" s="31">
        <f t="shared" si="0"/>
        <v>-0.10258540707953867</v>
      </c>
      <c r="F58" s="89">
        <v>44606</v>
      </c>
      <c r="G58" s="90">
        <v>17276.300781000002</v>
      </c>
      <c r="H58" s="31">
        <f t="shared" si="1"/>
        <v>-5.66622362911684E-3</v>
      </c>
    </row>
    <row r="59" spans="2:8" x14ac:dyDescent="0.25">
      <c r="B59" s="85">
        <v>44921</v>
      </c>
      <c r="C59" s="86">
        <v>386.74465900000001</v>
      </c>
      <c r="D59" s="31">
        <f t="shared" si="0"/>
        <v>2.5373377008718112E-2</v>
      </c>
      <c r="F59" s="89">
        <v>44613</v>
      </c>
      <c r="G59" s="90">
        <v>16658.400390999999</v>
      </c>
      <c r="H59" s="31">
        <f t="shared" si="1"/>
        <v>-3.5765780987070617E-2</v>
      </c>
    </row>
    <row r="60" spans="2:8" x14ac:dyDescent="0.25">
      <c r="B60" s="85">
        <v>44928</v>
      </c>
      <c r="C60" s="86">
        <v>380.81310999999999</v>
      </c>
      <c r="D60" s="31">
        <f t="shared" si="0"/>
        <v>-1.5337119367949792E-2</v>
      </c>
      <c r="F60" s="89">
        <v>44620</v>
      </c>
      <c r="G60" s="90">
        <v>16245.349609000001</v>
      </c>
      <c r="H60" s="31">
        <f t="shared" si="1"/>
        <v>-2.479534482933643E-2</v>
      </c>
    </row>
    <row r="61" spans="2:8" x14ac:dyDescent="0.25">
      <c r="B61" s="85">
        <v>44935</v>
      </c>
      <c r="C61" s="86">
        <v>410.22146600000002</v>
      </c>
      <c r="D61" s="31">
        <f t="shared" si="0"/>
        <v>7.7225166959194347E-2</v>
      </c>
      <c r="F61" s="89">
        <v>44627</v>
      </c>
      <c r="G61" s="90">
        <v>16630.449218999998</v>
      </c>
      <c r="H61" s="31">
        <f t="shared" si="1"/>
        <v>2.3705221449137115E-2</v>
      </c>
    </row>
    <row r="62" spans="2:8" x14ac:dyDescent="0.25">
      <c r="B62" s="85">
        <v>44942</v>
      </c>
      <c r="C62" s="86">
        <v>401.8974</v>
      </c>
      <c r="D62" s="31">
        <f t="shared" si="0"/>
        <v>-2.0291639248346982E-2</v>
      </c>
      <c r="F62" s="89">
        <v>44634</v>
      </c>
      <c r="G62" s="90">
        <v>17287.050781000002</v>
      </c>
      <c r="H62" s="31">
        <f t="shared" si="1"/>
        <v>3.9481889716475482E-2</v>
      </c>
    </row>
    <row r="63" spans="2:8" x14ac:dyDescent="0.25">
      <c r="B63" s="85">
        <v>44949</v>
      </c>
      <c r="C63" s="86">
        <v>444.21551499999998</v>
      </c>
      <c r="D63" s="31">
        <f t="shared" si="0"/>
        <v>0.10529581679304223</v>
      </c>
      <c r="F63" s="89">
        <v>44641</v>
      </c>
      <c r="G63" s="90">
        <v>17153</v>
      </c>
      <c r="H63" s="31">
        <f t="shared" si="1"/>
        <v>-7.7544043051771538E-3</v>
      </c>
    </row>
    <row r="64" spans="2:8" x14ac:dyDescent="0.25">
      <c r="B64" s="85">
        <v>44956</v>
      </c>
      <c r="C64" s="86">
        <v>444.06597900000003</v>
      </c>
      <c r="D64" s="31">
        <f t="shared" si="0"/>
        <v>-3.3662939485568089E-4</v>
      </c>
      <c r="F64" s="89">
        <v>44648</v>
      </c>
      <c r="G64" s="90">
        <v>17670.449218999998</v>
      </c>
      <c r="H64" s="31">
        <f t="shared" si="1"/>
        <v>3.0166689150585846E-2</v>
      </c>
    </row>
    <row r="65" spans="2:8" x14ac:dyDescent="0.25">
      <c r="B65" s="85">
        <v>44963</v>
      </c>
      <c r="C65" s="86">
        <v>444.46475199999998</v>
      </c>
      <c r="D65" s="31">
        <f t="shared" si="0"/>
        <v>8.9800394278793938E-4</v>
      </c>
      <c r="F65" s="89">
        <v>44655</v>
      </c>
      <c r="G65" s="90">
        <v>17784.349609000001</v>
      </c>
      <c r="H65" s="31">
        <f t="shared" si="1"/>
        <v>6.4458117950692007E-3</v>
      </c>
    </row>
    <row r="66" spans="2:8" x14ac:dyDescent="0.25">
      <c r="B66" s="85">
        <v>44970</v>
      </c>
      <c r="C66" s="86">
        <v>438.53323399999999</v>
      </c>
      <c r="D66" s="31">
        <f t="shared" si="0"/>
        <v>-1.3345305726290668E-2</v>
      </c>
      <c r="F66" s="89">
        <v>44662</v>
      </c>
      <c r="G66" s="90">
        <v>17475.650390999999</v>
      </c>
      <c r="H66" s="31">
        <f t="shared" si="1"/>
        <v>-1.7357914390289553E-2</v>
      </c>
    </row>
    <row r="67" spans="2:8" x14ac:dyDescent="0.25">
      <c r="B67" s="85">
        <v>44977</v>
      </c>
      <c r="C67" s="86">
        <v>426.42099000000002</v>
      </c>
      <c r="D67" s="31">
        <f t="shared" si="0"/>
        <v>-2.7619899840931939E-2</v>
      </c>
      <c r="F67" s="89">
        <v>44669</v>
      </c>
      <c r="G67" s="90">
        <v>17171.949218999998</v>
      </c>
      <c r="H67" s="31">
        <f t="shared" si="1"/>
        <v>-1.7378533285170805E-2</v>
      </c>
    </row>
    <row r="68" spans="2:8" x14ac:dyDescent="0.25">
      <c r="B68" s="85">
        <v>44984</v>
      </c>
      <c r="C68" s="86">
        <v>426.67019699999997</v>
      </c>
      <c r="D68" s="31">
        <f t="shared" si="0"/>
        <v>5.8441541538556407E-4</v>
      </c>
      <c r="F68" s="89">
        <v>44676</v>
      </c>
      <c r="G68" s="90">
        <v>17102.550781000002</v>
      </c>
      <c r="H68" s="31">
        <f t="shared" si="1"/>
        <v>-4.041383835634127E-3</v>
      </c>
    </row>
    <row r="69" spans="2:8" x14ac:dyDescent="0.25">
      <c r="B69" s="85">
        <v>44991</v>
      </c>
      <c r="C69" s="86">
        <v>434.49581899999998</v>
      </c>
      <c r="D69" s="31">
        <f t="shared" si="0"/>
        <v>1.8341149803814405E-2</v>
      </c>
      <c r="F69" s="89">
        <v>44683</v>
      </c>
      <c r="G69" s="90">
        <v>16411.25</v>
      </c>
      <c r="H69" s="31">
        <f t="shared" si="1"/>
        <v>-4.0420916730619982E-2</v>
      </c>
    </row>
    <row r="70" spans="2:8" x14ac:dyDescent="0.25">
      <c r="B70" s="85">
        <v>44998</v>
      </c>
      <c r="C70" s="86">
        <v>417.698151</v>
      </c>
      <c r="D70" s="31">
        <f t="shared" si="0"/>
        <v>-3.8660137256694704E-2</v>
      </c>
      <c r="F70" s="89">
        <v>44690</v>
      </c>
      <c r="G70" s="90">
        <v>15782.150390999999</v>
      </c>
      <c r="H70" s="31">
        <f t="shared" si="1"/>
        <v>-3.8333436453652281E-2</v>
      </c>
    </row>
    <row r="71" spans="2:8" x14ac:dyDescent="0.25">
      <c r="B71" s="85">
        <v>45005</v>
      </c>
      <c r="C71" s="86">
        <v>415.20593300000002</v>
      </c>
      <c r="D71" s="31">
        <f t="shared" si="0"/>
        <v>-5.9665526266597935E-3</v>
      </c>
      <c r="F71" s="89">
        <v>44697</v>
      </c>
      <c r="G71" s="90">
        <v>16266.150390999999</v>
      </c>
      <c r="H71" s="31">
        <f t="shared" si="1"/>
        <v>3.0667557209187901E-2</v>
      </c>
    </row>
    <row r="72" spans="2:8" x14ac:dyDescent="0.25">
      <c r="B72" s="85">
        <v>45012</v>
      </c>
      <c r="C72" s="86">
        <v>419.49255399999998</v>
      </c>
      <c r="D72" s="31">
        <f t="shared" si="0"/>
        <v>1.032408416957753E-2</v>
      </c>
      <c r="F72" s="89">
        <v>44704</v>
      </c>
      <c r="G72" s="90">
        <v>16352.450194999999</v>
      </c>
      <c r="H72" s="31">
        <f t="shared" si="1"/>
        <v>5.3054842064996777E-3</v>
      </c>
    </row>
    <row r="73" spans="2:8" x14ac:dyDescent="0.25">
      <c r="B73" s="85">
        <v>45019</v>
      </c>
      <c r="C73" s="86">
        <v>436.29022200000003</v>
      </c>
      <c r="D73" s="31">
        <f t="shared" ref="D73:D111" si="2">C73/C72-1</f>
        <v>4.0042827553978588E-2</v>
      </c>
      <c r="F73" s="89">
        <v>44711</v>
      </c>
      <c r="G73" s="90">
        <v>16584.300781000002</v>
      </c>
      <c r="H73" s="31">
        <f t="shared" ref="H73:H111" si="3">G73/G72-1</f>
        <v>1.4178339223494207E-2</v>
      </c>
    </row>
    <row r="74" spans="2:8" x14ac:dyDescent="0.25">
      <c r="B74" s="85">
        <v>45026</v>
      </c>
      <c r="C74" s="86">
        <v>468.04126000000002</v>
      </c>
      <c r="D74" s="31">
        <f t="shared" si="2"/>
        <v>7.2775039180227097E-2</v>
      </c>
      <c r="F74" s="89">
        <v>44718</v>
      </c>
      <c r="G74" s="90">
        <v>16201.799805000001</v>
      </c>
      <c r="H74" s="31">
        <f t="shared" si="3"/>
        <v>-2.3064039964724836E-2</v>
      </c>
    </row>
    <row r="75" spans="2:8" x14ac:dyDescent="0.25">
      <c r="B75" s="85">
        <v>45033</v>
      </c>
      <c r="C75" s="86">
        <v>469.73599200000001</v>
      </c>
      <c r="D75" s="31">
        <f t="shared" si="2"/>
        <v>3.6209029947487092E-3</v>
      </c>
      <c r="F75" s="89">
        <v>44725</v>
      </c>
      <c r="G75" s="90">
        <v>15293.5</v>
      </c>
      <c r="H75" s="31">
        <f t="shared" si="3"/>
        <v>-5.606166079892505E-2</v>
      </c>
    </row>
    <row r="76" spans="2:8" x14ac:dyDescent="0.25">
      <c r="B76" s="85">
        <v>45040</v>
      </c>
      <c r="C76" s="86">
        <v>483.44326799999999</v>
      </c>
      <c r="D76" s="31">
        <f t="shared" si="2"/>
        <v>2.9180808440158801E-2</v>
      </c>
      <c r="F76" s="89">
        <v>44732</v>
      </c>
      <c r="G76" s="90">
        <v>15699.25</v>
      </c>
      <c r="H76" s="31">
        <f t="shared" si="3"/>
        <v>2.6530879131657192E-2</v>
      </c>
    </row>
    <row r="77" spans="2:8" x14ac:dyDescent="0.25">
      <c r="B77" s="85">
        <v>45047</v>
      </c>
      <c r="C77" s="86">
        <v>475.61764499999998</v>
      </c>
      <c r="D77" s="31">
        <f t="shared" si="2"/>
        <v>-1.6187262328368979E-2</v>
      </c>
      <c r="F77" s="89">
        <v>44739</v>
      </c>
      <c r="G77" s="90">
        <v>15752.049805000001</v>
      </c>
      <c r="H77" s="31">
        <f t="shared" si="3"/>
        <v>3.3632055671448668E-3</v>
      </c>
    </row>
    <row r="78" spans="2:8" x14ac:dyDescent="0.25">
      <c r="B78" s="85">
        <v>45054</v>
      </c>
      <c r="C78" s="86">
        <v>514.34692399999994</v>
      </c>
      <c r="D78" s="31">
        <f t="shared" si="2"/>
        <v>8.1429441079714282E-2</v>
      </c>
      <c r="F78" s="89">
        <v>44746</v>
      </c>
      <c r="G78" s="90">
        <v>16220.599609000001</v>
      </c>
      <c r="H78" s="31">
        <f t="shared" si="3"/>
        <v>2.9745322659611828E-2</v>
      </c>
    </row>
    <row r="79" spans="2:8" x14ac:dyDescent="0.25">
      <c r="B79" s="85">
        <v>45061</v>
      </c>
      <c r="C79" s="86">
        <v>523.31897000000004</v>
      </c>
      <c r="D79" s="31">
        <f t="shared" si="2"/>
        <v>1.7443568885813221E-2</v>
      </c>
      <c r="F79" s="89">
        <v>44753</v>
      </c>
      <c r="G79" s="90">
        <v>16049.200194999999</v>
      </c>
      <c r="H79" s="31">
        <f t="shared" si="3"/>
        <v>-1.0566774233481513E-2</v>
      </c>
    </row>
    <row r="80" spans="2:8" x14ac:dyDescent="0.25">
      <c r="B80" s="85">
        <v>45068</v>
      </c>
      <c r="C80" s="86">
        <v>516.83917199999996</v>
      </c>
      <c r="D80" s="31">
        <f t="shared" si="2"/>
        <v>-1.2382119455750074E-2</v>
      </c>
      <c r="F80" s="89">
        <v>44760</v>
      </c>
      <c r="G80" s="90">
        <v>16719.449218999998</v>
      </c>
      <c r="H80" s="31">
        <f t="shared" si="3"/>
        <v>4.1762144895470144E-2</v>
      </c>
    </row>
    <row r="81" spans="2:8" x14ac:dyDescent="0.25">
      <c r="B81" s="85">
        <v>45075</v>
      </c>
      <c r="C81" s="86">
        <v>534.23498500000005</v>
      </c>
      <c r="D81" s="31">
        <f t="shared" si="2"/>
        <v>3.3658077681465004E-2</v>
      </c>
      <c r="F81" s="89">
        <v>44767</v>
      </c>
      <c r="G81" s="90">
        <v>17158.25</v>
      </c>
      <c r="H81" s="31">
        <f t="shared" si="3"/>
        <v>2.6244930395275645E-2</v>
      </c>
    </row>
    <row r="82" spans="2:8" x14ac:dyDescent="0.25">
      <c r="B82" s="85">
        <v>45082</v>
      </c>
      <c r="C82" s="86">
        <v>560.55291699999998</v>
      </c>
      <c r="D82" s="31">
        <f t="shared" si="2"/>
        <v>4.9262838898504357E-2</v>
      </c>
      <c r="F82" s="89">
        <v>44774</v>
      </c>
      <c r="G82" s="90">
        <v>17397.5</v>
      </c>
      <c r="H82" s="31">
        <f t="shared" si="3"/>
        <v>1.3943729692713402E-2</v>
      </c>
    </row>
    <row r="83" spans="2:8" x14ac:dyDescent="0.25">
      <c r="B83" s="85">
        <v>45089</v>
      </c>
      <c r="C83" s="86">
        <v>568.02960199999995</v>
      </c>
      <c r="D83" s="31">
        <f t="shared" si="2"/>
        <v>1.3338053862986143E-2</v>
      </c>
      <c r="F83" s="89">
        <v>44781</v>
      </c>
      <c r="G83" s="90">
        <v>17698.150390999999</v>
      </c>
      <c r="H83" s="31">
        <f t="shared" si="3"/>
        <v>1.7281241040379314E-2</v>
      </c>
    </row>
    <row r="84" spans="2:8" x14ac:dyDescent="0.25">
      <c r="B84" s="85">
        <v>45096</v>
      </c>
      <c r="C84" s="86">
        <v>557.91119400000002</v>
      </c>
      <c r="D84" s="31">
        <f t="shared" si="2"/>
        <v>-1.781317023685669E-2</v>
      </c>
      <c r="F84" s="89">
        <v>44788</v>
      </c>
      <c r="G84" s="90">
        <v>17758.449218999998</v>
      </c>
      <c r="H84" s="31">
        <f t="shared" si="3"/>
        <v>3.4070694771959342E-3</v>
      </c>
    </row>
    <row r="85" spans="2:8" x14ac:dyDescent="0.25">
      <c r="B85" s="85">
        <v>45103</v>
      </c>
      <c r="C85" s="86">
        <v>593.69958499999996</v>
      </c>
      <c r="D85" s="31">
        <f t="shared" si="2"/>
        <v>6.4147110480812453E-2</v>
      </c>
      <c r="F85" s="89">
        <v>44795</v>
      </c>
      <c r="G85" s="90">
        <v>17558.900390999999</v>
      </c>
      <c r="H85" s="31">
        <f t="shared" si="3"/>
        <v>-1.1236838619134604E-2</v>
      </c>
    </row>
    <row r="86" spans="2:8" x14ac:dyDescent="0.25">
      <c r="B86" s="85">
        <v>45110</v>
      </c>
      <c r="C86" s="86">
        <v>616.27923599999997</v>
      </c>
      <c r="D86" s="31">
        <f t="shared" si="2"/>
        <v>3.8032115181620085E-2</v>
      </c>
      <c r="F86" s="89">
        <v>44802</v>
      </c>
      <c r="G86" s="90">
        <v>17539.449218999998</v>
      </c>
      <c r="H86" s="31">
        <f t="shared" si="3"/>
        <v>-1.1077670905844661E-3</v>
      </c>
    </row>
    <row r="87" spans="2:8" x14ac:dyDescent="0.25">
      <c r="B87" s="85">
        <v>45117</v>
      </c>
      <c r="C87" s="86">
        <v>622.95843500000001</v>
      </c>
      <c r="D87" s="31">
        <f t="shared" si="2"/>
        <v>1.0837942623788122E-2</v>
      </c>
      <c r="F87" s="89">
        <v>44809</v>
      </c>
      <c r="G87" s="90">
        <v>17833.349609000001</v>
      </c>
      <c r="H87" s="31">
        <f t="shared" si="3"/>
        <v>1.6756534730955508E-2</v>
      </c>
    </row>
    <row r="88" spans="2:8" x14ac:dyDescent="0.25">
      <c r="B88" s="85">
        <v>45124</v>
      </c>
      <c r="C88" s="86">
        <v>623.80578600000001</v>
      </c>
      <c r="D88" s="31">
        <f t="shared" si="2"/>
        <v>1.3602047141396678E-3</v>
      </c>
      <c r="F88" s="89">
        <v>44816</v>
      </c>
      <c r="G88" s="90">
        <v>17530.849609000001</v>
      </c>
      <c r="H88" s="31">
        <f t="shared" si="3"/>
        <v>-1.6962601341440453E-2</v>
      </c>
    </row>
    <row r="89" spans="2:8" x14ac:dyDescent="0.25">
      <c r="B89" s="85">
        <v>45131</v>
      </c>
      <c r="C89" s="86">
        <v>633.32611099999997</v>
      </c>
      <c r="D89" s="31">
        <f t="shared" si="2"/>
        <v>1.5261681141251815E-2</v>
      </c>
      <c r="F89" s="89">
        <v>44823</v>
      </c>
      <c r="G89" s="90">
        <v>17327.349609000001</v>
      </c>
      <c r="H89" s="31">
        <f t="shared" si="3"/>
        <v>-1.1608108251383698E-2</v>
      </c>
    </row>
    <row r="90" spans="2:8" x14ac:dyDescent="0.25">
      <c r="B90" s="85">
        <v>45138</v>
      </c>
      <c r="C90" s="86">
        <v>615</v>
      </c>
      <c r="D90" s="31">
        <f t="shared" si="2"/>
        <v>-2.8936294717209265E-2</v>
      </c>
      <c r="F90" s="89">
        <v>44830</v>
      </c>
      <c r="G90" s="90">
        <v>17094.349609000001</v>
      </c>
      <c r="H90" s="31">
        <f t="shared" si="3"/>
        <v>-1.3446949779265527E-2</v>
      </c>
    </row>
    <row r="91" spans="2:8" x14ac:dyDescent="0.25">
      <c r="B91" s="85">
        <v>45145</v>
      </c>
      <c r="C91" s="86">
        <v>611.79998799999998</v>
      </c>
      <c r="D91" s="31">
        <f t="shared" si="2"/>
        <v>-5.2032715447154487E-3</v>
      </c>
      <c r="F91" s="89">
        <v>44837</v>
      </c>
      <c r="G91" s="90">
        <v>17314.650390999999</v>
      </c>
      <c r="H91" s="31">
        <f t="shared" si="3"/>
        <v>1.2887345060733635E-2</v>
      </c>
    </row>
    <row r="92" spans="2:8" x14ac:dyDescent="0.25">
      <c r="B92" s="85">
        <v>45152</v>
      </c>
      <c r="C92" s="86">
        <v>615.79998799999998</v>
      </c>
      <c r="D92" s="31">
        <f t="shared" si="2"/>
        <v>6.5380844695277496E-3</v>
      </c>
      <c r="F92" s="89">
        <v>44844</v>
      </c>
      <c r="G92" s="90">
        <v>17185.699218999998</v>
      </c>
      <c r="H92" s="31">
        <f t="shared" si="3"/>
        <v>-7.4475180894804094E-3</v>
      </c>
    </row>
    <row r="93" spans="2:8" x14ac:dyDescent="0.25">
      <c r="B93" s="85">
        <v>45159</v>
      </c>
      <c r="C93" s="86">
        <v>605.09997599999997</v>
      </c>
      <c r="D93" s="31">
        <f t="shared" si="2"/>
        <v>-1.7375791179781608E-2</v>
      </c>
      <c r="F93" s="89">
        <v>44851</v>
      </c>
      <c r="G93" s="90">
        <v>17576.300781000002</v>
      </c>
      <c r="H93" s="31">
        <f t="shared" si="3"/>
        <v>2.2728290366455628E-2</v>
      </c>
    </row>
    <row r="94" spans="2:8" x14ac:dyDescent="0.25">
      <c r="B94" s="85">
        <v>45166</v>
      </c>
      <c r="C94" s="86">
        <v>611.20001200000002</v>
      </c>
      <c r="D94" s="31">
        <f t="shared" si="2"/>
        <v>1.0081038244827312E-2</v>
      </c>
      <c r="F94" s="89">
        <v>44858</v>
      </c>
      <c r="G94" s="90">
        <v>17786.800781000002</v>
      </c>
      <c r="H94" s="31">
        <f t="shared" si="3"/>
        <v>1.197635399068453E-2</v>
      </c>
    </row>
    <row r="95" spans="2:8" x14ac:dyDescent="0.25">
      <c r="B95" s="85">
        <v>45173</v>
      </c>
      <c r="C95" s="86">
        <v>627.25</v>
      </c>
      <c r="D95" s="31">
        <f t="shared" si="2"/>
        <v>2.6259796604847008E-2</v>
      </c>
      <c r="F95" s="89">
        <v>44865</v>
      </c>
      <c r="G95" s="90">
        <v>18117.150390999999</v>
      </c>
      <c r="H95" s="31">
        <f t="shared" si="3"/>
        <v>1.8572739081492262E-2</v>
      </c>
    </row>
    <row r="96" spans="2:8" x14ac:dyDescent="0.25">
      <c r="B96" s="85">
        <v>45180</v>
      </c>
      <c r="C96" s="86">
        <v>634.25</v>
      </c>
      <c r="D96" s="31">
        <f t="shared" si="2"/>
        <v>1.1159824631327142E-2</v>
      </c>
      <c r="F96" s="89">
        <v>44872</v>
      </c>
      <c r="G96" s="90">
        <v>18349.699218999998</v>
      </c>
      <c r="H96" s="31">
        <f t="shared" si="3"/>
        <v>1.2835839134808014E-2</v>
      </c>
    </row>
    <row r="97" spans="2:8" x14ac:dyDescent="0.25">
      <c r="B97" s="85">
        <v>45187</v>
      </c>
      <c r="C97" s="86">
        <v>620.45001200000002</v>
      </c>
      <c r="D97" s="31">
        <f t="shared" si="2"/>
        <v>-2.1757962948364185E-2</v>
      </c>
      <c r="F97" s="89">
        <v>44879</v>
      </c>
      <c r="G97" s="90">
        <v>18307.650390999999</v>
      </c>
      <c r="H97" s="31">
        <f t="shared" si="3"/>
        <v>-2.2915268254892762E-3</v>
      </c>
    </row>
    <row r="98" spans="2:8" x14ac:dyDescent="0.25">
      <c r="B98" s="85">
        <v>45194</v>
      </c>
      <c r="C98" s="86">
        <v>630.20001200000002</v>
      </c>
      <c r="D98" s="31">
        <f t="shared" si="2"/>
        <v>1.5714400534172279E-2</v>
      </c>
      <c r="F98" s="89">
        <v>44886</v>
      </c>
      <c r="G98" s="90">
        <v>18512.75</v>
      </c>
      <c r="H98" s="31">
        <f t="shared" si="3"/>
        <v>1.1202945469224623E-2</v>
      </c>
    </row>
    <row r="99" spans="2:8" x14ac:dyDescent="0.25">
      <c r="B99" s="85">
        <v>45201</v>
      </c>
      <c r="C99" s="86">
        <v>622.45001200000002</v>
      </c>
      <c r="D99" s="31">
        <f t="shared" si="2"/>
        <v>-1.2297683040983554E-2</v>
      </c>
      <c r="F99" s="89">
        <v>44893</v>
      </c>
      <c r="G99" s="90">
        <v>18696.099609000001</v>
      </c>
      <c r="H99" s="31">
        <f t="shared" si="3"/>
        <v>9.9039639707769744E-3</v>
      </c>
    </row>
    <row r="100" spans="2:8" x14ac:dyDescent="0.25">
      <c r="B100" s="85">
        <v>45208</v>
      </c>
      <c r="C100" s="86">
        <v>667.09997599999997</v>
      </c>
      <c r="D100" s="31">
        <f t="shared" si="2"/>
        <v>7.1732610071826963E-2</v>
      </c>
      <c r="F100" s="89">
        <v>44900</v>
      </c>
      <c r="G100" s="90">
        <v>18496.599609000001</v>
      </c>
      <c r="H100" s="31">
        <f t="shared" si="3"/>
        <v>-1.0670674855838058E-2</v>
      </c>
    </row>
    <row r="101" spans="2:8" x14ac:dyDescent="0.25">
      <c r="B101" s="85">
        <v>45215</v>
      </c>
      <c r="C101" s="86">
        <v>663.20001200000002</v>
      </c>
      <c r="D101" s="31">
        <f t="shared" si="2"/>
        <v>-5.8461462154211219E-3</v>
      </c>
      <c r="F101" s="89">
        <v>44907</v>
      </c>
      <c r="G101" s="90">
        <v>18269</v>
      </c>
      <c r="H101" s="31">
        <f t="shared" si="3"/>
        <v>-1.2304943276668867E-2</v>
      </c>
    </row>
    <row r="102" spans="2:8" x14ac:dyDescent="0.25">
      <c r="B102" s="85">
        <v>45222</v>
      </c>
      <c r="C102" s="86">
        <v>641.04998799999998</v>
      </c>
      <c r="D102" s="31">
        <f t="shared" si="2"/>
        <v>-3.3398708683979983E-2</v>
      </c>
      <c r="F102" s="89">
        <v>44914</v>
      </c>
      <c r="G102" s="90">
        <v>17806.800781000002</v>
      </c>
      <c r="H102" s="31">
        <f t="shared" si="3"/>
        <v>-2.529964524604511E-2</v>
      </c>
    </row>
    <row r="103" spans="2:8" x14ac:dyDescent="0.25">
      <c r="B103" s="85">
        <v>45229</v>
      </c>
      <c r="C103" s="86">
        <v>647.5</v>
      </c>
      <c r="D103" s="31">
        <f t="shared" si="2"/>
        <v>1.0061636566164323E-2</v>
      </c>
      <c r="F103" s="89">
        <v>44921</v>
      </c>
      <c r="G103" s="90">
        <v>18105.300781000002</v>
      </c>
      <c r="H103" s="31">
        <f t="shared" si="3"/>
        <v>1.6763258244484991E-2</v>
      </c>
    </row>
    <row r="104" spans="2:8" x14ac:dyDescent="0.25">
      <c r="B104" s="85">
        <v>45236</v>
      </c>
      <c r="C104" s="86">
        <v>651.04998799999998</v>
      </c>
      <c r="D104" s="31">
        <f t="shared" si="2"/>
        <v>5.4826069498068453E-3</v>
      </c>
      <c r="F104" s="89">
        <v>44928</v>
      </c>
      <c r="G104" s="90">
        <v>17859.449218999998</v>
      </c>
      <c r="H104" s="31">
        <f t="shared" si="3"/>
        <v>-1.3578982474458767E-2</v>
      </c>
    </row>
    <row r="105" spans="2:8" x14ac:dyDescent="0.25">
      <c r="B105" s="85">
        <v>45243</v>
      </c>
      <c r="C105" s="86">
        <v>681.54998799999998</v>
      </c>
      <c r="D105" s="31">
        <f t="shared" si="2"/>
        <v>4.684740121675568E-2</v>
      </c>
      <c r="F105" s="89">
        <v>44935</v>
      </c>
      <c r="G105" s="90">
        <v>17956.599609000001</v>
      </c>
      <c r="H105" s="31">
        <f t="shared" si="3"/>
        <v>5.4397192661825855E-3</v>
      </c>
    </row>
    <row r="106" spans="2:8" x14ac:dyDescent="0.25">
      <c r="B106" s="85">
        <v>45250</v>
      </c>
      <c r="C106" s="86">
        <v>673.70001200000002</v>
      </c>
      <c r="D106" s="31">
        <f t="shared" si="2"/>
        <v>-1.1517828681995357E-2</v>
      </c>
      <c r="F106" s="89">
        <v>44942</v>
      </c>
      <c r="G106" s="90">
        <v>18027.650390999999</v>
      </c>
      <c r="H106" s="31">
        <f t="shared" si="3"/>
        <v>3.9568060516528281E-3</v>
      </c>
    </row>
    <row r="107" spans="2:8" x14ac:dyDescent="0.25">
      <c r="B107" s="85">
        <v>45257</v>
      </c>
      <c r="C107" s="86">
        <v>705.45001200000002</v>
      </c>
      <c r="D107" s="31">
        <f t="shared" si="2"/>
        <v>4.7127800852703627E-2</v>
      </c>
      <c r="F107" s="89">
        <v>44949</v>
      </c>
      <c r="G107" s="90">
        <v>17604.349609000001</v>
      </c>
      <c r="H107" s="31">
        <f t="shared" si="3"/>
        <v>-2.3480640727941093E-2</v>
      </c>
    </row>
    <row r="108" spans="2:8" x14ac:dyDescent="0.25">
      <c r="B108" s="85">
        <v>45264</v>
      </c>
      <c r="C108" s="86">
        <v>714.54998799999998</v>
      </c>
      <c r="D108" s="31">
        <f t="shared" si="2"/>
        <v>1.2899533411589115E-2</v>
      </c>
      <c r="F108" s="89">
        <v>44956</v>
      </c>
      <c r="G108" s="90">
        <v>17854.050781000002</v>
      </c>
      <c r="H108" s="31">
        <f t="shared" si="3"/>
        <v>1.4184061186352848E-2</v>
      </c>
    </row>
    <row r="109" spans="2:8" x14ac:dyDescent="0.25">
      <c r="B109" s="85">
        <v>45271</v>
      </c>
      <c r="C109" s="86">
        <v>732.40002400000003</v>
      </c>
      <c r="D109" s="31">
        <f t="shared" si="2"/>
        <v>2.4980807920746972E-2</v>
      </c>
      <c r="F109" s="89">
        <v>44963</v>
      </c>
      <c r="G109" s="90">
        <v>17856.5</v>
      </c>
      <c r="H109" s="31">
        <f t="shared" si="3"/>
        <v>1.371800175793414E-4</v>
      </c>
    </row>
    <row r="110" spans="2:8" x14ac:dyDescent="0.25">
      <c r="B110" s="85">
        <v>45278</v>
      </c>
      <c r="C110" s="86">
        <v>724.70001200000002</v>
      </c>
      <c r="D110" s="31">
        <f t="shared" si="2"/>
        <v>-1.051339670627871E-2</v>
      </c>
      <c r="F110" s="89">
        <v>44970</v>
      </c>
      <c r="G110" s="90">
        <v>17944.199218999998</v>
      </c>
      <c r="H110" s="31">
        <f t="shared" si="3"/>
        <v>4.9113330719905424E-3</v>
      </c>
    </row>
    <row r="111" spans="2:8" x14ac:dyDescent="0.25">
      <c r="B111" s="85">
        <v>45285</v>
      </c>
      <c r="C111" s="86">
        <v>719.54998799999998</v>
      </c>
      <c r="D111" s="31">
        <f t="shared" si="2"/>
        <v>-7.1064218500386245E-3</v>
      </c>
      <c r="F111" s="89">
        <v>44977</v>
      </c>
      <c r="G111" s="90">
        <v>17826.699218999998</v>
      </c>
      <c r="H111" s="31">
        <f t="shared" si="3"/>
        <v>-6.5480771009043259E-3</v>
      </c>
    </row>
  </sheetData>
  <mergeCells count="4">
    <mergeCell ref="B2:D2"/>
    <mergeCell ref="B4:D4"/>
    <mergeCell ref="F4:H4"/>
    <mergeCell ref="T4:V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7FDF8-552C-4879-AF76-1AFA56123133}">
  <sheetPr>
    <tabColor rgb="FF002060"/>
  </sheetPr>
  <dimension ref="A2:L42"/>
  <sheetViews>
    <sheetView showGridLines="0" topLeftCell="A11" workbookViewId="0">
      <selection activeCell="B2" sqref="B2:L2"/>
    </sheetView>
  </sheetViews>
  <sheetFormatPr defaultRowHeight="15" x14ac:dyDescent="0.25"/>
  <cols>
    <col min="1" max="1" width="2.28515625" customWidth="1"/>
    <col min="2" max="2" width="23.7109375" bestFit="1" customWidth="1"/>
  </cols>
  <sheetData>
    <row r="2" spans="1:12" x14ac:dyDescent="0.25">
      <c r="B2" s="165" t="str">
        <f>"Common Size Income Statement   "&amp;" -" &amp;'Data Sheet'!$B$1</f>
        <v>Common Size Income Statement    -ASIAN PAINTS LTD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4" spans="1:12" x14ac:dyDescent="0.25">
      <c r="A4" t="s">
        <v>60</v>
      </c>
      <c r="B4" s="21" t="s">
        <v>318</v>
      </c>
      <c r="C4" s="22">
        <f>'Data Sheet'!B$16</f>
        <v>42094</v>
      </c>
      <c r="D4" s="22">
        <f>'Data Sheet'!C$16</f>
        <v>42460</v>
      </c>
      <c r="E4" s="22">
        <f>'Data Sheet'!D$16</f>
        <v>42825</v>
      </c>
      <c r="F4" s="22">
        <f>'Data Sheet'!E$16</f>
        <v>43190</v>
      </c>
      <c r="G4" s="22">
        <f>'Data Sheet'!F$16</f>
        <v>43555</v>
      </c>
      <c r="H4" s="22">
        <f>'Data Sheet'!G$16</f>
        <v>43921</v>
      </c>
      <c r="I4" s="22">
        <f>'Data Sheet'!H$16</f>
        <v>44286</v>
      </c>
      <c r="J4" s="22">
        <f>'Data Sheet'!I$16</f>
        <v>44651</v>
      </c>
      <c r="K4" s="22">
        <f>'Data Sheet'!J$16</f>
        <v>45016</v>
      </c>
      <c r="L4" s="22">
        <f>'Data Sheet'!K$16</f>
        <v>45382</v>
      </c>
    </row>
    <row r="6" spans="1:12" x14ac:dyDescent="0.25">
      <c r="B6" s="126" t="str">
        <f>'Data Sheet'!A17</f>
        <v>Sales</v>
      </c>
      <c r="C6" s="127">
        <f>IFERROR('Data Sheet'!B17/'Data Sheet'!B$17,0)</f>
        <v>1</v>
      </c>
      <c r="D6" s="127">
        <f>IFERROR('Data Sheet'!C17/'Data Sheet'!C$17,0)</f>
        <v>1</v>
      </c>
      <c r="E6" s="127">
        <f>IFERROR('Data Sheet'!D17/'Data Sheet'!D$17,0)</f>
        <v>1</v>
      </c>
      <c r="F6" s="127">
        <f>IFERROR('Data Sheet'!E17/'Data Sheet'!E$17,0)</f>
        <v>1</v>
      </c>
      <c r="G6" s="127">
        <f>IFERROR('Data Sheet'!F17/'Data Sheet'!F$17,0)</f>
        <v>1</v>
      </c>
      <c r="H6" s="127">
        <f>IFERROR('Data Sheet'!G17/'Data Sheet'!G$17,0)</f>
        <v>1</v>
      </c>
      <c r="I6" s="127">
        <f>IFERROR('Data Sheet'!H17/'Data Sheet'!H$17,0)</f>
        <v>1</v>
      </c>
      <c r="J6" s="127">
        <f>IFERROR('Data Sheet'!I17/'Data Sheet'!I$17,0)</f>
        <v>1</v>
      </c>
      <c r="K6" s="127">
        <f>IFERROR('Data Sheet'!J17/'Data Sheet'!J$17,0)</f>
        <v>1</v>
      </c>
      <c r="L6" s="127">
        <f>IFERROR('Data Sheet'!K17/'Data Sheet'!K$17,0)</f>
        <v>1</v>
      </c>
    </row>
    <row r="7" spans="1:12" x14ac:dyDescent="0.25">
      <c r="B7" s="125" t="str">
        <f>'Data Sheet'!A18</f>
        <v>Raw Material Cost</v>
      </c>
      <c r="C7" s="31">
        <f>IFERROR('Data Sheet'!B18/'Data Sheet'!B$17,0)</f>
        <v>0.50493563839397848</v>
      </c>
      <c r="D7" s="31">
        <f>IFERROR('Data Sheet'!C18/'Data Sheet'!C$17,0)</f>
        <v>0.46034646697716919</v>
      </c>
      <c r="E7" s="31">
        <f>IFERROR('Data Sheet'!D18/'Data Sheet'!D$17,0)</f>
        <v>0.4947951764673858</v>
      </c>
      <c r="F7" s="31">
        <f>IFERROR('Data Sheet'!E18/'Data Sheet'!E$17,0)</f>
        <v>0.48311366425847946</v>
      </c>
      <c r="G7" s="31">
        <f>IFERROR('Data Sheet'!F18/'Data Sheet'!F$17,0)</f>
        <v>0.51841645560606919</v>
      </c>
      <c r="H7" s="31">
        <f>IFERROR('Data Sheet'!G18/'Data Sheet'!G$17,0)</f>
        <v>0.4938828622673016</v>
      </c>
      <c r="I7" s="31">
        <f>IFERROR('Data Sheet'!H18/'Data Sheet'!H$17,0)</f>
        <v>0.48015708713619937</v>
      </c>
      <c r="J7" s="31">
        <f>IFERROR('Data Sheet'!I18/'Data Sheet'!I$17,0)</f>
        <v>0.58840195345359381</v>
      </c>
      <c r="K7" s="31">
        <f>IFERROR('Data Sheet'!J18/'Data Sheet'!J$17,0)</f>
        <v>0.55048727709657019</v>
      </c>
      <c r="L7" s="31">
        <f>IFERROR('Data Sheet'!K18/'Data Sheet'!K$17,0)</f>
        <v>0.49051901507632256</v>
      </c>
    </row>
    <row r="8" spans="1:12" x14ac:dyDescent="0.25">
      <c r="B8" s="125" t="str">
        <f>'Data Sheet'!A19</f>
        <v>Change in Inventory</v>
      </c>
      <c r="C8" s="31">
        <f>IFERROR('Data Sheet'!B19/'Data Sheet'!B$17,0)</f>
        <v>1.0875297276732136E-2</v>
      </c>
      <c r="D8" s="31">
        <f>IFERROR('Data Sheet'!C19/'Data Sheet'!C$17,0)</f>
        <v>-1.3967006948818941E-2</v>
      </c>
      <c r="E8" s="31">
        <f>IFERROR('Data Sheet'!D19/'Data Sheet'!D$17,0)</f>
        <v>3.5094964211236368E-2</v>
      </c>
      <c r="F8" s="31">
        <f>IFERROR('Data Sheet'!E19/'Data Sheet'!E$17,0)</f>
        <v>-8.4477742346749252E-3</v>
      </c>
      <c r="G8" s="31">
        <f>IFERROR('Data Sheet'!F19/'Data Sheet'!F$17,0)</f>
        <v>1.5242100755036478E-2</v>
      </c>
      <c r="H8" s="31">
        <f>IFERROR('Data Sheet'!G19/'Data Sheet'!G$17,0)</f>
        <v>1.1832519017873709E-2</v>
      </c>
      <c r="I8" s="31">
        <f>IFERROR('Data Sheet'!H19/'Data Sheet'!H$17,0)</f>
        <v>4.2578590775298802E-3</v>
      </c>
      <c r="J8" s="31">
        <f>IFERROR('Data Sheet'!I19/'Data Sheet'!I$17,0)</f>
        <v>4.5529612443164016E-2</v>
      </c>
      <c r="K8" s="31">
        <f>IFERROR('Data Sheet'!J19/'Data Sheet'!J$17,0)</f>
        <v>8.9806512820616927E-3</v>
      </c>
      <c r="L8" s="31">
        <f>IFERROR('Data Sheet'!K19/'Data Sheet'!K$17,0)</f>
        <v>-1.0249408855906214E-2</v>
      </c>
    </row>
    <row r="9" spans="1:12" x14ac:dyDescent="0.25">
      <c r="B9" s="125" t="str">
        <f>'Data Sheet'!A20</f>
        <v>Power and Fuel</v>
      </c>
      <c r="C9" s="31">
        <f>IFERROR('Data Sheet'!B20/'Data Sheet'!B$17,0)</f>
        <v>9.5980539482903738E-3</v>
      </c>
      <c r="D9" s="31">
        <f>IFERROR('Data Sheet'!C20/'Data Sheet'!C$17,0)</f>
        <v>8.021587094269764E-3</v>
      </c>
      <c r="E9" s="31">
        <f>IFERROR('Data Sheet'!D20/'Data Sheet'!D$17,0)</f>
        <v>7.0389105290867941E-3</v>
      </c>
      <c r="F9" s="31">
        <f>IFERROR('Data Sheet'!E20/'Data Sheet'!E$17,0)</f>
        <v>6.5558959972183504E-3</v>
      </c>
      <c r="G9" s="31">
        <f>IFERROR('Data Sheet'!F20/'Data Sheet'!F$17,0)</f>
        <v>6.2177334560629266E-3</v>
      </c>
      <c r="H9" s="31">
        <f>IFERROR('Data Sheet'!G20/'Data Sheet'!G$17,0)</f>
        <v>4.8383944585317588E-3</v>
      </c>
      <c r="I9" s="31">
        <f>IFERROR('Data Sheet'!H20/'Data Sheet'!H$17,0)</f>
        <v>3.9631019320870327E-3</v>
      </c>
      <c r="J9" s="31">
        <f>IFERROR('Data Sheet'!I20/'Data Sheet'!I$17,0)</f>
        <v>4.0283451449558234E-3</v>
      </c>
      <c r="K9" s="31">
        <f>IFERROR('Data Sheet'!J20/'Data Sheet'!J$17,0)</f>
        <v>4.0097319142359837E-3</v>
      </c>
      <c r="L9" s="31">
        <f>IFERROR('Data Sheet'!K20/'Data Sheet'!K$17,0)</f>
        <v>3.7540784223460775E-3</v>
      </c>
    </row>
    <row r="10" spans="1:12" x14ac:dyDescent="0.25">
      <c r="B10" s="125" t="str">
        <f>'Data Sheet'!A21</f>
        <v>Other Mfr. Exp</v>
      </c>
      <c r="C10" s="31">
        <f>IFERROR('Data Sheet'!B21/'Data Sheet'!B$17,0)</f>
        <v>0.11049880795519146</v>
      </c>
      <c r="D10" s="31">
        <f>IFERROR('Data Sheet'!C21/'Data Sheet'!C$17,0)</f>
        <v>0.10757250994815538</v>
      </c>
      <c r="E10" s="31">
        <f>IFERROR('Data Sheet'!D21/'Data Sheet'!D$17,0)</f>
        <v>0.11039377930804628</v>
      </c>
      <c r="F10" s="31">
        <f>IFERROR('Data Sheet'!E21/'Data Sheet'!E$17,0)</f>
        <v>0.10054830589822611</v>
      </c>
      <c r="G10" s="31">
        <f>IFERROR('Data Sheet'!F21/'Data Sheet'!F$17,0)</f>
        <v>9.679508402490003E-2</v>
      </c>
      <c r="H10" s="31">
        <f>IFERROR('Data Sheet'!G21/'Data Sheet'!G$17,0)</f>
        <v>9.6288947986888487E-2</v>
      </c>
      <c r="I10" s="31">
        <f>IFERROR('Data Sheet'!H21/'Data Sheet'!H$17,0)</f>
        <v>9.5257679920452407E-2</v>
      </c>
      <c r="J10" s="31">
        <f>IFERROR('Data Sheet'!I21/'Data Sheet'!I$17,0)</f>
        <v>9.8980182315004703E-2</v>
      </c>
      <c r="K10" s="31">
        <f>IFERROR('Data Sheet'!J21/'Data Sheet'!J$17,0)</f>
        <v>8.455550081925646E-2</v>
      </c>
      <c r="L10" s="31">
        <f>IFERROR('Data Sheet'!K21/'Data Sheet'!K$17,0)</f>
        <v>7.796030565664254E-2</v>
      </c>
    </row>
    <row r="11" spans="1:12" x14ac:dyDescent="0.25">
      <c r="B11" s="125" t="str">
        <f>'Data Sheet'!A22</f>
        <v>Employee Cost</v>
      </c>
      <c r="C11" s="31">
        <f>IFERROR('Data Sheet'!B22/'Data Sheet'!B$17,0)</f>
        <v>6.8809556336052347E-2</v>
      </c>
      <c r="D11" s="31">
        <f>IFERROR('Data Sheet'!C22/'Data Sheet'!C$17,0)</f>
        <v>6.9718018230752368E-2</v>
      </c>
      <c r="E11" s="31">
        <f>IFERROR('Data Sheet'!D22/'Data Sheet'!D$17,0)</f>
        <v>6.9040677891832367E-2</v>
      </c>
      <c r="F11" s="31">
        <f>IFERROR('Data Sheet'!E22/'Data Sheet'!E$17,0)</f>
        <v>6.6681724028280112E-2</v>
      </c>
      <c r="G11" s="31">
        <f>IFERROR('Data Sheet'!F22/'Data Sheet'!F$17,0)</f>
        <v>6.4588440930492666E-2</v>
      </c>
      <c r="H11" s="31">
        <f>IFERROR('Data Sheet'!G22/'Data Sheet'!G$17,0)</f>
        <v>6.7846867462428101E-2</v>
      </c>
      <c r="I11" s="31">
        <f>IFERROR('Data Sheet'!H22/'Data Sheet'!H$17,0)</f>
        <v>7.1276422790438249E-2</v>
      </c>
      <c r="J11" s="31">
        <f>IFERROR('Data Sheet'!I22/'Data Sheet'!I$17,0)</f>
        <v>6.1667734202756716E-2</v>
      </c>
      <c r="K11" s="31">
        <f>IFERROR('Data Sheet'!J22/'Data Sheet'!J$17,0)</f>
        <v>5.9045904747048232E-2</v>
      </c>
      <c r="L11" s="31">
        <f>IFERROR('Data Sheet'!K22/'Data Sheet'!K$17,0)</f>
        <v>6.5782159774141119E-2</v>
      </c>
    </row>
    <row r="12" spans="1:12" x14ac:dyDescent="0.25">
      <c r="B12" s="125" t="str">
        <f>'Data Sheet'!A23</f>
        <v>Selling and admin</v>
      </c>
      <c r="C12" s="31">
        <f>IFERROR('Data Sheet'!B23/'Data Sheet'!B$17,0)</f>
        <v>0.24616937171967335</v>
      </c>
      <c r="D12" s="31">
        <f>IFERROR('Data Sheet'!C23/'Data Sheet'!C$17,0)</f>
        <v>0.27413395517917194</v>
      </c>
      <c r="E12" s="31">
        <f>IFERROR('Data Sheet'!D23/'Data Sheet'!D$17,0)</f>
        <v>0.28973860691714709</v>
      </c>
      <c r="F12" s="31">
        <f>IFERROR('Data Sheet'!E23/'Data Sheet'!E$17,0)</f>
        <v>0.13402557572119314</v>
      </c>
      <c r="G12" s="31">
        <f>IFERROR('Data Sheet'!F23/'Data Sheet'!F$17,0)</f>
        <v>0.12301736006981241</v>
      </c>
      <c r="H12" s="31">
        <f>IFERROR('Data Sheet'!G23/'Data Sheet'!G$17,0)</f>
        <v>0.11436749335147506</v>
      </c>
      <c r="I12" s="31">
        <f>IFERROR('Data Sheet'!H23/'Data Sheet'!H$17,0)</f>
        <v>0.10342705842961683</v>
      </c>
      <c r="J12" s="31">
        <f>IFERROR('Data Sheet'!I23/'Data Sheet'!I$17,0)</f>
        <v>0.10109452230279906</v>
      </c>
      <c r="K12" s="31">
        <f>IFERROR('Data Sheet'!J23/'Data Sheet'!J$17,0)</f>
        <v>0.10150719411840266</v>
      </c>
      <c r="L12" s="31">
        <f>IFERROR('Data Sheet'!K23/'Data Sheet'!K$17,0)</f>
        <v>0.10739228048783579</v>
      </c>
    </row>
    <row r="13" spans="1:12" x14ac:dyDescent="0.25">
      <c r="B13" s="125" t="str">
        <f>'Data Sheet'!A24</f>
        <v>Other Expenses</v>
      </c>
      <c r="C13" s="31">
        <f>IFERROR('Data Sheet'!B24/'Data Sheet'!B$17,0)</f>
        <v>-9.3869672705478996E-2</v>
      </c>
      <c r="D13" s="31">
        <f>IFERROR('Data Sheet'!C24/'Data Sheet'!C$17,0)</f>
        <v>-0.12470246624564078</v>
      </c>
      <c r="E13" s="31">
        <f>IFERROR('Data Sheet'!D24/'Data Sheet'!D$17,0)</f>
        <v>-0.13467476741121193</v>
      </c>
      <c r="F13" s="31">
        <f>IFERROR('Data Sheet'!E24/'Data Sheet'!E$17,0)</f>
        <v>1.0190465718251008E-2</v>
      </c>
      <c r="G13" s="31">
        <f>IFERROR('Data Sheet'!F24/'Data Sheet'!F$17,0)</f>
        <v>1.0525396657922789E-2</v>
      </c>
      <c r="H13" s="31">
        <f>IFERROR('Data Sheet'!G24/'Data Sheet'!G$17,0)</f>
        <v>2.8939328344362667E-2</v>
      </c>
      <c r="I13" s="31">
        <f>IFERROR('Data Sheet'!H24/'Data Sheet'!H$17,0)</f>
        <v>2.6547947085565692E-2</v>
      </c>
      <c r="J13" s="31">
        <f>IFERROR('Data Sheet'!I24/'Data Sheet'!I$17,0)</f>
        <v>2.6291627034962038E-2</v>
      </c>
      <c r="K13" s="31">
        <f>IFERROR('Data Sheet'!J24/'Data Sheet'!J$17,0)</f>
        <v>2.7870376840572496E-2</v>
      </c>
      <c r="L13" s="31">
        <f>IFERROR('Data Sheet'!K24/'Data Sheet'!K$17,0)</f>
        <v>3.0649620380264902E-2</v>
      </c>
    </row>
    <row r="14" spans="1:12" x14ac:dyDescent="0.25">
      <c r="B14" s="125" t="str">
        <f>'Data Sheet'!A25</f>
        <v>Other Income</v>
      </c>
      <c r="C14" s="31">
        <f>IFERROR('Data Sheet'!B25/'Data Sheet'!B$17,0)</f>
        <v>1.0439756567263496E-2</v>
      </c>
      <c r="D14" s="31">
        <f>IFERROR('Data Sheet'!C25/'Data Sheet'!C$17,0)</f>
        <v>1.4952187893485543E-2</v>
      </c>
      <c r="E14" s="31">
        <f>IFERROR('Data Sheet'!D25/'Data Sheet'!D$17,0)</f>
        <v>2.2433954610247383E-2</v>
      </c>
      <c r="F14" s="31">
        <f>IFERROR('Data Sheet'!E25/'Data Sheet'!E$17,0)</f>
        <v>1.9995185606747286E-2</v>
      </c>
      <c r="G14" s="31">
        <f>IFERROR('Data Sheet'!F25/'Data Sheet'!F$17,0)</f>
        <v>1.422911383654892E-2</v>
      </c>
      <c r="H14" s="31">
        <f>IFERROR('Data Sheet'!G25/'Data Sheet'!G$17,0)</f>
        <v>1.7566949100129878E-2</v>
      </c>
      <c r="I14" s="31">
        <f>IFERROR('Data Sheet'!H25/'Data Sheet'!H$17,0)</f>
        <v>1.5274407388456295E-2</v>
      </c>
      <c r="J14" s="31">
        <f>IFERROR('Data Sheet'!I25/'Data Sheet'!I$17,0)</f>
        <v>1.0167250375241226E-2</v>
      </c>
      <c r="K14" s="31">
        <f>IFERROR('Data Sheet'!J25/'Data Sheet'!J$17,0)</f>
        <v>1.2510224395952401E-2</v>
      </c>
      <c r="L14" s="31">
        <f>IFERROR('Data Sheet'!K25/'Data Sheet'!K$17,0)</f>
        <v>2.3129067329149988E-2</v>
      </c>
    </row>
    <row r="15" spans="1:12" x14ac:dyDescent="0.25">
      <c r="B15" s="125" t="str">
        <f>'Data Sheet'!A26</f>
        <v>Depreciation</v>
      </c>
      <c r="C15" s="31">
        <f>IFERROR('Data Sheet'!B26/'Data Sheet'!B$17,0)</f>
        <v>1.953102621617215E-2</v>
      </c>
      <c r="D15" s="31">
        <f>IFERROR('Data Sheet'!C26/'Data Sheet'!C$17,0)</f>
        <v>1.9309826794539322E-2</v>
      </c>
      <c r="E15" s="31">
        <f>IFERROR('Data Sheet'!D26/'Data Sheet'!D$17,0)</f>
        <v>2.2227474590011016E-2</v>
      </c>
      <c r="F15" s="31">
        <f>IFERROR('Data Sheet'!E26/'Data Sheet'!E$17,0)</f>
        <v>2.1425238713665449E-2</v>
      </c>
      <c r="G15" s="31">
        <f>IFERROR('Data Sheet'!F26/'Data Sheet'!F$17,0)</f>
        <v>3.2335540352378074E-2</v>
      </c>
      <c r="H15" s="31">
        <f>IFERROR('Data Sheet'!G26/'Data Sheet'!G$17,0)</f>
        <v>3.8617106809326486E-2</v>
      </c>
      <c r="I15" s="31">
        <f>IFERROR('Data Sheet'!H26/'Data Sheet'!H$17,0)</f>
        <v>3.6442576011650275E-2</v>
      </c>
      <c r="J15" s="31">
        <f>IFERROR('Data Sheet'!I26/'Data Sheet'!I$17,0)</f>
        <v>2.8052374328551871E-2</v>
      </c>
      <c r="K15" s="31">
        <f>IFERROR('Data Sheet'!J26/'Data Sheet'!J$17,0)</f>
        <v>2.4878372818372688E-2</v>
      </c>
      <c r="L15" s="31">
        <f>IFERROR('Data Sheet'!K26/'Data Sheet'!K$17,0)</f>
        <v>2.4031736542297968E-2</v>
      </c>
    </row>
    <row r="16" spans="1:12" x14ac:dyDescent="0.25">
      <c r="B16" s="125" t="str">
        <f>'Data Sheet'!A27</f>
        <v>Interest</v>
      </c>
      <c r="C16" s="31">
        <f>IFERROR('Data Sheet'!B27/'Data Sheet'!B$17,0)</f>
        <v>3.1024012762150706E-3</v>
      </c>
      <c r="D16" s="31">
        <f>IFERROR('Data Sheet'!C27/'Data Sheet'!C$17,0)</f>
        <v>3.4334186549547386E-3</v>
      </c>
      <c r="E16" s="31">
        <f>IFERROR('Data Sheet'!D27/'Data Sheet'!D$17,0)</f>
        <v>2.4784241657310885E-3</v>
      </c>
      <c r="F16" s="31">
        <f>IFERROR('Data Sheet'!E27/'Data Sheet'!E$17,0)</f>
        <v>2.4648504714836358E-3</v>
      </c>
      <c r="G16" s="31">
        <f>IFERROR('Data Sheet'!F27/'Data Sheet'!F$17,0)</f>
        <v>5.7416451967840128E-3</v>
      </c>
      <c r="H16" s="31">
        <f>IFERROR('Data Sheet'!G27/'Data Sheet'!G$17,0)</f>
        <v>5.0630218319005502E-3</v>
      </c>
      <c r="I16" s="31">
        <f>IFERROR('Data Sheet'!H27/'Data Sheet'!H$17,0)</f>
        <v>4.2200933182700148E-3</v>
      </c>
      <c r="J16" s="31">
        <f>IFERROR('Data Sheet'!I27/'Data Sheet'!I$17,0)</f>
        <v>3.2785499469439143E-3</v>
      </c>
      <c r="K16" s="31">
        <f>IFERROR('Data Sheet'!J27/'Data Sheet'!J$17,0)</f>
        <v>4.1883417095335005E-3</v>
      </c>
      <c r="L16" s="31">
        <f>IFERROR('Data Sheet'!K27/'Data Sheet'!K$17,0)</f>
        <v>5.7802947085384216E-3</v>
      </c>
    </row>
    <row r="17" spans="1:12" x14ac:dyDescent="0.25">
      <c r="B17" s="125" t="str">
        <f>'Data Sheet'!A28</f>
        <v>Profit before tax</v>
      </c>
      <c r="C17" s="31">
        <f>IFERROR('Data Sheet'!B28/'Data Sheet'!B$17,0)</f>
        <v>0.15253987070390135</v>
      </c>
      <c r="D17" s="31">
        <f>IFERROR('Data Sheet'!C28/'Data Sheet'!C$17,0)</f>
        <v>0.18315186431129477</v>
      </c>
      <c r="E17" s="31">
        <f>IFERROR('Data Sheet'!D28/'Data Sheet'!D$17,0)</f>
        <v>0.19649063636345529</v>
      </c>
      <c r="F17" s="31">
        <f>IFERROR('Data Sheet'!E28/'Data Sheet'!E$17,0)</f>
        <v>0.18654169056527517</v>
      </c>
      <c r="G17" s="31">
        <f>IFERROR('Data Sheet'!F28/'Data Sheet'!F$17,0)</f>
        <v>0.17183355829716326</v>
      </c>
      <c r="H17" s="31">
        <f>IFERROR('Data Sheet'!G28/'Data Sheet'!G$17,0)</f>
        <v>0.17955544560578884</v>
      </c>
      <c r="I17" s="31">
        <f>IFERROR('Data Sheet'!H28/'Data Sheet'!H$17,0)</f>
        <v>0.19824029984170621</v>
      </c>
      <c r="J17" s="31">
        <f>IFERROR('Data Sheet'!I28/'Data Sheet'!I$17,0)</f>
        <v>0.14390157408883733</v>
      </c>
      <c r="K17" s="31">
        <f>IFERROR('Data Sheet'!J28/'Data Sheet'!J$17,0)</f>
        <v>0.16494817561402192</v>
      </c>
      <c r="L17" s="31">
        <f>IFERROR('Data Sheet'!K28/'Data Sheet'!K$17,0)</f>
        <v>0.20701016742485434</v>
      </c>
    </row>
    <row r="18" spans="1:12" x14ac:dyDescent="0.25">
      <c r="B18" s="125" t="str">
        <f>'Data Sheet'!A29</f>
        <v>Tax</v>
      </c>
      <c r="C18" s="31">
        <f>IFERROR('Data Sheet'!B29/'Data Sheet'!B$17,0)</f>
        <v>4.7706764321797747E-2</v>
      </c>
      <c r="D18" s="31">
        <f>IFERROR('Data Sheet'!C29/'Data Sheet'!C$17,0)</f>
        <v>5.9173218773933209E-2</v>
      </c>
      <c r="E18" s="31">
        <f>IFERROR('Data Sheet'!D29/'Data Sheet'!D$17,0)</f>
        <v>6.2627182729506528E-2</v>
      </c>
      <c r="F18" s="31">
        <f>IFERROR('Data Sheet'!E29/'Data Sheet'!E$17,0)</f>
        <v>6.1871491362324706E-2</v>
      </c>
      <c r="G18" s="31">
        <f>IFERROR('Data Sheet'!F29/'Data Sheet'!F$17,0)</f>
        <v>5.7071339954563712E-2</v>
      </c>
      <c r="H18" s="31">
        <f>IFERROR('Data Sheet'!G29/'Data Sheet'!G$17,0)</f>
        <v>4.2295751128703075E-2</v>
      </c>
      <c r="I18" s="31">
        <f>IFERROR('Data Sheet'!H29/'Data Sheet'!H$17,0)</f>
        <v>5.05508504434483E-2</v>
      </c>
      <c r="J18" s="31">
        <f>IFERROR('Data Sheet'!I29/'Data Sheet'!I$17,0)</f>
        <v>3.7899020249281136E-2</v>
      </c>
      <c r="K18" s="31">
        <f>IFERROR('Data Sheet'!J29/'Data Sheet'!J$17,0)</f>
        <v>4.3304176830656176E-2</v>
      </c>
      <c r="L18" s="31">
        <f>IFERROR('Data Sheet'!K29/'Data Sheet'!K$17,0)</f>
        <v>5.0432275439198995E-2</v>
      </c>
    </row>
    <row r="19" spans="1:12" x14ac:dyDescent="0.25">
      <c r="B19" s="125" t="str">
        <f>'Data Sheet'!A30</f>
        <v>Net profit</v>
      </c>
      <c r="C19" s="31">
        <f>IFERROR('Data Sheet'!B30/'Data Sheet'!B$17,0)</f>
        <v>0.10246958192498712</v>
      </c>
      <c r="D19" s="31">
        <f>IFERROR('Data Sheet'!C30/'Data Sheet'!C$17,0)</f>
        <v>0.12228295714042473</v>
      </c>
      <c r="E19" s="31">
        <f>IFERROR('Data Sheet'!D30/'Data Sheet'!D$17,0)</f>
        <v>0.12876319795724203</v>
      </c>
      <c r="F19" s="31">
        <f>IFERROR('Data Sheet'!E30/'Data Sheet'!E$17,0)</f>
        <v>0.12118778808348515</v>
      </c>
      <c r="G19" s="31">
        <f>IFERROR('Data Sheet'!F30/'Data Sheet'!F$17,0)</f>
        <v>0.11205329693718286</v>
      </c>
      <c r="H19" s="31">
        <f>IFERROR('Data Sheet'!G30/'Data Sheet'!G$17,0)</f>
        <v>0.13384476467313997</v>
      </c>
      <c r="I19" s="31">
        <f>IFERROR('Data Sheet'!H30/'Data Sheet'!H$17,0)</f>
        <v>0.14458252486207437</v>
      </c>
      <c r="J19" s="31">
        <f>IFERROR('Data Sheet'!I30/'Data Sheet'!I$17,0)</f>
        <v>0.10413871829692715</v>
      </c>
      <c r="K19" s="31">
        <f>IFERROR('Data Sheet'!J30/'Data Sheet'!J$17,0)</f>
        <v>0.11906691459407301</v>
      </c>
      <c r="L19" s="31">
        <f>IFERROR('Data Sheet'!K30/'Data Sheet'!K$17,0)</f>
        <v>0.15383213226301479</v>
      </c>
    </row>
    <row r="20" spans="1:12" x14ac:dyDescent="0.25">
      <c r="B20" s="125" t="str">
        <f>'Data Sheet'!A31</f>
        <v>Dividend Amount</v>
      </c>
      <c r="C20" s="31">
        <f>IFERROR('Data Sheet'!B31/'Data Sheet'!B$17,0)</f>
        <v>4.2974574117571017E-2</v>
      </c>
      <c r="D20" s="31">
        <f>IFERROR('Data Sheet'!C31/'Data Sheet'!C$17,0)</f>
        <v>5.0408191436213036E-2</v>
      </c>
      <c r="E20" s="31">
        <f>IFERROR('Data Sheet'!D31/'Data Sheet'!D$17,0)</f>
        <v>6.559425414570054E-2</v>
      </c>
      <c r="F20" s="31">
        <f>IFERROR('Data Sheet'!E31/'Data Sheet'!E$17,0)</f>
        <v>4.9600137893732674E-2</v>
      </c>
      <c r="G20" s="31">
        <f>IFERROR('Data Sheet'!F31/'Data Sheet'!F$17,0)</f>
        <v>5.2346839652330827E-2</v>
      </c>
      <c r="H20" s="31">
        <f>IFERROR('Data Sheet'!G31/'Data Sheet'!G$17,0)</f>
        <v>5.6950460758241075E-2</v>
      </c>
      <c r="I20" s="31">
        <f>IFERROR('Data Sheet'!H31/'Data Sheet'!H$17,0)</f>
        <v>7.8855365892637475E-2</v>
      </c>
      <c r="J20" s="31">
        <f>IFERROR('Data Sheet'!I31/'Data Sheet'!I$17,0)</f>
        <v>6.3119904004222488E-2</v>
      </c>
      <c r="K20" s="31">
        <f>IFERROR('Data Sheet'!J31/'Data Sheet'!J$17,0)</f>
        <v>7.1338086016273797E-2</v>
      </c>
      <c r="L20" s="31">
        <f>IFERROR('Data Sheet'!K31/'Data Sheet'!K$17,0)</f>
        <v>8.998913359814259E-2</v>
      </c>
    </row>
    <row r="21" spans="1:12" x14ac:dyDescent="0.25">
      <c r="B21" s="125" t="str">
        <f>'Data Sheet'!A34</f>
        <v>EBITDA</v>
      </c>
      <c r="C21" s="31">
        <f>IFERROR('Data Sheet'!B34/'Data Sheet'!B17,0)</f>
        <v>0.17517329819628855</v>
      </c>
      <c r="D21" s="31">
        <f>IFERROR('Data Sheet'!C34/'Data Sheet'!C17,0)</f>
        <v>0.20589510976078881</v>
      </c>
      <c r="E21" s="31">
        <f>IFERROR('Data Sheet'!D34/'Data Sheet'!D17,0)</f>
        <v>0.2211965351191974</v>
      </c>
      <c r="F21" s="31">
        <f>IFERROR('Data Sheet'!E34/'Data Sheet'!E17,0)</f>
        <v>0.21043177975042421</v>
      </c>
      <c r="G21" s="31">
        <f>IFERROR('Data Sheet'!F34/'Data Sheet'!F17,0)</f>
        <v>0.20991074384632533</v>
      </c>
      <c r="H21" s="31">
        <f>IFERROR('Data Sheet'!G34/'Data Sheet'!G17,0)</f>
        <v>0.2232355742470159</v>
      </c>
      <c r="I21" s="31">
        <f>IFERROR('Data Sheet'!H34/'Data Sheet'!H17,0)</f>
        <v>0.23890296917162651</v>
      </c>
      <c r="J21" s="31">
        <f>IFERROR('Data Sheet'!I34/'Data Sheet'!I17,0)</f>
        <v>0.17523249836433311</v>
      </c>
      <c r="K21" s="31">
        <f>IFERROR('Data Sheet'!J34/'Data Sheet'!J17,0)</f>
        <v>0.19401489014192813</v>
      </c>
      <c r="L21" s="31">
        <f>IFERROR('Data Sheet'!K34/'Data Sheet'!K17,0)</f>
        <v>0.23682219867569071</v>
      </c>
    </row>
    <row r="22" spans="1:12" x14ac:dyDescent="0.25">
      <c r="B22" s="125"/>
      <c r="C22" s="15"/>
    </row>
    <row r="25" spans="1:12" x14ac:dyDescent="0.25">
      <c r="B25" s="165" t="str">
        <f>"Common Size Balance Sheet    "&amp;" -" &amp;'Data Sheet'!$B$1</f>
        <v>Common Size Balance Sheet     -ASIAN PAINTS LTD</v>
      </c>
      <c r="C25" s="165"/>
      <c r="D25" s="165"/>
      <c r="E25" s="165"/>
      <c r="F25" s="165"/>
      <c r="G25" s="165"/>
      <c r="H25" s="165"/>
      <c r="I25" s="165"/>
      <c r="J25" s="165"/>
      <c r="K25" s="165"/>
      <c r="L25" s="165"/>
    </row>
    <row r="27" spans="1:12" x14ac:dyDescent="0.25">
      <c r="A27" t="s">
        <v>60</v>
      </c>
      <c r="B27" s="21" t="s">
        <v>319</v>
      </c>
      <c r="C27" s="22">
        <f>'Data Sheet'!B$16</f>
        <v>42094</v>
      </c>
      <c r="D27" s="22">
        <f>'Data Sheet'!C$16</f>
        <v>42460</v>
      </c>
      <c r="E27" s="22">
        <f>'Data Sheet'!D$16</f>
        <v>42825</v>
      </c>
      <c r="F27" s="22">
        <f>'Data Sheet'!E$16</f>
        <v>43190</v>
      </c>
      <c r="G27" s="22">
        <f>'Data Sheet'!F$16</f>
        <v>43555</v>
      </c>
      <c r="H27" s="22">
        <f>'Data Sheet'!G$16</f>
        <v>43921</v>
      </c>
      <c r="I27" s="22">
        <f>'Data Sheet'!H$16</f>
        <v>44286</v>
      </c>
      <c r="J27" s="22">
        <f>'Data Sheet'!I$16</f>
        <v>44651</v>
      </c>
      <c r="K27" s="22">
        <f>'Data Sheet'!J$16</f>
        <v>45016</v>
      </c>
      <c r="L27" s="22">
        <f>'Data Sheet'!K$16</f>
        <v>45382</v>
      </c>
    </row>
    <row r="28" spans="1:12" x14ac:dyDescent="0.25">
      <c r="B28" s="129"/>
      <c r="C28" s="130"/>
      <c r="D28" s="130"/>
      <c r="E28" s="130"/>
      <c r="F28" s="130"/>
      <c r="G28" s="130"/>
      <c r="H28" s="130"/>
      <c r="I28" s="130"/>
      <c r="J28" s="130"/>
      <c r="K28" s="130"/>
      <c r="L28" s="130"/>
    </row>
    <row r="29" spans="1:12" ht="15.75" thickBot="1" x14ac:dyDescent="0.3">
      <c r="B29" s="128" t="s">
        <v>320</v>
      </c>
      <c r="C29" s="131">
        <f>IFERROR('Data Sheet'!B61/'Data Sheet'!B$61,0)</f>
        <v>1</v>
      </c>
      <c r="D29" s="131">
        <f>IFERROR('Data Sheet'!C61/'Data Sheet'!C$61,0)</f>
        <v>1</v>
      </c>
      <c r="E29" s="131">
        <f>IFERROR('Data Sheet'!D61/'Data Sheet'!D$61,0)</f>
        <v>1</v>
      </c>
      <c r="F29" s="131">
        <f>IFERROR('Data Sheet'!E61/'Data Sheet'!E$61,0)</f>
        <v>1</v>
      </c>
      <c r="G29" s="131">
        <f>IFERROR('Data Sheet'!F61/'Data Sheet'!F$61,0)</f>
        <v>1</v>
      </c>
      <c r="H29" s="131">
        <f>IFERROR('Data Sheet'!G61/'Data Sheet'!G$61,0)</f>
        <v>1</v>
      </c>
      <c r="I29" s="131">
        <f>IFERROR('Data Sheet'!H61/'Data Sheet'!H$61,0)</f>
        <v>1</v>
      </c>
      <c r="J29" s="131">
        <f>IFERROR('Data Sheet'!I61/'Data Sheet'!I$61,0)</f>
        <v>1</v>
      </c>
      <c r="K29" s="131">
        <f>IFERROR('Data Sheet'!J61/'Data Sheet'!J$61,0)</f>
        <v>1</v>
      </c>
      <c r="L29" s="131">
        <f>IFERROR('Data Sheet'!K61/'Data Sheet'!K$61,0)</f>
        <v>1</v>
      </c>
    </row>
    <row r="30" spans="1:12" x14ac:dyDescent="0.25">
      <c r="B30" s="125" t="str">
        <f>'Data Sheet'!A57</f>
        <v>Equity Share Capital</v>
      </c>
      <c r="C30" s="31">
        <f>IFERROR('Data Sheet'!B57/'Data Sheet'!B$61,0)</f>
        <v>1.0759997756464188E-2</v>
      </c>
      <c r="D30" s="31">
        <f>IFERROR('Data Sheet'!C57/'Data Sheet'!C$61,0)</f>
        <v>9.0841677691984955E-3</v>
      </c>
      <c r="E30" s="31">
        <f>IFERROR('Data Sheet'!D57/'Data Sheet'!D$61,0)</f>
        <v>7.732247551226543E-3</v>
      </c>
      <c r="F30" s="31">
        <f>IFERROR('Data Sheet'!E57/'Data Sheet'!E$61,0)</f>
        <v>6.969167681429406E-3</v>
      </c>
      <c r="G30" s="31">
        <f>IFERROR('Data Sheet'!F57/'Data Sheet'!F$61,0)</f>
        <v>5.9031906277617358E-3</v>
      </c>
      <c r="H30" s="31">
        <f>IFERROR('Data Sheet'!G57/'Data Sheet'!G$61,0)</f>
        <v>5.9437463324073601E-3</v>
      </c>
      <c r="I30" s="31">
        <f>IFERROR('Data Sheet'!H57/'Data Sheet'!H$61,0)</f>
        <v>4.712276974985434E-3</v>
      </c>
      <c r="J30" s="31">
        <f>IFERROR('Data Sheet'!I57/'Data Sheet'!I$61,0)</f>
        <v>4.1779860382439044E-3</v>
      </c>
      <c r="K30" s="31">
        <f>IFERROR('Data Sheet'!J57/'Data Sheet'!J$61,0)</f>
        <v>3.7208104322338864E-3</v>
      </c>
      <c r="L30" s="31">
        <f>IFERROR('Data Sheet'!K57/'Data Sheet'!K$61,0)</f>
        <v>3.2079441432444717E-3</v>
      </c>
    </row>
    <row r="31" spans="1:12" x14ac:dyDescent="0.25">
      <c r="B31" s="125" t="str">
        <f>'Data Sheet'!A58</f>
        <v>Reserves</v>
      </c>
      <c r="C31" s="31">
        <f>IFERROR('Data Sheet'!B58/'Data Sheet'!B$61,0)</f>
        <v>0.52122272701777994</v>
      </c>
      <c r="D31" s="31">
        <f>IFERROR('Data Sheet'!C58/'Data Sheet'!C$61,0)</f>
        <v>0.60885327534820899</v>
      </c>
      <c r="E31" s="31">
        <f>IFERROR('Data Sheet'!D58/'Data Sheet'!D$61,0)</f>
        <v>0.60522813435344402</v>
      </c>
      <c r="F31" s="31">
        <f>IFERROR('Data Sheet'!E58/'Data Sheet'!E$61,0)</f>
        <v>0.60408486807115636</v>
      </c>
      <c r="G31" s="31">
        <f>IFERROR('Data Sheet'!F58/'Data Sheet'!F$61,0)</f>
        <v>0.57694149243884485</v>
      </c>
      <c r="H31" s="31">
        <f>IFERROR('Data Sheet'!G58/'Data Sheet'!G$61,0)</f>
        <v>0.62177832775745645</v>
      </c>
      <c r="I31" s="31">
        <f>IFERROR('Data Sheet'!H58/'Data Sheet'!H$61,0)</f>
        <v>0.62442435252862394</v>
      </c>
      <c r="J31" s="31">
        <f>IFERROR('Data Sheet'!I58/'Data Sheet'!I$61,0)</f>
        <v>0.59741193104232293</v>
      </c>
      <c r="K31" s="31">
        <f>IFERROR('Data Sheet'!J58/'Data Sheet'!J$61,0)</f>
        <v>0.61663006757739625</v>
      </c>
      <c r="L31" s="31">
        <f>IFERROR('Data Sheet'!K58/'Data Sheet'!K$61,0)</f>
        <v>0.62314047430885566</v>
      </c>
    </row>
    <row r="32" spans="1:12" x14ac:dyDescent="0.25">
      <c r="B32" s="125" t="str">
        <f>'Data Sheet'!A59</f>
        <v>Borrowings</v>
      </c>
      <c r="C32" s="31">
        <f>IFERROR('Data Sheet'!B59/'Data Sheet'!B$61,0)</f>
        <v>4.6908968534410234E-2</v>
      </c>
      <c r="D32" s="31">
        <f>IFERROR('Data Sheet'!C59/'Data Sheet'!C$61,0)</f>
        <v>3.0617395726690803E-2</v>
      </c>
      <c r="E32" s="31">
        <f>IFERROR('Data Sheet'!D59/'Data Sheet'!D$61,0)</f>
        <v>4.5169803928839465E-2</v>
      </c>
      <c r="F32" s="31">
        <f>IFERROR('Data Sheet'!E59/'Data Sheet'!E$61,0)</f>
        <v>3.8756913222528021E-2</v>
      </c>
      <c r="G32" s="31">
        <f>IFERROR('Data Sheet'!F59/'Data Sheet'!F$61,0)</f>
        <v>8.1211951130049892E-2</v>
      </c>
      <c r="H32" s="31">
        <f>IFERROR('Data Sheet'!G59/'Data Sheet'!G$61,0)</f>
        <v>6.9308593336088742E-2</v>
      </c>
      <c r="I32" s="31">
        <f>IFERROR('Data Sheet'!H59/'Data Sheet'!H$61,0)</f>
        <v>5.3701878720768106E-2</v>
      </c>
      <c r="J32" s="31">
        <f>IFERROR('Data Sheet'!I59/'Data Sheet'!I$61,0)</f>
        <v>6.9119708969646448E-2</v>
      </c>
      <c r="K32" s="31">
        <f>IFERROR('Data Sheet'!J59/'Data Sheet'!J$61,0)</f>
        <v>7.4967813360548932E-2</v>
      </c>
      <c r="L32" s="31">
        <f>IFERROR('Data Sheet'!K59/'Data Sheet'!K$61,0)</f>
        <v>8.2753052847802919E-2</v>
      </c>
    </row>
    <row r="33" spans="2:12" x14ac:dyDescent="0.25">
      <c r="B33" s="125" t="str">
        <f>'Data Sheet'!A60</f>
        <v>Other Liabilities</v>
      </c>
      <c r="C33" s="31">
        <f>IFERROR('Data Sheet'!B60/'Data Sheet'!B$61,0)</f>
        <v>0.42110830669134552</v>
      </c>
      <c r="D33" s="31">
        <f>IFERROR('Data Sheet'!C60/'Data Sheet'!C$61,0)</f>
        <v>0.35144516115590163</v>
      </c>
      <c r="E33" s="31">
        <f>IFERROR('Data Sheet'!D60/'Data Sheet'!D$61,0)</f>
        <v>0.34186981416648998</v>
      </c>
      <c r="F33" s="31">
        <f>IFERROR('Data Sheet'!E60/'Data Sheet'!E$61,0)</f>
        <v>0.35018905102488612</v>
      </c>
      <c r="G33" s="31">
        <f>IFERROR('Data Sheet'!F60/'Data Sheet'!F$61,0)</f>
        <v>0.3359433658033435</v>
      </c>
      <c r="H33" s="31">
        <f>IFERROR('Data Sheet'!G60/'Data Sheet'!G$61,0)</f>
        <v>0.30296933257404746</v>
      </c>
      <c r="I33" s="31">
        <f>IFERROR('Data Sheet'!H60/'Data Sheet'!H$61,0)</f>
        <v>0.31716149177562253</v>
      </c>
      <c r="J33" s="31">
        <f>IFERROR('Data Sheet'!I60/'Data Sheet'!I$61,0)</f>
        <v>0.32929037394978661</v>
      </c>
      <c r="K33" s="31">
        <f>IFERROR('Data Sheet'!J60/'Data Sheet'!J$61,0)</f>
        <v>0.30468130862982085</v>
      </c>
      <c r="L33" s="31">
        <f>IFERROR('Data Sheet'!K60/'Data Sheet'!K$61,0)</f>
        <v>0.29089852870009703</v>
      </c>
    </row>
    <row r="34" spans="2:12" x14ac:dyDescent="0.25">
      <c r="C34" s="31"/>
      <c r="D34" s="31"/>
      <c r="E34" s="31"/>
      <c r="F34" s="31"/>
      <c r="G34" s="31"/>
      <c r="H34" s="31"/>
      <c r="I34" s="31"/>
      <c r="J34" s="31"/>
      <c r="K34" s="31"/>
      <c r="L34" s="31"/>
    </row>
    <row r="35" spans="2:12" ht="15.75" thickBot="1" x14ac:dyDescent="0.3">
      <c r="B35" s="128" t="s">
        <v>140</v>
      </c>
      <c r="C35" s="131">
        <f>IFERROR('Data Sheet'!B66/'Data Sheet'!B$66,0)</f>
        <v>1</v>
      </c>
      <c r="D35" s="131">
        <f>IFERROR('Data Sheet'!C66/'Data Sheet'!C$66,0)</f>
        <v>1</v>
      </c>
      <c r="E35" s="131">
        <f>IFERROR('Data Sheet'!D66/'Data Sheet'!D$66,0)</f>
        <v>1</v>
      </c>
      <c r="F35" s="131">
        <f>IFERROR('Data Sheet'!E66/'Data Sheet'!E$66,0)</f>
        <v>1</v>
      </c>
      <c r="G35" s="131">
        <f>IFERROR('Data Sheet'!F66/'Data Sheet'!F$66,0)</f>
        <v>1</v>
      </c>
      <c r="H35" s="131">
        <f>IFERROR('Data Sheet'!G66/'Data Sheet'!G$66,0)</f>
        <v>1</v>
      </c>
      <c r="I35" s="131">
        <f>IFERROR('Data Sheet'!H66/'Data Sheet'!H$66,0)</f>
        <v>1</v>
      </c>
      <c r="J35" s="131">
        <f>IFERROR('Data Sheet'!I66/'Data Sheet'!I$66,0)</f>
        <v>1</v>
      </c>
      <c r="K35" s="131">
        <f>IFERROR('Data Sheet'!J66/'Data Sheet'!J$66,0)</f>
        <v>1</v>
      </c>
      <c r="L35" s="131">
        <f>IFERROR('Data Sheet'!K66/'Data Sheet'!K$66,0)</f>
        <v>1</v>
      </c>
    </row>
    <row r="36" spans="2:12" x14ac:dyDescent="0.25">
      <c r="B36" s="125" t="str">
        <f>'Data Sheet'!A62</f>
        <v>Net Block</v>
      </c>
      <c r="C36" s="31">
        <f>IFERROR('Data Sheet'!B62/'Data Sheet'!B$66,0)</f>
        <v>0.29839475012619887</v>
      </c>
      <c r="D36" s="31">
        <f>IFERROR('Data Sheet'!C62/'Data Sheet'!C$66,0)</f>
        <v>0.32354771224250711</v>
      </c>
      <c r="E36" s="31">
        <f>IFERROR('Data Sheet'!D62/'Data Sheet'!D$66,0)</f>
        <v>0.26631917769901142</v>
      </c>
      <c r="F36" s="31">
        <f>IFERROR('Data Sheet'!E62/'Data Sheet'!E$66,0)</f>
        <v>0.2711697913609058</v>
      </c>
      <c r="G36" s="31">
        <f>IFERROR('Data Sheet'!F62/'Data Sheet'!F$66,0)</f>
        <v>0.39981684846425963</v>
      </c>
      <c r="H36" s="31">
        <f>IFERROR('Data Sheet'!G62/'Data Sheet'!G$66,0)</f>
        <v>0.38866784360114692</v>
      </c>
      <c r="I36" s="31">
        <f>IFERROR('Data Sheet'!H62/'Data Sheet'!H$66,0)</f>
        <v>0.28781243644173965</v>
      </c>
      <c r="J36" s="31">
        <f>IFERROR('Data Sheet'!I62/'Data Sheet'!I$66,0)</f>
        <v>0.240393615765538</v>
      </c>
      <c r="K36" s="31">
        <f>IFERROR('Data Sheet'!J62/'Data Sheet'!J$66,0)</f>
        <v>0.22384057304825222</v>
      </c>
      <c r="L36" s="31">
        <f>IFERROR('Data Sheet'!K62/'Data Sheet'!K$66,0)</f>
        <v>0.23901123616549005</v>
      </c>
    </row>
    <row r="37" spans="2:12" x14ac:dyDescent="0.25">
      <c r="B37" s="125" t="str">
        <f>'Data Sheet'!A63</f>
        <v>Capital Work in Progress</v>
      </c>
      <c r="C37" s="31">
        <f>IFERROR('Data Sheet'!B63/'Data Sheet'!B$66,0)</f>
        <v>2.1986650961915981E-2</v>
      </c>
      <c r="D37" s="31">
        <f>IFERROR('Data Sheet'!C63/'Data Sheet'!C$66,0)</f>
        <v>1.0094677257285944E-2</v>
      </c>
      <c r="E37" s="31">
        <f>IFERROR('Data Sheet'!D63/'Data Sheet'!D$66,0)</f>
        <v>2.0760665495651417E-2</v>
      </c>
      <c r="F37" s="31">
        <f>IFERROR('Data Sheet'!E63/'Data Sheet'!E$66,0)</f>
        <v>0.10208973311982143</v>
      </c>
      <c r="G37" s="31">
        <f>IFERROR('Data Sheet'!F63/'Data Sheet'!F$66,0)</f>
        <v>1.2903690355742316E-2</v>
      </c>
      <c r="H37" s="31">
        <f>IFERROR('Data Sheet'!G63/'Data Sheet'!G$66,0)</f>
        <v>8.6900644876648069E-3</v>
      </c>
      <c r="I37" s="31">
        <f>IFERROR('Data Sheet'!H63/'Data Sheet'!H$66,0)</f>
        <v>8.9892873319728384E-3</v>
      </c>
      <c r="J37" s="31">
        <f>IFERROR('Data Sheet'!I63/'Data Sheet'!I$66,0)</f>
        <v>1.8574005278235488E-2</v>
      </c>
      <c r="K37" s="31">
        <f>IFERROR('Data Sheet'!J63/'Data Sheet'!J$66,0)</f>
        <v>3.9550678780247588E-2</v>
      </c>
      <c r="L37" s="31">
        <f>IFERROR('Data Sheet'!K63/'Data Sheet'!K$66,0)</f>
        <v>9.0244164280719186E-2</v>
      </c>
    </row>
    <row r="38" spans="2:12" x14ac:dyDescent="0.25">
      <c r="B38" s="125" t="str">
        <f>'Data Sheet'!A64</f>
        <v>Investments</v>
      </c>
      <c r="C38" s="31">
        <f>IFERROR('Data Sheet'!B64/'Data Sheet'!B$66,0)</f>
        <v>0.17811318638173762</v>
      </c>
      <c r="D38" s="31">
        <f>IFERROR('Data Sheet'!C64/'Data Sheet'!C$66,0)</f>
        <v>0.25685408602873561</v>
      </c>
      <c r="E38" s="31">
        <f>IFERROR('Data Sheet'!D64/'Data Sheet'!D$66,0)</f>
        <v>0.21378068372995493</v>
      </c>
      <c r="F38" s="31">
        <f>IFERROR('Data Sheet'!E64/'Data Sheet'!E$66,0)</f>
        <v>0.15553479207293502</v>
      </c>
      <c r="G38" s="31">
        <f>IFERROR('Data Sheet'!F64/'Data Sheet'!F$66,0)</f>
        <v>0.15807774585755044</v>
      </c>
      <c r="H38" s="31">
        <f>IFERROR('Data Sheet'!G64/'Data Sheet'!G$66,0)</f>
        <v>0.12509937743099039</v>
      </c>
      <c r="I38" s="31">
        <f>IFERROR('Data Sheet'!H64/'Data Sheet'!H$66,0)</f>
        <v>0.23270552100824649</v>
      </c>
      <c r="J38" s="31">
        <f>IFERROR('Data Sheet'!I64/'Data Sheet'!I$66,0)</f>
        <v>0.14145261675123255</v>
      </c>
      <c r="K38" s="31">
        <f>IFERROR('Data Sheet'!J64/'Data Sheet'!J$66,0)</f>
        <v>0.16531500236817637</v>
      </c>
      <c r="L38" s="31">
        <f>IFERROR('Data Sheet'!K64/'Data Sheet'!K$66,0)</f>
        <v>0.15343818904998099</v>
      </c>
    </row>
    <row r="39" spans="2:12" x14ac:dyDescent="0.25">
      <c r="B39" s="125" t="str">
        <f>'Data Sheet'!A65</f>
        <v>Other Assets</v>
      </c>
      <c r="C39" s="31">
        <f>IFERROR('Data Sheet'!B65/'Data Sheet'!B$66,0)</f>
        <v>0.50150541253014747</v>
      </c>
      <c r="D39" s="31">
        <f>IFERROR('Data Sheet'!C65/'Data Sheet'!C$66,0)</f>
        <v>0.40950352447147131</v>
      </c>
      <c r="E39" s="31">
        <f>IFERROR('Data Sheet'!D65/'Data Sheet'!D$66,0)</f>
        <v>0.49913947307538215</v>
      </c>
      <c r="F39" s="31">
        <f>IFERROR('Data Sheet'!E65/'Data Sheet'!E$66,0)</f>
        <v>0.47120568344633773</v>
      </c>
      <c r="G39" s="31">
        <f>IFERROR('Data Sheet'!F65/'Data Sheet'!F$66,0)</f>
        <v>0.42920171532244761</v>
      </c>
      <c r="H39" s="31">
        <f>IFERROR('Data Sheet'!G65/'Data Sheet'!G$66,0)</f>
        <v>0.47754271448019797</v>
      </c>
      <c r="I39" s="31">
        <f>IFERROR('Data Sheet'!H65/'Data Sheet'!H$66,0)</f>
        <v>0.47049275521804113</v>
      </c>
      <c r="J39" s="31">
        <f>IFERROR('Data Sheet'!I65/'Data Sheet'!I$66,0)</f>
        <v>0.59957976220499398</v>
      </c>
      <c r="K39" s="31">
        <f>IFERROR('Data Sheet'!J65/'Data Sheet'!J$66,0)</f>
        <v>0.57129374580332382</v>
      </c>
      <c r="L39" s="31">
        <f>IFERROR('Data Sheet'!K65/'Data Sheet'!K$66,0)</f>
        <v>0.51730641050380977</v>
      </c>
    </row>
    <row r="40" spans="2:12" x14ac:dyDescent="0.25">
      <c r="B40" s="125" t="str">
        <f>'Data Sheet'!A67</f>
        <v>Receivables</v>
      </c>
      <c r="C40" s="31">
        <f>'Data Sheet'!B67/'Data Sheet'!B$66</f>
        <v>0.13260081889057154</v>
      </c>
      <c r="D40" s="31">
        <f>'Data Sheet'!C67/'Data Sheet'!C$66</f>
        <v>0.11240047618010365</v>
      </c>
      <c r="E40" s="31">
        <f>'Data Sheet'!D67/'Data Sheet'!D$66</f>
        <v>0.11661248235617511</v>
      </c>
      <c r="F40" s="31">
        <f>'Data Sheet'!E67/'Data Sheet'!E$66</f>
        <v>0.12574072836230374</v>
      </c>
      <c r="G40" s="31">
        <f>'Data Sheet'!F67/'Data Sheet'!F$66</f>
        <v>0.11738253315313585</v>
      </c>
      <c r="H40" s="31">
        <f>'Data Sheet'!G67/'Data Sheet'!G$66</f>
        <v>0.111241996360137</v>
      </c>
      <c r="I40" s="31">
        <f>'Data Sheet'!H67/'Data Sheet'!H$66</f>
        <v>0.12783721618012767</v>
      </c>
      <c r="J40" s="31">
        <f>'Data Sheet'!I67/'Data Sheet'!I$66</f>
        <v>0.168628255503534</v>
      </c>
      <c r="K40" s="31">
        <f>'Data Sheet'!J67/'Data Sheet'!J$66</f>
        <v>0.17987046211053581</v>
      </c>
      <c r="L40" s="31">
        <f>'Data Sheet'!K67/'Data Sheet'!K$66</f>
        <v>0.16350916715522712</v>
      </c>
    </row>
    <row r="41" spans="2:12" x14ac:dyDescent="0.25">
      <c r="B41" s="125" t="str">
        <f>'Data Sheet'!A68</f>
        <v>Inventory</v>
      </c>
      <c r="C41" s="31">
        <f>'Data Sheet'!B68/'Data Sheet'!B$66</f>
        <v>0.2533535251556453</v>
      </c>
      <c r="D41" s="31">
        <f>'Data Sheet'!C68/'Data Sheet'!C$66</f>
        <v>0.18924465599586324</v>
      </c>
      <c r="E41" s="31">
        <f>'Data Sheet'!D68/'Data Sheet'!D$66</f>
        <v>0.21176136762113276</v>
      </c>
      <c r="F41" s="31">
        <f>'Data Sheet'!E68/'Data Sheet'!E$66</f>
        <v>0.19314228668912223</v>
      </c>
      <c r="G41" s="31">
        <f>'Data Sheet'!F68/'Data Sheet'!F$66</f>
        <v>0.19385137646748937</v>
      </c>
      <c r="H41" s="31">
        <f>'Data Sheet'!G68/'Data Sheet'!G$66</f>
        <v>0.21005182188342153</v>
      </c>
      <c r="I41" s="31">
        <f>'Data Sheet'!H68/'Data Sheet'!H$66</f>
        <v>0.18661442157193148</v>
      </c>
      <c r="J41" s="31">
        <f>'Data Sheet'!I68/'Data Sheet'!I$66</f>
        <v>0.26800525994155522</v>
      </c>
      <c r="K41" s="31">
        <f>'Data Sheet'!J68/'Data Sheet'!J$66</f>
        <v>0.24091549314896857</v>
      </c>
      <c r="L41" s="31">
        <f>'Data Sheet'!K68/'Data Sheet'!K$66</f>
        <v>0.19810225622952185</v>
      </c>
    </row>
    <row r="42" spans="2:12" x14ac:dyDescent="0.25">
      <c r="B42" s="125" t="str">
        <f>'Data Sheet'!A69</f>
        <v>Cash &amp; Bank</v>
      </c>
      <c r="C42" s="31">
        <f>'Data Sheet'!B69/'Data Sheet'!B$66</f>
        <v>2.2927814235234729E-2</v>
      </c>
      <c r="D42" s="31">
        <f>'Data Sheet'!C69/'Data Sheet'!C$66</f>
        <v>4.0174144784132629E-2</v>
      </c>
      <c r="E42" s="31">
        <f>'Data Sheet'!D69/'Data Sheet'!D$66</f>
        <v>6.4586677027921383E-2</v>
      </c>
      <c r="F42" s="31">
        <f>'Data Sheet'!E69/'Data Sheet'!E$66</f>
        <v>2.9400267955488002E-2</v>
      </c>
      <c r="G42" s="31">
        <f>'Data Sheet'!F69/'Data Sheet'!F$66</f>
        <v>2.7379185221837375E-2</v>
      </c>
      <c r="H42" s="31">
        <f>'Data Sheet'!G69/'Data Sheet'!G$66</f>
        <v>4.8508579455780382E-2</v>
      </c>
      <c r="I42" s="31">
        <f>'Data Sheet'!H69/'Data Sheet'!H$66</f>
        <v>3.0004411618769326E-2</v>
      </c>
      <c r="J42" s="31">
        <f>'Data Sheet'!I69/'Data Sheet'!I$66</f>
        <v>3.7647609178850648E-2</v>
      </c>
      <c r="K42" s="31">
        <f>'Data Sheet'!J69/'Data Sheet'!J$66</f>
        <v>3.2732425551788971E-2</v>
      </c>
      <c r="L42" s="31">
        <f>'Data Sheet'!K69/'Data Sheet'!K$66</f>
        <v>3.6253581429508339E-2</v>
      </c>
    </row>
  </sheetData>
  <mergeCells count="2">
    <mergeCell ref="B2:L2"/>
    <mergeCell ref="B25:L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90FF-1F76-4DE8-AF97-F76295B9AFAE}">
  <sheetPr>
    <tabColor rgb="FF002060"/>
  </sheetPr>
  <dimension ref="B2:M40"/>
  <sheetViews>
    <sheetView showGridLines="0" workbookViewId="0">
      <pane ySplit="4" topLeftCell="A5" activePane="bottomLeft" state="frozen"/>
      <selection pane="bottomLeft" activeCell="M9" sqref="M9"/>
    </sheetView>
  </sheetViews>
  <sheetFormatPr defaultRowHeight="15" x14ac:dyDescent="0.25"/>
  <cols>
    <col min="1" max="1" width="2.28515625" customWidth="1"/>
    <col min="2" max="2" width="24.85546875" bestFit="1" customWidth="1"/>
    <col min="3" max="13" width="11.28515625" bestFit="1" customWidth="1"/>
  </cols>
  <sheetData>
    <row r="2" spans="2:13" x14ac:dyDescent="0.25">
      <c r="B2" s="165" t="str">
        <f>"Historica Balance Sheet "&amp;" -" &amp;'Data Sheet'!$B$1</f>
        <v>Historica Balance Sheet  -ASIAN PAINTS LTD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4" spans="2:13" x14ac:dyDescent="0.25">
      <c r="B4" s="136" t="s">
        <v>275</v>
      </c>
      <c r="C4" s="135">
        <v>41699</v>
      </c>
      <c r="D4" s="135">
        <v>42064</v>
      </c>
      <c r="E4" s="135">
        <v>42430</v>
      </c>
      <c r="F4" s="135">
        <v>42795</v>
      </c>
      <c r="G4" s="135">
        <v>43160</v>
      </c>
      <c r="H4" s="135">
        <v>43525</v>
      </c>
      <c r="I4" s="135">
        <v>43891</v>
      </c>
      <c r="J4" s="135">
        <v>44256</v>
      </c>
      <c r="K4" s="135">
        <v>44621</v>
      </c>
      <c r="L4" s="135">
        <v>44986</v>
      </c>
    </row>
    <row r="5" spans="2:13" x14ac:dyDescent="0.25">
      <c r="B5" s="139"/>
      <c r="C5" s="140"/>
      <c r="D5" s="140"/>
      <c r="E5" s="140"/>
      <c r="F5" s="140"/>
      <c r="G5" s="140"/>
      <c r="H5" s="140"/>
      <c r="I5" s="140"/>
      <c r="J5" s="140"/>
      <c r="K5" s="140"/>
      <c r="L5" s="140"/>
    </row>
    <row r="6" spans="2:13" x14ac:dyDescent="0.25">
      <c r="B6" s="137" t="s">
        <v>321</v>
      </c>
      <c r="C6" s="134">
        <v>644</v>
      </c>
      <c r="D6" s="134">
        <v>644</v>
      </c>
      <c r="E6" s="134">
        <v>679</v>
      </c>
      <c r="F6" s="134">
        <v>679</v>
      </c>
      <c r="G6" s="134">
        <v>679</v>
      </c>
      <c r="H6" s="134">
        <v>679</v>
      </c>
      <c r="I6" s="134">
        <v>720</v>
      </c>
      <c r="J6" s="134">
        <v>766</v>
      </c>
      <c r="K6" s="134">
        <v>766</v>
      </c>
      <c r="L6" s="134">
        <v>766</v>
      </c>
    </row>
    <row r="7" spans="2:13" x14ac:dyDescent="0.25">
      <c r="B7" s="137" t="s">
        <v>22</v>
      </c>
      <c r="C7" s="133">
        <v>64960</v>
      </c>
      <c r="D7" s="133">
        <v>55618</v>
      </c>
      <c r="E7" s="133">
        <v>78273</v>
      </c>
      <c r="F7" s="133">
        <v>57383</v>
      </c>
      <c r="G7" s="133">
        <v>94749</v>
      </c>
      <c r="H7" s="133">
        <v>59500</v>
      </c>
      <c r="I7" s="133">
        <v>61491</v>
      </c>
      <c r="J7" s="133">
        <v>54481</v>
      </c>
      <c r="K7" s="133">
        <v>43795</v>
      </c>
      <c r="L7" s="133">
        <v>44556</v>
      </c>
    </row>
    <row r="8" spans="2:13" x14ac:dyDescent="0.25">
      <c r="B8" s="137" t="s">
        <v>322</v>
      </c>
      <c r="C8" s="133"/>
      <c r="D8" s="133"/>
      <c r="E8" s="133"/>
      <c r="F8" s="133"/>
      <c r="G8" s="133"/>
      <c r="H8" s="133"/>
      <c r="I8" s="133"/>
      <c r="J8" s="133"/>
      <c r="K8" s="133"/>
      <c r="L8" s="133"/>
    </row>
    <row r="9" spans="2:13" x14ac:dyDescent="0.25">
      <c r="B9" s="68" t="s">
        <v>323</v>
      </c>
      <c r="C9" s="133">
        <v>45259</v>
      </c>
      <c r="D9" s="133">
        <v>56071</v>
      </c>
      <c r="E9" s="133">
        <v>50510</v>
      </c>
      <c r="F9" s="133">
        <v>60629</v>
      </c>
      <c r="G9" s="133">
        <v>61200</v>
      </c>
      <c r="H9" s="133">
        <v>70818</v>
      </c>
      <c r="I9" s="133">
        <v>83316</v>
      </c>
      <c r="J9" s="133">
        <v>0</v>
      </c>
      <c r="K9" s="133">
        <v>97759</v>
      </c>
      <c r="L9" s="133">
        <v>88696</v>
      </c>
      <c r="M9" s="143">
        <f>L9+L10</f>
        <v>125661</v>
      </c>
    </row>
    <row r="10" spans="2:13" x14ac:dyDescent="0.25">
      <c r="B10" s="68" t="s">
        <v>324</v>
      </c>
      <c r="C10" s="133">
        <v>9696</v>
      </c>
      <c r="D10" s="133">
        <v>13140</v>
      </c>
      <c r="E10" s="133">
        <v>11451</v>
      </c>
      <c r="F10" s="133">
        <v>13860</v>
      </c>
      <c r="G10" s="133">
        <v>16795</v>
      </c>
      <c r="H10" s="133">
        <v>20150</v>
      </c>
      <c r="I10" s="133">
        <v>16363</v>
      </c>
      <c r="J10" s="133">
        <v>0</v>
      </c>
      <c r="K10" s="133">
        <v>41918</v>
      </c>
      <c r="L10" s="133">
        <v>36965</v>
      </c>
    </row>
    <row r="11" spans="2:13" x14ac:dyDescent="0.25">
      <c r="B11" s="68" t="s">
        <v>325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173</v>
      </c>
      <c r="I11" s="133">
        <v>5977</v>
      </c>
      <c r="J11" s="133">
        <v>0</v>
      </c>
      <c r="K11" s="133">
        <v>6772</v>
      </c>
      <c r="L11" s="133">
        <v>8453</v>
      </c>
    </row>
    <row r="12" spans="2:13" x14ac:dyDescent="0.25">
      <c r="B12" s="68" t="s">
        <v>326</v>
      </c>
      <c r="C12" s="133">
        <v>5688</v>
      </c>
      <c r="D12" s="133">
        <v>4399</v>
      </c>
      <c r="E12" s="133">
        <v>7399</v>
      </c>
      <c r="F12" s="133">
        <v>4115</v>
      </c>
      <c r="G12" s="133">
        <v>10956</v>
      </c>
      <c r="H12" s="133">
        <v>15034</v>
      </c>
      <c r="I12" s="133">
        <v>19132</v>
      </c>
      <c r="J12" s="133">
        <v>142131</v>
      </c>
      <c r="K12" s="133">
        <v>0</v>
      </c>
      <c r="L12" s="133">
        <v>0</v>
      </c>
    </row>
    <row r="13" spans="2:13" x14ac:dyDescent="0.25">
      <c r="B13" s="137" t="s">
        <v>327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33"/>
    </row>
    <row r="14" spans="2:13" x14ac:dyDescent="0.25">
      <c r="B14" s="68" t="s">
        <v>328</v>
      </c>
      <c r="C14" s="133">
        <v>421</v>
      </c>
      <c r="D14" s="133">
        <v>433</v>
      </c>
      <c r="E14" s="133">
        <v>433</v>
      </c>
      <c r="F14" s="133">
        <v>453</v>
      </c>
      <c r="G14" s="133">
        <v>525</v>
      </c>
      <c r="H14" s="133">
        <v>523</v>
      </c>
      <c r="I14" s="133">
        <v>814</v>
      </c>
      <c r="J14" s="133">
        <v>1573</v>
      </c>
      <c r="K14" s="133">
        <v>4271</v>
      </c>
      <c r="L14" s="133">
        <v>7278</v>
      </c>
    </row>
    <row r="15" spans="2:13" x14ac:dyDescent="0.25">
      <c r="B15" s="68" t="s">
        <v>329</v>
      </c>
      <c r="C15" s="133">
        <v>57316</v>
      </c>
      <c r="D15" s="133">
        <v>57407</v>
      </c>
      <c r="E15" s="133">
        <v>61562</v>
      </c>
      <c r="F15" s="133">
        <v>62533</v>
      </c>
      <c r="G15" s="133">
        <v>76940</v>
      </c>
      <c r="H15" s="133">
        <v>71691</v>
      </c>
      <c r="I15" s="133">
        <v>66398</v>
      </c>
      <c r="J15" s="133">
        <v>76040</v>
      </c>
      <c r="K15" s="133">
        <v>69750</v>
      </c>
      <c r="L15" s="133">
        <v>79252</v>
      </c>
    </row>
    <row r="16" spans="2:13" x14ac:dyDescent="0.25">
      <c r="B16" s="68" t="s">
        <v>330</v>
      </c>
      <c r="C16" s="133">
        <v>3119</v>
      </c>
      <c r="D16" s="133">
        <v>2289</v>
      </c>
      <c r="E16" s="133">
        <v>2165</v>
      </c>
      <c r="F16" s="133">
        <v>1711</v>
      </c>
      <c r="G16" s="133">
        <v>0</v>
      </c>
      <c r="H16" s="133">
        <v>0</v>
      </c>
      <c r="I16" s="133">
        <v>0</v>
      </c>
      <c r="J16" s="133">
        <v>0</v>
      </c>
      <c r="K16" s="133">
        <v>0</v>
      </c>
      <c r="L16" s="133">
        <v>0</v>
      </c>
    </row>
    <row r="17" spans="2:12" x14ac:dyDescent="0.25">
      <c r="B17" s="68" t="s">
        <v>331</v>
      </c>
      <c r="C17" s="141">
        <v>31325</v>
      </c>
      <c r="D17" s="141">
        <v>47313</v>
      </c>
      <c r="E17" s="141">
        <v>50712</v>
      </c>
      <c r="F17" s="141">
        <v>71218</v>
      </c>
      <c r="G17" s="141">
        <v>65349</v>
      </c>
      <c r="H17" s="141">
        <v>67135</v>
      </c>
      <c r="I17" s="141">
        <v>65969</v>
      </c>
      <c r="J17" s="141">
        <v>66579</v>
      </c>
      <c r="K17" s="141">
        <v>64030</v>
      </c>
      <c r="L17" s="141">
        <v>68710</v>
      </c>
    </row>
    <row r="18" spans="2:12" ht="15.75" thickBot="1" x14ac:dyDescent="0.3">
      <c r="B18" s="138" t="s">
        <v>332</v>
      </c>
      <c r="C18" s="132">
        <v>218426</v>
      </c>
      <c r="D18" s="132">
        <v>237315</v>
      </c>
      <c r="E18" s="132">
        <v>263184</v>
      </c>
      <c r="F18" s="132">
        <v>272580</v>
      </c>
      <c r="G18" s="132">
        <v>327192</v>
      </c>
      <c r="H18" s="132">
        <v>305703</v>
      </c>
      <c r="I18" s="132">
        <v>320179</v>
      </c>
      <c r="J18" s="132">
        <v>341570</v>
      </c>
      <c r="K18" s="132">
        <v>329061</v>
      </c>
      <c r="L18" s="132">
        <v>334674</v>
      </c>
    </row>
    <row r="19" spans="2:12" x14ac:dyDescent="0.25">
      <c r="B19" s="68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5">
      <c r="B20" s="137" t="s">
        <v>333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5">
      <c r="B21" s="68" t="s">
        <v>334</v>
      </c>
      <c r="C21" s="133">
        <v>2296</v>
      </c>
      <c r="D21" s="133">
        <v>2513</v>
      </c>
      <c r="E21" s="133">
        <v>7185</v>
      </c>
      <c r="F21" s="133">
        <v>6762</v>
      </c>
      <c r="G21" s="133">
        <v>7339</v>
      </c>
      <c r="H21" s="133">
        <v>7286</v>
      </c>
      <c r="I21" s="133">
        <v>7675</v>
      </c>
      <c r="J21" s="133">
        <v>7819</v>
      </c>
      <c r="K21" s="133">
        <v>7760</v>
      </c>
      <c r="L21" s="133">
        <v>8045</v>
      </c>
    </row>
    <row r="22" spans="2:12" x14ac:dyDescent="0.25">
      <c r="B22" s="68" t="s">
        <v>335</v>
      </c>
      <c r="C22" s="133">
        <v>11010</v>
      </c>
      <c r="D22" s="133">
        <v>13396</v>
      </c>
      <c r="E22" s="133">
        <v>12343</v>
      </c>
      <c r="F22" s="133">
        <v>12164</v>
      </c>
      <c r="G22" s="133">
        <v>16552</v>
      </c>
      <c r="H22" s="133">
        <v>22938</v>
      </c>
      <c r="I22" s="133">
        <v>32665</v>
      </c>
      <c r="J22" s="133">
        <v>35537</v>
      </c>
      <c r="K22" s="133">
        <v>36466</v>
      </c>
      <c r="L22" s="133">
        <v>38781</v>
      </c>
    </row>
    <row r="23" spans="2:12" x14ac:dyDescent="0.25">
      <c r="B23" s="68" t="s">
        <v>336</v>
      </c>
      <c r="C23" s="133">
        <v>79505</v>
      </c>
      <c r="D23" s="133">
        <v>88943</v>
      </c>
      <c r="E23" s="133">
        <v>80063</v>
      </c>
      <c r="F23" s="133">
        <v>79976</v>
      </c>
      <c r="G23" s="133">
        <v>100226</v>
      </c>
      <c r="H23" s="133">
        <v>109415</v>
      </c>
      <c r="I23" s="133">
        <v>124158</v>
      </c>
      <c r="J23" s="133">
        <v>138868</v>
      </c>
      <c r="K23" s="133">
        <v>148585</v>
      </c>
      <c r="L23" s="133">
        <v>153672</v>
      </c>
    </row>
    <row r="24" spans="2:12" x14ac:dyDescent="0.25">
      <c r="B24" s="68" t="s">
        <v>337</v>
      </c>
      <c r="C24" s="133">
        <v>0</v>
      </c>
      <c r="D24" s="133">
        <v>482</v>
      </c>
      <c r="E24" s="133">
        <v>498</v>
      </c>
      <c r="F24" s="133">
        <v>0</v>
      </c>
      <c r="G24" s="133">
        <v>0</v>
      </c>
      <c r="H24" s="133">
        <v>0</v>
      </c>
      <c r="I24" s="133">
        <v>0</v>
      </c>
      <c r="J24" s="133">
        <v>0</v>
      </c>
      <c r="K24" s="133">
        <v>0</v>
      </c>
      <c r="L24" s="133">
        <v>0</v>
      </c>
    </row>
    <row r="25" spans="2:12" x14ac:dyDescent="0.25">
      <c r="B25" s="68" t="s">
        <v>338</v>
      </c>
      <c r="C25" s="133">
        <v>1126</v>
      </c>
      <c r="D25" s="133">
        <v>1364</v>
      </c>
      <c r="E25" s="133">
        <v>1634</v>
      </c>
      <c r="F25" s="133">
        <v>1767</v>
      </c>
      <c r="G25" s="133">
        <v>1943</v>
      </c>
      <c r="H25" s="133">
        <v>2335</v>
      </c>
      <c r="I25" s="133">
        <v>3054</v>
      </c>
      <c r="J25" s="133">
        <v>3172</v>
      </c>
      <c r="K25" s="133">
        <v>3383</v>
      </c>
      <c r="L25" s="133">
        <v>3499</v>
      </c>
    </row>
    <row r="26" spans="2:12" x14ac:dyDescent="0.25">
      <c r="B26" s="68" t="s">
        <v>339</v>
      </c>
      <c r="C26" s="133">
        <v>1011</v>
      </c>
      <c r="D26" s="133">
        <v>1149</v>
      </c>
      <c r="E26" s="133">
        <v>1241</v>
      </c>
      <c r="F26" s="133">
        <v>1401</v>
      </c>
      <c r="G26" s="133">
        <v>1430</v>
      </c>
      <c r="H26" s="133">
        <v>1626</v>
      </c>
      <c r="I26" s="133">
        <v>1890</v>
      </c>
      <c r="J26" s="133">
        <v>1956</v>
      </c>
      <c r="K26" s="133">
        <v>1984</v>
      </c>
      <c r="L26" s="133">
        <v>2084</v>
      </c>
    </row>
    <row r="27" spans="2:12" x14ac:dyDescent="0.25">
      <c r="B27" s="68" t="s">
        <v>340</v>
      </c>
      <c r="C27" s="133">
        <v>270</v>
      </c>
      <c r="D27" s="133">
        <v>280</v>
      </c>
      <c r="E27" s="133">
        <v>280</v>
      </c>
      <c r="F27" s="133">
        <v>291</v>
      </c>
      <c r="G27" s="133">
        <v>353</v>
      </c>
      <c r="H27" s="133">
        <v>387</v>
      </c>
      <c r="I27" s="133">
        <v>601</v>
      </c>
      <c r="J27" s="133">
        <v>845</v>
      </c>
      <c r="K27" s="133">
        <v>725</v>
      </c>
      <c r="L27" s="133">
        <v>788</v>
      </c>
    </row>
    <row r="28" spans="2:12" x14ac:dyDescent="0.25">
      <c r="B28" s="68" t="s">
        <v>341</v>
      </c>
      <c r="C28" s="133">
        <v>8994</v>
      </c>
      <c r="D28" s="133">
        <v>9580</v>
      </c>
      <c r="E28" s="133">
        <v>58951</v>
      </c>
      <c r="F28" s="133">
        <v>54932</v>
      </c>
      <c r="G28" s="133">
        <v>77870</v>
      </c>
      <c r="H28" s="133">
        <v>80480</v>
      </c>
      <c r="I28" s="133">
        <v>91157</v>
      </c>
      <c r="J28" s="133">
        <v>114809</v>
      </c>
      <c r="K28" s="133">
        <v>114323</v>
      </c>
      <c r="L28" s="133">
        <v>112538</v>
      </c>
    </row>
    <row r="29" spans="2:12" x14ac:dyDescent="0.25">
      <c r="B29" s="68" t="s">
        <v>342</v>
      </c>
      <c r="C29" s="133">
        <v>33694</v>
      </c>
      <c r="D29" s="133">
        <v>45196</v>
      </c>
      <c r="E29" s="133">
        <v>6746</v>
      </c>
      <c r="F29" s="133">
        <v>6219</v>
      </c>
      <c r="G29" s="133">
        <v>7497</v>
      </c>
      <c r="H29" s="133">
        <v>8049</v>
      </c>
      <c r="I29" s="133">
        <v>9380</v>
      </c>
      <c r="J29" s="133">
        <v>10686</v>
      </c>
      <c r="K29" s="133">
        <v>10870</v>
      </c>
      <c r="L29" s="133">
        <v>11735</v>
      </c>
    </row>
    <row r="30" spans="2:12" x14ac:dyDescent="0.25">
      <c r="B30" s="137" t="s">
        <v>343</v>
      </c>
      <c r="C30" s="133">
        <v>137907</v>
      </c>
      <c r="D30" s="133">
        <v>162904</v>
      </c>
      <c r="E30" s="133">
        <v>168941</v>
      </c>
      <c r="F30" s="133">
        <v>163512</v>
      </c>
      <c r="G30" s="133">
        <v>213209</v>
      </c>
      <c r="H30" s="133">
        <v>232517</v>
      </c>
      <c r="I30" s="133">
        <v>270579</v>
      </c>
      <c r="J30" s="133">
        <v>313692</v>
      </c>
      <c r="K30" s="133">
        <v>324096</v>
      </c>
      <c r="L30" s="133">
        <v>331141</v>
      </c>
    </row>
    <row r="31" spans="2:12" x14ac:dyDescent="0.25">
      <c r="B31" s="137" t="s">
        <v>344</v>
      </c>
      <c r="C31" s="133">
        <v>68815</v>
      </c>
      <c r="D31" s="133">
        <v>74424</v>
      </c>
      <c r="E31" s="133">
        <v>61709</v>
      </c>
      <c r="F31" s="133">
        <v>67568</v>
      </c>
      <c r="G31" s="133">
        <v>91795</v>
      </c>
      <c r="H31" s="133">
        <v>121283</v>
      </c>
      <c r="I31" s="133">
        <v>143471</v>
      </c>
      <c r="J31" s="133">
        <v>174985</v>
      </c>
      <c r="K31" s="133">
        <v>185241</v>
      </c>
      <c r="L31" s="133">
        <v>199062</v>
      </c>
    </row>
    <row r="32" spans="2:12" x14ac:dyDescent="0.25">
      <c r="B32" s="137" t="s">
        <v>345</v>
      </c>
      <c r="C32" s="133">
        <v>33263</v>
      </c>
      <c r="D32" s="133">
        <v>28640</v>
      </c>
      <c r="E32" s="133">
        <v>25919</v>
      </c>
      <c r="F32" s="133">
        <v>33699</v>
      </c>
      <c r="G32" s="133">
        <v>40034</v>
      </c>
      <c r="H32" s="133">
        <v>31884</v>
      </c>
      <c r="I32" s="133">
        <v>35622</v>
      </c>
      <c r="J32" s="133">
        <v>20964</v>
      </c>
      <c r="K32" s="133">
        <v>10251</v>
      </c>
      <c r="L32" s="133">
        <v>14274</v>
      </c>
    </row>
    <row r="33" spans="2:12" x14ac:dyDescent="0.25">
      <c r="B33" s="137" t="s">
        <v>17</v>
      </c>
      <c r="C33" s="133">
        <v>10687</v>
      </c>
      <c r="D33" s="133">
        <v>15337</v>
      </c>
      <c r="E33" s="133">
        <v>23767</v>
      </c>
      <c r="F33" s="133">
        <v>20338</v>
      </c>
      <c r="G33" s="133">
        <v>20813</v>
      </c>
      <c r="H33" s="133">
        <v>15771</v>
      </c>
      <c r="I33" s="133">
        <v>16308</v>
      </c>
      <c r="J33" s="133">
        <v>24620</v>
      </c>
      <c r="K33" s="133">
        <v>29380</v>
      </c>
      <c r="L33" s="133">
        <v>26379</v>
      </c>
    </row>
    <row r="34" spans="2:12" x14ac:dyDescent="0.25">
      <c r="B34" s="137" t="s">
        <v>346</v>
      </c>
      <c r="C34" s="133"/>
      <c r="D34" s="133"/>
      <c r="E34" s="133"/>
      <c r="F34" s="133"/>
      <c r="G34" s="133"/>
      <c r="H34" s="133"/>
      <c r="I34" s="133"/>
      <c r="J34" s="133"/>
      <c r="K34" s="133"/>
      <c r="L34" s="133"/>
    </row>
    <row r="35" spans="2:12" x14ac:dyDescent="0.25">
      <c r="B35" s="68" t="s">
        <v>347</v>
      </c>
      <c r="C35" s="133">
        <v>27271</v>
      </c>
      <c r="D35" s="133">
        <v>29272</v>
      </c>
      <c r="E35" s="133">
        <v>32656</v>
      </c>
      <c r="F35" s="133">
        <v>35085</v>
      </c>
      <c r="G35" s="133">
        <v>42138</v>
      </c>
      <c r="H35" s="133">
        <v>39014</v>
      </c>
      <c r="I35" s="133">
        <v>37457</v>
      </c>
      <c r="J35" s="133">
        <v>36089</v>
      </c>
      <c r="K35" s="133">
        <v>35240</v>
      </c>
      <c r="L35" s="133">
        <v>40755</v>
      </c>
    </row>
    <row r="36" spans="2:12" x14ac:dyDescent="0.25">
      <c r="B36" s="68" t="s">
        <v>348</v>
      </c>
      <c r="C36" s="133">
        <v>10574</v>
      </c>
      <c r="D36" s="133">
        <v>12579</v>
      </c>
      <c r="E36" s="133">
        <v>13571</v>
      </c>
      <c r="F36" s="133">
        <v>14076</v>
      </c>
      <c r="G36" s="133">
        <v>19893</v>
      </c>
      <c r="H36" s="133">
        <v>18996</v>
      </c>
      <c r="I36" s="133">
        <v>11173</v>
      </c>
      <c r="J36" s="133">
        <v>12679</v>
      </c>
      <c r="K36" s="133">
        <v>12442</v>
      </c>
      <c r="L36" s="133">
        <v>15738</v>
      </c>
    </row>
    <row r="37" spans="2:12" x14ac:dyDescent="0.25">
      <c r="B37" s="68" t="s">
        <v>349</v>
      </c>
      <c r="C37" s="133">
        <v>29712</v>
      </c>
      <c r="D37" s="133">
        <v>32116</v>
      </c>
      <c r="E37" s="133">
        <v>30460</v>
      </c>
      <c r="F37" s="133">
        <v>36078</v>
      </c>
      <c r="G37" s="133">
        <v>34614</v>
      </c>
      <c r="H37" s="133">
        <v>32649</v>
      </c>
      <c r="I37" s="133">
        <v>33727</v>
      </c>
      <c r="J37" s="133">
        <v>46792</v>
      </c>
      <c r="K37" s="133">
        <v>40669</v>
      </c>
      <c r="L37" s="133">
        <v>37016</v>
      </c>
    </row>
    <row r="38" spans="2:12" x14ac:dyDescent="0.25">
      <c r="B38" s="68" t="s">
        <v>350</v>
      </c>
      <c r="C38" s="133">
        <v>9344</v>
      </c>
      <c r="D38" s="133">
        <v>6190</v>
      </c>
      <c r="E38" s="133">
        <v>0</v>
      </c>
      <c r="F38" s="133">
        <v>0</v>
      </c>
      <c r="G38" s="133">
        <v>966</v>
      </c>
      <c r="H38" s="133">
        <v>974</v>
      </c>
      <c r="I38" s="133">
        <v>39</v>
      </c>
      <c r="J38" s="133">
        <v>142</v>
      </c>
      <c r="K38" s="133">
        <v>47</v>
      </c>
      <c r="L38" s="133">
        <v>50</v>
      </c>
    </row>
    <row r="39" spans="2:12" x14ac:dyDescent="0.25">
      <c r="B39" s="68" t="s">
        <v>351</v>
      </c>
      <c r="C39" s="141">
        <v>28484</v>
      </c>
      <c r="D39" s="141">
        <v>24701</v>
      </c>
      <c r="E39" s="141">
        <v>29579</v>
      </c>
      <c r="F39" s="141">
        <v>37361</v>
      </c>
      <c r="G39" s="141">
        <v>47321</v>
      </c>
      <c r="H39" s="141">
        <v>55182</v>
      </c>
      <c r="I39" s="141">
        <v>58746</v>
      </c>
      <c r="J39" s="141">
        <v>61576</v>
      </c>
      <c r="K39" s="141">
        <v>62177</v>
      </c>
      <c r="L39" s="141">
        <v>68382</v>
      </c>
    </row>
    <row r="40" spans="2:12" ht="15.75" thickBot="1" x14ac:dyDescent="0.3">
      <c r="B40" s="138" t="s">
        <v>352</v>
      </c>
      <c r="C40" s="132">
        <v>218426</v>
      </c>
      <c r="D40" s="132">
        <v>237315</v>
      </c>
      <c r="E40" s="132">
        <v>263184</v>
      </c>
      <c r="F40" s="132">
        <v>272580</v>
      </c>
      <c r="G40" s="132">
        <v>327192</v>
      </c>
      <c r="H40" s="132">
        <v>305703</v>
      </c>
      <c r="I40" s="132">
        <v>320179</v>
      </c>
      <c r="J40" s="132">
        <v>341570</v>
      </c>
      <c r="K40" s="132">
        <v>329061</v>
      </c>
      <c r="L40" s="132">
        <v>334674</v>
      </c>
    </row>
  </sheetData>
  <mergeCells count="1">
    <mergeCell ref="B2:L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1E71-BD8A-438B-B2C7-0BCC80B830D2}">
  <sheetPr>
    <tabColor rgb="FF002060"/>
  </sheetPr>
  <dimension ref="A2:L70"/>
  <sheetViews>
    <sheetView showGridLines="0" workbookViewId="0">
      <pane ySplit="4" topLeftCell="A22" activePane="bottomLeft" state="frozen"/>
      <selection pane="bottomLeft" activeCell="C41" sqref="C41"/>
    </sheetView>
  </sheetViews>
  <sheetFormatPr defaultRowHeight="15" x14ac:dyDescent="0.25"/>
  <cols>
    <col min="1" max="1" width="2.28515625" customWidth="1"/>
    <col min="2" max="2" width="31" bestFit="1" customWidth="1"/>
    <col min="3" max="3" width="18.5703125" bestFit="1" customWidth="1"/>
    <col min="4" max="4" width="15.42578125" bestFit="1" customWidth="1"/>
    <col min="5" max="8" width="11.28515625" bestFit="1" customWidth="1"/>
  </cols>
  <sheetData>
    <row r="2" spans="1:12" x14ac:dyDescent="0.25">
      <c r="B2" s="165" t="str">
        <f>"Intrinsic Growth  "&amp;" -" &amp;'Data Sheet'!$B$1</f>
        <v>Intrinsic Growth   -ASIAN PAINTS LTD</v>
      </c>
      <c r="C2" s="165"/>
      <c r="D2" s="165"/>
      <c r="E2" s="165"/>
      <c r="F2" s="165"/>
      <c r="G2" s="165"/>
      <c r="H2" s="165"/>
      <c r="I2" s="129"/>
      <c r="J2" s="129"/>
      <c r="K2" s="129"/>
      <c r="L2" s="129"/>
    </row>
    <row r="4" spans="1:12" x14ac:dyDescent="0.25">
      <c r="B4" s="142" t="s">
        <v>319</v>
      </c>
      <c r="C4" s="135">
        <f>'Data Sheet'!F$56</f>
        <v>43555</v>
      </c>
      <c r="D4" s="135">
        <f>'Data Sheet'!G$56</f>
        <v>43921</v>
      </c>
      <c r="E4" s="135">
        <f>'Data Sheet'!H$56</f>
        <v>44286</v>
      </c>
      <c r="F4" s="135">
        <f>'Data Sheet'!I$56</f>
        <v>44651</v>
      </c>
      <c r="G4" s="135">
        <f>'Data Sheet'!J$56</f>
        <v>45016</v>
      </c>
      <c r="H4" s="135">
        <f>'Data Sheet'!K$56</f>
        <v>45382</v>
      </c>
    </row>
    <row r="5" spans="1:12" x14ac:dyDescent="0.25">
      <c r="B5" s="96"/>
      <c r="C5" s="140"/>
      <c r="D5" s="140"/>
      <c r="E5" s="140"/>
      <c r="F5" s="140"/>
      <c r="G5" s="140"/>
      <c r="H5" s="140"/>
    </row>
    <row r="6" spans="1:12" x14ac:dyDescent="0.25">
      <c r="A6" t="s">
        <v>60</v>
      </c>
      <c r="B6" s="20" t="s">
        <v>354</v>
      </c>
    </row>
    <row r="7" spans="1:12" x14ac:dyDescent="0.25">
      <c r="B7" s="133" t="str">
        <f>'Rw&gt;'!B35</f>
        <v>Inventories</v>
      </c>
      <c r="C7" s="133">
        <f>IFERROR('Rw&gt;'!G35,0)</f>
        <v>42138</v>
      </c>
      <c r="D7" s="133">
        <f>IFERROR('Rw&gt;'!H35,0)</f>
        <v>39014</v>
      </c>
      <c r="E7" s="133">
        <f>IFERROR('Rw&gt;'!I35,0)</f>
        <v>37457</v>
      </c>
      <c r="F7" s="133">
        <f>IFERROR('Rw&gt;'!J35,0)</f>
        <v>36089</v>
      </c>
      <c r="G7" s="133">
        <f>IFERROR('Rw&gt;'!K35,0)</f>
        <v>35240</v>
      </c>
      <c r="H7" s="133">
        <f>IFERROR('Rw&gt;'!L35,0)</f>
        <v>40755</v>
      </c>
    </row>
    <row r="8" spans="1:12" x14ac:dyDescent="0.25">
      <c r="B8" s="133" t="str">
        <f>'Rw&gt;'!B36</f>
        <v>Trade receivables</v>
      </c>
      <c r="C8" s="133">
        <f>IFERROR('Rw&gt;'!G36,0)</f>
        <v>19893</v>
      </c>
      <c r="D8" s="133">
        <f>IFERROR('Rw&gt;'!H36,0)</f>
        <v>18996</v>
      </c>
      <c r="E8" s="133">
        <f>IFERROR('Rw&gt;'!I36,0)</f>
        <v>11173</v>
      </c>
      <c r="F8" s="133">
        <f>IFERROR('Rw&gt;'!J36,0)</f>
        <v>12679</v>
      </c>
      <c r="G8" s="133">
        <f>IFERROR('Rw&gt;'!K36,0)</f>
        <v>12442</v>
      </c>
      <c r="H8" s="133">
        <f>IFERROR('Rw&gt;'!L36,0)</f>
        <v>15738</v>
      </c>
    </row>
    <row r="9" spans="1:12" x14ac:dyDescent="0.25">
      <c r="B9" s="133" t="str">
        <f>'Rw&gt;'!B38</f>
        <v>Short term loans</v>
      </c>
      <c r="C9" s="133">
        <f>IFERROR('Rw&gt;'!G39,0)</f>
        <v>47321</v>
      </c>
      <c r="D9" s="133">
        <f>IFERROR('Rw&gt;'!H39,0)</f>
        <v>55182</v>
      </c>
      <c r="E9" s="133">
        <f>IFERROR('Rw&gt;'!I39,0)</f>
        <v>58746</v>
      </c>
      <c r="F9" s="133">
        <f>IFERROR('Rw&gt;'!J39,0)</f>
        <v>61576</v>
      </c>
      <c r="G9" s="133">
        <f>IFERROR('Rw&gt;'!K39,0)</f>
        <v>62177</v>
      </c>
      <c r="H9" s="133">
        <f>IFERROR('Rw&gt;'!L39,0)</f>
        <v>68382</v>
      </c>
    </row>
    <row r="10" spans="1:12" x14ac:dyDescent="0.25">
      <c r="B10" s="141" t="str">
        <f>'Rw&gt;'!B39</f>
        <v>Other asset items</v>
      </c>
      <c r="C10" s="141">
        <f>'Rw&gt;'!G40</f>
        <v>327192</v>
      </c>
      <c r="D10" s="141">
        <f>'Rw&gt;'!H40</f>
        <v>305703</v>
      </c>
      <c r="E10" s="141">
        <f>'Rw&gt;'!I40</f>
        <v>320179</v>
      </c>
      <c r="F10" s="141">
        <f>'Rw&gt;'!J40</f>
        <v>341570</v>
      </c>
      <c r="G10" s="141">
        <f>'Rw&gt;'!K40</f>
        <v>329061</v>
      </c>
      <c r="H10" s="141">
        <f>'Rw&gt;'!L40</f>
        <v>334674</v>
      </c>
    </row>
    <row r="11" spans="1:12" x14ac:dyDescent="0.25">
      <c r="B11" s="46" t="s">
        <v>353</v>
      </c>
      <c r="C11" s="46">
        <f>IFERROR(SUM(C7:C10),0)</f>
        <v>436544</v>
      </c>
      <c r="D11" s="46">
        <f t="shared" ref="D11:H11" si="0">IFERROR(SUM(D7:D10),0)</f>
        <v>418895</v>
      </c>
      <c r="E11" s="46">
        <f t="shared" si="0"/>
        <v>427555</v>
      </c>
      <c r="F11" s="46">
        <f t="shared" si="0"/>
        <v>451914</v>
      </c>
      <c r="G11" s="46">
        <f t="shared" si="0"/>
        <v>438920</v>
      </c>
      <c r="H11" s="46">
        <f t="shared" si="0"/>
        <v>459549</v>
      </c>
    </row>
    <row r="14" spans="1:12" x14ac:dyDescent="0.25">
      <c r="A14" t="s">
        <v>60</v>
      </c>
      <c r="B14" s="20" t="s">
        <v>355</v>
      </c>
    </row>
    <row r="15" spans="1:12" x14ac:dyDescent="0.25">
      <c r="B15" s="20"/>
    </row>
    <row r="16" spans="1:12" x14ac:dyDescent="0.25">
      <c r="B16" t="str">
        <f>'Rw&gt;'!B15</f>
        <v>Trade Payables</v>
      </c>
      <c r="C16" s="133">
        <f>IFERROR('Rw&gt;'!G15,0)</f>
        <v>76940</v>
      </c>
      <c r="D16" s="133">
        <f>'Rw&gt;'!H15</f>
        <v>71691</v>
      </c>
      <c r="E16" s="133">
        <f>'Rw&gt;'!I15</f>
        <v>66398</v>
      </c>
      <c r="F16" s="133">
        <f>'Rw&gt;'!J15</f>
        <v>76040</v>
      </c>
      <c r="G16" s="133">
        <f>'Rw&gt;'!K15</f>
        <v>69750</v>
      </c>
      <c r="H16" s="133">
        <f>'Rw&gt;'!L15</f>
        <v>79252</v>
      </c>
    </row>
    <row r="17" spans="1:8" x14ac:dyDescent="0.25">
      <c r="B17" t="str">
        <f>'Rw&gt;'!B16</f>
        <v>Advance from Customers</v>
      </c>
      <c r="C17" s="133">
        <f>'Rw&gt;'!G16</f>
        <v>0</v>
      </c>
      <c r="D17" s="133">
        <f>'Rw&gt;'!H16</f>
        <v>0</v>
      </c>
      <c r="E17" s="133">
        <f>'Rw&gt;'!I16</f>
        <v>0</v>
      </c>
      <c r="F17" s="133">
        <f>'Rw&gt;'!J16</f>
        <v>0</v>
      </c>
      <c r="G17" s="133">
        <f>'Rw&gt;'!K16</f>
        <v>0</v>
      </c>
      <c r="H17" s="133">
        <f>'Rw&gt;'!L16</f>
        <v>0</v>
      </c>
    </row>
    <row r="18" spans="1:8" x14ac:dyDescent="0.25">
      <c r="B18" t="str">
        <f>'Rw&gt;'!B17</f>
        <v>Other liability items</v>
      </c>
      <c r="C18" s="141">
        <f>'Rw&gt;'!G17</f>
        <v>65349</v>
      </c>
      <c r="D18" s="141">
        <f>'Rw&gt;'!H17</f>
        <v>67135</v>
      </c>
      <c r="E18" s="141">
        <f>'Rw&gt;'!I17</f>
        <v>65969</v>
      </c>
      <c r="F18" s="141">
        <f>'Rw&gt;'!J17</f>
        <v>66579</v>
      </c>
      <c r="G18" s="141">
        <f>'Rw&gt;'!K17</f>
        <v>64030</v>
      </c>
      <c r="H18" s="141">
        <f>'Rw&gt;'!L17</f>
        <v>68710</v>
      </c>
    </row>
    <row r="19" spans="1:8" x14ac:dyDescent="0.25">
      <c r="B19" s="26" t="s">
        <v>356</v>
      </c>
      <c r="C19" s="46">
        <f>SUM(C16:C18)</f>
        <v>142289</v>
      </c>
      <c r="D19" s="46">
        <f t="shared" ref="D19:H19" si="1">SUM(D16:D18)</f>
        <v>138826</v>
      </c>
      <c r="E19" s="46">
        <f t="shared" si="1"/>
        <v>132367</v>
      </c>
      <c r="F19" s="46">
        <f t="shared" si="1"/>
        <v>142619</v>
      </c>
      <c r="G19" s="46">
        <f t="shared" si="1"/>
        <v>133780</v>
      </c>
      <c r="H19" s="46">
        <f t="shared" si="1"/>
        <v>147962</v>
      </c>
    </row>
    <row r="21" spans="1:8" x14ac:dyDescent="0.25">
      <c r="A21" t="s">
        <v>60</v>
      </c>
      <c r="B21" s="26" t="s">
        <v>357</v>
      </c>
      <c r="C21" s="46">
        <f>C11-C19</f>
        <v>294255</v>
      </c>
      <c r="D21" s="46">
        <f t="shared" ref="D21:H21" si="2">D11-D19</f>
        <v>280069</v>
      </c>
      <c r="E21" s="46">
        <f t="shared" si="2"/>
        <v>295188</v>
      </c>
      <c r="F21" s="46">
        <f t="shared" si="2"/>
        <v>309295</v>
      </c>
      <c r="G21" s="46">
        <f t="shared" si="2"/>
        <v>305140</v>
      </c>
      <c r="H21" s="46">
        <f t="shared" si="2"/>
        <v>311587</v>
      </c>
    </row>
    <row r="24" spans="1:8" x14ac:dyDescent="0.25">
      <c r="A24" t="s">
        <v>60</v>
      </c>
      <c r="B24" s="20" t="s">
        <v>358</v>
      </c>
    </row>
    <row r="26" spans="1:8" x14ac:dyDescent="0.25">
      <c r="B26" t="str">
        <f>'Rw&gt;'!B21</f>
        <v>Land</v>
      </c>
      <c r="C26" s="133">
        <f>'Rw&gt;'!G21</f>
        <v>7339</v>
      </c>
      <c r="D26" s="133">
        <f>'Rw&gt;'!H21</f>
        <v>7286</v>
      </c>
      <c r="E26" s="133">
        <f>'Rw&gt;'!I21</f>
        <v>7675</v>
      </c>
      <c r="F26" s="133">
        <f>'Rw&gt;'!J21</f>
        <v>7819</v>
      </c>
      <c r="G26" s="133">
        <f>'Rw&gt;'!K21</f>
        <v>7760</v>
      </c>
      <c r="H26" s="133">
        <f>'Rw&gt;'!L21</f>
        <v>8045</v>
      </c>
    </row>
    <row r="27" spans="1:8" x14ac:dyDescent="0.25">
      <c r="B27" t="str">
        <f>'Rw&gt;'!B22</f>
        <v>Building</v>
      </c>
      <c r="C27" s="133">
        <f>'Rw&gt;'!G22</f>
        <v>16552</v>
      </c>
      <c r="D27" s="133">
        <f>'Rw&gt;'!H22</f>
        <v>22938</v>
      </c>
      <c r="E27" s="133">
        <f>'Rw&gt;'!I22</f>
        <v>32665</v>
      </c>
      <c r="F27" s="133">
        <f>'Rw&gt;'!J22</f>
        <v>35537</v>
      </c>
      <c r="G27" s="133">
        <f>'Rw&gt;'!K22</f>
        <v>36466</v>
      </c>
      <c r="H27" s="133">
        <f>'Rw&gt;'!L22</f>
        <v>38781</v>
      </c>
    </row>
    <row r="28" spans="1:8" x14ac:dyDescent="0.25">
      <c r="B28" t="str">
        <f>'Rw&gt;'!B23</f>
        <v>Plant Machinery</v>
      </c>
      <c r="C28" s="133">
        <f>'Rw&gt;'!G23</f>
        <v>100226</v>
      </c>
      <c r="D28" s="133">
        <f>'Rw&gt;'!H23</f>
        <v>109415</v>
      </c>
      <c r="E28" s="133">
        <f>'Rw&gt;'!I23</f>
        <v>124158</v>
      </c>
      <c r="F28" s="133">
        <f>'Rw&gt;'!J23</f>
        <v>138868</v>
      </c>
      <c r="G28" s="133">
        <f>'Rw&gt;'!K23</f>
        <v>148585</v>
      </c>
      <c r="H28" s="133">
        <f>'Rw&gt;'!L23</f>
        <v>153672</v>
      </c>
    </row>
    <row r="29" spans="1:8" x14ac:dyDescent="0.25">
      <c r="B29" t="str">
        <f>'Rw&gt;'!B24</f>
        <v>Equipments</v>
      </c>
      <c r="C29" s="133">
        <f>'Rw&gt;'!G24</f>
        <v>0</v>
      </c>
      <c r="D29" s="133">
        <f>'Rw&gt;'!H24</f>
        <v>0</v>
      </c>
      <c r="E29" s="133">
        <f>'Rw&gt;'!I24</f>
        <v>0</v>
      </c>
      <c r="F29" s="133">
        <f>'Rw&gt;'!J24</f>
        <v>0</v>
      </c>
      <c r="G29" s="133">
        <f>'Rw&gt;'!K24</f>
        <v>0</v>
      </c>
      <c r="H29" s="133">
        <f>'Rw&gt;'!L24</f>
        <v>0</v>
      </c>
    </row>
    <row r="30" spans="1:8" x14ac:dyDescent="0.25">
      <c r="B30" t="str">
        <f>'Rw&gt;'!B25</f>
        <v>Computers</v>
      </c>
      <c r="C30" s="133">
        <f>'Rw&gt;'!G25</f>
        <v>1943</v>
      </c>
      <c r="D30" s="133">
        <f>'Rw&gt;'!H25</f>
        <v>2335</v>
      </c>
      <c r="E30" s="133">
        <f>'Rw&gt;'!I25</f>
        <v>3054</v>
      </c>
      <c r="F30" s="133">
        <f>'Rw&gt;'!J25</f>
        <v>3172</v>
      </c>
      <c r="G30" s="133">
        <f>'Rw&gt;'!K25</f>
        <v>3383</v>
      </c>
      <c r="H30" s="133">
        <f>'Rw&gt;'!L25</f>
        <v>3499</v>
      </c>
    </row>
    <row r="31" spans="1:8" x14ac:dyDescent="0.25">
      <c r="B31" t="str">
        <f>'Rw&gt;'!B26</f>
        <v>Furniture n fittings</v>
      </c>
      <c r="C31" s="133">
        <f>'Rw&gt;'!G26</f>
        <v>1430</v>
      </c>
      <c r="D31" s="133">
        <f>'Rw&gt;'!H26</f>
        <v>1626</v>
      </c>
      <c r="E31" s="133">
        <f>'Rw&gt;'!I26</f>
        <v>1890</v>
      </c>
      <c r="F31" s="133">
        <f>'Rw&gt;'!J26</f>
        <v>1956</v>
      </c>
      <c r="G31" s="133">
        <f>'Rw&gt;'!K26</f>
        <v>1984</v>
      </c>
      <c r="H31" s="133">
        <f>'Rw&gt;'!L26</f>
        <v>2084</v>
      </c>
    </row>
    <row r="32" spans="1:8" x14ac:dyDescent="0.25">
      <c r="B32" t="str">
        <f>'Rw&gt;'!B27</f>
        <v>Vehicles</v>
      </c>
      <c r="C32" s="133">
        <f>'Rw&gt;'!G27</f>
        <v>353</v>
      </c>
      <c r="D32" s="133">
        <f>'Rw&gt;'!H27</f>
        <v>387</v>
      </c>
      <c r="E32" s="133">
        <f>'Rw&gt;'!I27</f>
        <v>601</v>
      </c>
      <c r="F32" s="133">
        <f>'Rw&gt;'!J27</f>
        <v>845</v>
      </c>
      <c r="G32" s="133">
        <f>'Rw&gt;'!K27</f>
        <v>725</v>
      </c>
      <c r="H32" s="133">
        <f>'Rw&gt;'!L27</f>
        <v>788</v>
      </c>
    </row>
    <row r="33" spans="1:8" x14ac:dyDescent="0.25">
      <c r="B33" t="str">
        <f>'Rw&gt;'!B28</f>
        <v>Intangible Assets</v>
      </c>
      <c r="C33" s="133">
        <f>'Rw&gt;'!G28</f>
        <v>77870</v>
      </c>
      <c r="D33" s="133">
        <f>'Rw&gt;'!H28</f>
        <v>80480</v>
      </c>
      <c r="E33" s="133">
        <f>'Rw&gt;'!I28</f>
        <v>91157</v>
      </c>
      <c r="F33" s="133">
        <f>'Rw&gt;'!J28</f>
        <v>114809</v>
      </c>
      <c r="G33" s="133">
        <f>'Rw&gt;'!K28</f>
        <v>114323</v>
      </c>
      <c r="H33" s="133">
        <f>'Rw&gt;'!L28</f>
        <v>112538</v>
      </c>
    </row>
    <row r="34" spans="1:8" x14ac:dyDescent="0.25">
      <c r="B34" t="str">
        <f>'Rw&gt;'!B29</f>
        <v>Other fixed assets</v>
      </c>
      <c r="C34" s="133">
        <f>'Rw&gt;'!G29</f>
        <v>7497</v>
      </c>
      <c r="D34" s="133">
        <f>'Rw&gt;'!H29</f>
        <v>8049</v>
      </c>
      <c r="E34" s="133">
        <f>'Rw&gt;'!I29</f>
        <v>9380</v>
      </c>
      <c r="F34" s="133">
        <f>'Rw&gt;'!J29</f>
        <v>10686</v>
      </c>
      <c r="G34" s="133">
        <f>'Rw&gt;'!K29</f>
        <v>10870</v>
      </c>
      <c r="H34" s="133">
        <f>'Rw&gt;'!L29</f>
        <v>11735</v>
      </c>
    </row>
    <row r="36" spans="1:8" x14ac:dyDescent="0.25">
      <c r="A36" t="s">
        <v>60</v>
      </c>
      <c r="B36" s="26" t="str">
        <f>'Rw&gt;'!B30</f>
        <v>Gross Block</v>
      </c>
      <c r="C36" s="46">
        <f>SUM(C26:C34)</f>
        <v>213210</v>
      </c>
      <c r="D36" s="46">
        <f t="shared" ref="D36:H36" si="3">SUM(D26:D34)</f>
        <v>232516</v>
      </c>
      <c r="E36" s="46">
        <f t="shared" si="3"/>
        <v>270580</v>
      </c>
      <c r="F36" s="46">
        <f t="shared" si="3"/>
        <v>313692</v>
      </c>
      <c r="G36" s="46">
        <f t="shared" si="3"/>
        <v>324096</v>
      </c>
      <c r="H36" s="46">
        <f t="shared" si="3"/>
        <v>331142</v>
      </c>
    </row>
    <row r="37" spans="1:8" x14ac:dyDescent="0.25">
      <c r="B37" t="str">
        <f>"Less " &amp;'Rw&gt;'!B31</f>
        <v>Less Accumulated Depreciation</v>
      </c>
      <c r="C37" s="46">
        <f>'Rw&gt;'!G31</f>
        <v>91795</v>
      </c>
      <c r="D37" s="46">
        <f>'Rw&gt;'!H31</f>
        <v>121283</v>
      </c>
      <c r="E37" s="46">
        <f>'Rw&gt;'!I31</f>
        <v>143471</v>
      </c>
      <c r="F37" s="46">
        <f>'Rw&gt;'!J31</f>
        <v>174985</v>
      </c>
      <c r="G37" s="46">
        <f>'Rw&gt;'!K31</f>
        <v>185241</v>
      </c>
      <c r="H37" s="46">
        <f>'Rw&gt;'!L31</f>
        <v>199062</v>
      </c>
    </row>
    <row r="38" spans="1:8" x14ac:dyDescent="0.25">
      <c r="B38" s="26" t="s">
        <v>359</v>
      </c>
      <c r="C38" s="46">
        <f>C36-C37</f>
        <v>121415</v>
      </c>
      <c r="D38" s="46">
        <f t="shared" ref="D38:H38" si="4">D36-D37</f>
        <v>111233</v>
      </c>
      <c r="E38" s="46">
        <f t="shared" si="4"/>
        <v>127109</v>
      </c>
      <c r="F38" s="46">
        <f t="shared" si="4"/>
        <v>138707</v>
      </c>
      <c r="G38" s="46">
        <f t="shared" si="4"/>
        <v>138855</v>
      </c>
      <c r="H38" s="46">
        <f t="shared" si="4"/>
        <v>132080</v>
      </c>
    </row>
    <row r="40" spans="1:8" x14ac:dyDescent="0.25">
      <c r="A40" t="s">
        <v>60</v>
      </c>
      <c r="B40" t="s">
        <v>360</v>
      </c>
      <c r="C40" s="143">
        <f>C38+C21</f>
        <v>415670</v>
      </c>
      <c r="D40" s="143">
        <f t="shared" ref="D40:H40" si="5">D38+D21</f>
        <v>391302</v>
      </c>
      <c r="E40" s="143">
        <f t="shared" si="5"/>
        <v>422297</v>
      </c>
      <c r="F40" s="143">
        <f t="shared" si="5"/>
        <v>448002</v>
      </c>
      <c r="G40" s="143">
        <f t="shared" si="5"/>
        <v>443995</v>
      </c>
      <c r="H40" s="143">
        <f t="shared" si="5"/>
        <v>443667</v>
      </c>
    </row>
    <row r="41" spans="1:8" x14ac:dyDescent="0.25">
      <c r="B41" t="s">
        <v>361</v>
      </c>
      <c r="C41" s="143">
        <f>IFERROR('Historical FS'!G19-'Historical FS'!G25,0)</f>
        <v>3345.3100000000022</v>
      </c>
      <c r="D41" s="143">
        <f>IFERROR('Historical FS'!H19-'Historical FS'!H25,0)</f>
        <v>3961.2199999999975</v>
      </c>
      <c r="E41" s="143">
        <f>IFERROR('Historical FS'!I19-'Historical FS'!I25,0)</f>
        <v>4640.7600000000039</v>
      </c>
      <c r="F41" s="143">
        <f>IFERROR('Historical FS'!J19-'Historical FS'!J25,0)</f>
        <v>4752.37</v>
      </c>
      <c r="G41" s="143">
        <f>IFERROR('Historical FS'!K19-'Historical FS'!K25,0)</f>
        <v>6363.0299999999952</v>
      </c>
      <c r="H41" s="143">
        <f>IFERROR('Historical FS'!L19-'Historical FS'!L25,0)</f>
        <v>7819.8800000000028</v>
      </c>
    </row>
    <row r="42" spans="1:8" x14ac:dyDescent="0.25">
      <c r="B42" s="26" t="s">
        <v>362</v>
      </c>
      <c r="C42" s="144">
        <f>C41/C40</f>
        <v>8.0479948035701455E-3</v>
      </c>
      <c r="D42" s="144">
        <f t="shared" ref="D42:H42" si="6">D41/D40</f>
        <v>1.0123178516848873E-2</v>
      </c>
      <c r="E42" s="144">
        <f t="shared" si="6"/>
        <v>1.098932741648651E-2</v>
      </c>
      <c r="F42" s="144">
        <f t="shared" si="6"/>
        <v>1.0607921393208066E-2</v>
      </c>
      <c r="G42" s="144">
        <f t="shared" si="6"/>
        <v>1.4331310037275185E-2</v>
      </c>
      <c r="H42" s="144">
        <f t="shared" si="6"/>
        <v>1.7625561513477456E-2</v>
      </c>
    </row>
    <row r="45" spans="1:8" x14ac:dyDescent="0.25">
      <c r="A45" t="s">
        <v>60</v>
      </c>
      <c r="B45" s="142" t="s">
        <v>363</v>
      </c>
      <c r="C45" s="135">
        <f>'Data Sheet'!F$56</f>
        <v>43555</v>
      </c>
      <c r="D45" s="135">
        <f>'Data Sheet'!G$56</f>
        <v>43921</v>
      </c>
      <c r="E45" s="135">
        <f>'Data Sheet'!H$56</f>
        <v>44286</v>
      </c>
      <c r="F45" s="135">
        <f>'Data Sheet'!I$56</f>
        <v>44651</v>
      </c>
      <c r="G45" s="135">
        <f>'Data Sheet'!J$56</f>
        <v>45016</v>
      </c>
      <c r="H45" s="135">
        <f>'Data Sheet'!K$56</f>
        <v>45382</v>
      </c>
    </row>
    <row r="47" spans="1:8" x14ac:dyDescent="0.25">
      <c r="B47" t="s">
        <v>364</v>
      </c>
      <c r="C47" s="23">
        <f>-IFERROR('Historical FS'!G90+'Historical FS'!G91,0)</f>
        <v>35049</v>
      </c>
      <c r="D47" s="23">
        <f>-IFERROR('Historical FS'!H90+'Historical FS'!H91,0)</f>
        <v>35237</v>
      </c>
      <c r="E47" s="23">
        <f>-IFERROR('Historical FS'!I90+'Historical FS'!I91,0)</f>
        <v>29531</v>
      </c>
      <c r="F47" s="23">
        <f>-IFERROR('Historical FS'!J90+'Historical FS'!J91,0)</f>
        <v>19854</v>
      </c>
      <c r="G47" s="23">
        <f>-IFERROR('Historical FS'!K90+'Historical FS'!K91,0)</f>
        <v>14938</v>
      </c>
      <c r="H47" s="23">
        <f>-IFERROR('Historical FS'!L90+'Historical FS'!L91,0)</f>
        <v>18945</v>
      </c>
    </row>
    <row r="48" spans="1:8" x14ac:dyDescent="0.25">
      <c r="B48" t="s">
        <v>365</v>
      </c>
      <c r="C48" s="23"/>
      <c r="D48" s="23">
        <f>D21-C21</f>
        <v>-14186</v>
      </c>
      <c r="E48" s="23">
        <f t="shared" ref="E48:H48" si="7">E21-D21</f>
        <v>15119</v>
      </c>
      <c r="F48" s="23">
        <f t="shared" si="7"/>
        <v>14107</v>
      </c>
      <c r="G48" s="23">
        <f t="shared" si="7"/>
        <v>-4155</v>
      </c>
      <c r="H48" s="23">
        <f t="shared" si="7"/>
        <v>6447</v>
      </c>
    </row>
    <row r="49" spans="1:8" x14ac:dyDescent="0.25">
      <c r="A49" t="s">
        <v>368</v>
      </c>
      <c r="B49" s="118" t="s">
        <v>372</v>
      </c>
      <c r="C49" s="118"/>
      <c r="D49" s="147">
        <f>SUM(D47:D48)</f>
        <v>21051</v>
      </c>
      <c r="E49" s="147">
        <f t="shared" ref="E49:H49" si="8">SUM(E47:E48)</f>
        <v>44650</v>
      </c>
      <c r="F49" s="147">
        <f t="shared" si="8"/>
        <v>33961</v>
      </c>
      <c r="G49" s="147">
        <f t="shared" si="8"/>
        <v>10783</v>
      </c>
      <c r="H49" s="147">
        <f t="shared" si="8"/>
        <v>25392</v>
      </c>
    </row>
    <row r="51" spans="1:8" x14ac:dyDescent="0.25">
      <c r="A51" t="s">
        <v>60</v>
      </c>
      <c r="B51" t="s">
        <v>366</v>
      </c>
      <c r="C51" s="23">
        <f>C41</f>
        <v>3345.3100000000022</v>
      </c>
      <c r="D51" s="23">
        <f t="shared" ref="D51:H51" si="9">D41</f>
        <v>3961.2199999999975</v>
      </c>
      <c r="E51" s="23">
        <f t="shared" si="9"/>
        <v>4640.7600000000039</v>
      </c>
      <c r="F51" s="23">
        <f t="shared" si="9"/>
        <v>4752.37</v>
      </c>
      <c r="G51" s="23">
        <f t="shared" si="9"/>
        <v>6363.0299999999952</v>
      </c>
      <c r="H51" s="23">
        <f t="shared" si="9"/>
        <v>7819.8800000000028</v>
      </c>
    </row>
    <row r="52" spans="1:8" x14ac:dyDescent="0.25">
      <c r="B52" t="s">
        <v>126</v>
      </c>
      <c r="C52" s="145">
        <v>0.25</v>
      </c>
      <c r="D52" s="15">
        <f>C52</f>
        <v>0.25</v>
      </c>
      <c r="E52" s="15">
        <f t="shared" ref="E52:H52" si="10">D52</f>
        <v>0.25</v>
      </c>
      <c r="F52" s="15">
        <f t="shared" si="10"/>
        <v>0.25</v>
      </c>
      <c r="G52" s="15">
        <f t="shared" si="10"/>
        <v>0.25</v>
      </c>
      <c r="H52" s="15">
        <f t="shared" si="10"/>
        <v>0.25</v>
      </c>
    </row>
    <row r="53" spans="1:8" x14ac:dyDescent="0.25">
      <c r="A53" t="s">
        <v>369</v>
      </c>
      <c r="B53" s="118" t="s">
        <v>367</v>
      </c>
      <c r="C53" s="146">
        <f>C51*(1-C52)</f>
        <v>2508.9825000000019</v>
      </c>
      <c r="D53" s="146">
        <f t="shared" ref="D53:H53" si="11">D51*(1-D52)</f>
        <v>2970.9149999999981</v>
      </c>
      <c r="E53" s="146">
        <f t="shared" si="11"/>
        <v>3480.5700000000029</v>
      </c>
      <c r="F53" s="146">
        <f t="shared" si="11"/>
        <v>3564.2775000000001</v>
      </c>
      <c r="G53" s="146">
        <f t="shared" si="11"/>
        <v>4772.2724999999964</v>
      </c>
      <c r="H53" s="146">
        <f t="shared" si="11"/>
        <v>5864.9100000000017</v>
      </c>
    </row>
    <row r="55" spans="1:8" x14ac:dyDescent="0.25">
      <c r="B55" s="144" t="s">
        <v>371</v>
      </c>
      <c r="C55" s="144"/>
      <c r="D55" s="144">
        <f>D49/D53</f>
        <v>7.0856958209844487</v>
      </c>
      <c r="E55" s="144">
        <f t="shared" ref="E55:G55" si="12">E49/E53</f>
        <v>12.828358573452039</v>
      </c>
      <c r="F55" s="144">
        <f t="shared" si="12"/>
        <v>9.5281582312263851</v>
      </c>
      <c r="G55" s="144">
        <f t="shared" si="12"/>
        <v>2.2595105371707103</v>
      </c>
      <c r="H55" s="144">
        <f>H49/H53</f>
        <v>4.3294782017115336</v>
      </c>
    </row>
    <row r="58" spans="1:8" x14ac:dyDescent="0.25">
      <c r="A58" t="s">
        <v>60</v>
      </c>
      <c r="B58" s="142" t="s">
        <v>373</v>
      </c>
      <c r="C58" s="135">
        <f>'Data Sheet'!F$56</f>
        <v>43555</v>
      </c>
      <c r="D58" s="135">
        <f>'Data Sheet'!G$56</f>
        <v>43921</v>
      </c>
      <c r="E58" s="135">
        <f>'Data Sheet'!H$56</f>
        <v>44286</v>
      </c>
      <c r="F58" s="135">
        <f>'Data Sheet'!I$56</f>
        <v>44651</v>
      </c>
      <c r="G58" s="135">
        <f>'Data Sheet'!J$56</f>
        <v>45016</v>
      </c>
      <c r="H58" s="135">
        <f>'Data Sheet'!K$56</f>
        <v>45382</v>
      </c>
    </row>
    <row r="60" spans="1:8" x14ac:dyDescent="0.25">
      <c r="B60" s="15" t="str">
        <f>B55</f>
        <v>Reinvestment Rate (A/B)</v>
      </c>
      <c r="C60" s="148"/>
      <c r="D60" s="148">
        <f t="shared" ref="D60:H60" si="13">D55</f>
        <v>7.0856958209844487</v>
      </c>
      <c r="E60" s="148">
        <f t="shared" si="13"/>
        <v>12.828358573452039</v>
      </c>
      <c r="F60" s="148">
        <f t="shared" si="13"/>
        <v>9.5281582312263851</v>
      </c>
      <c r="G60" s="148">
        <f t="shared" si="13"/>
        <v>2.2595105371707103</v>
      </c>
      <c r="H60" s="148">
        <f t="shared" si="13"/>
        <v>4.3294782017115336</v>
      </c>
    </row>
    <row r="61" spans="1:8" x14ac:dyDescent="0.25">
      <c r="B61" t="str">
        <f>B42</f>
        <v>ROIC</v>
      </c>
      <c r="C61" s="148">
        <f t="shared" ref="C61:H61" si="14">C42</f>
        <v>8.0479948035701455E-3</v>
      </c>
      <c r="D61" s="148">
        <f t="shared" si="14"/>
        <v>1.0123178516848873E-2</v>
      </c>
      <c r="E61" s="148">
        <f t="shared" si="14"/>
        <v>1.098932741648651E-2</v>
      </c>
      <c r="F61" s="148">
        <f t="shared" si="14"/>
        <v>1.0607921393208066E-2</v>
      </c>
      <c r="G61" s="148">
        <f t="shared" si="14"/>
        <v>1.4331310037275185E-2</v>
      </c>
      <c r="H61" s="148">
        <f t="shared" si="14"/>
        <v>1.7625561513477456E-2</v>
      </c>
    </row>
    <row r="62" spans="1:8" x14ac:dyDescent="0.25">
      <c r="B62" s="149" t="s">
        <v>374</v>
      </c>
      <c r="C62" s="149"/>
      <c r="D62" s="150">
        <f>D60*D61</f>
        <v>7.1729763711915612E-2</v>
      </c>
      <c r="E62" s="150">
        <f t="shared" ref="E62:H62" si="15">E60*E61</f>
        <v>0.14097503257975627</v>
      </c>
      <c r="F62" s="150">
        <f t="shared" si="15"/>
        <v>0.10107395353889789</v>
      </c>
      <c r="G62" s="150">
        <f t="shared" si="15"/>
        <v>3.2381746040683647E-2</v>
      </c>
      <c r="H62" s="150">
        <f t="shared" si="15"/>
        <v>7.6309484365526398E-2</v>
      </c>
    </row>
    <row r="63" spans="1:8" x14ac:dyDescent="0.25">
      <c r="B63" s="20"/>
      <c r="C63" s="20"/>
      <c r="D63" s="151"/>
      <c r="E63" s="151"/>
      <c r="F63" s="151"/>
      <c r="G63" s="151"/>
      <c r="H63" s="151"/>
    </row>
    <row r="64" spans="1:8" x14ac:dyDescent="0.25">
      <c r="C64" s="95" t="s">
        <v>370</v>
      </c>
      <c r="D64" s="95" t="s">
        <v>376</v>
      </c>
      <c r="E64" s="95" t="s">
        <v>362</v>
      </c>
    </row>
    <row r="65" spans="1:5" x14ac:dyDescent="0.25">
      <c r="A65" t="s">
        <v>60</v>
      </c>
      <c r="B65" s="20" t="s">
        <v>375</v>
      </c>
      <c r="C65" s="148">
        <f>AVERAGE(D60:H60)</f>
        <v>7.2062402729090227</v>
      </c>
      <c r="D65" s="15">
        <f>AVERAGE(D62:H62)</f>
        <v>8.4493996047355968E-2</v>
      </c>
      <c r="E65" s="148">
        <f>AVERAGE(C61:H61)</f>
        <v>1.1954215613477705E-2</v>
      </c>
    </row>
    <row r="66" spans="1:5" x14ac:dyDescent="0.25">
      <c r="B66" s="20" t="s">
        <v>377</v>
      </c>
      <c r="C66" s="148">
        <f>MEDIAN(C60:H60)</f>
        <v>7.0856958209844487</v>
      </c>
      <c r="D66" s="31">
        <f>MEDIAN(C62:H62)</f>
        <v>7.6309484365526398E-2</v>
      </c>
      <c r="E66" s="148">
        <f>MEDIAN(C61:H61)</f>
        <v>1.0798624404847287E-2</v>
      </c>
    </row>
    <row r="68" spans="1:5" x14ac:dyDescent="0.25">
      <c r="A68" t="s">
        <v>378</v>
      </c>
    </row>
    <row r="69" spans="1:5" x14ac:dyDescent="0.25">
      <c r="B69" s="152" t="s">
        <v>379</v>
      </c>
    </row>
    <row r="70" spans="1:5" x14ac:dyDescent="0.25">
      <c r="B70" s="152" t="s">
        <v>380</v>
      </c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0AD2-5320-4F61-958E-B792491ED5CD}">
  <dimension ref="A1:N48"/>
  <sheetViews>
    <sheetView showGridLines="0" tabSelected="1" zoomScale="102" zoomScaleNormal="178" workbookViewId="0">
      <selection activeCell="M17" sqref="M17"/>
    </sheetView>
  </sheetViews>
  <sheetFormatPr defaultRowHeight="15" x14ac:dyDescent="0.25"/>
  <cols>
    <col min="1" max="1" width="2" bestFit="1" customWidth="1"/>
    <col min="2" max="2" width="36" bestFit="1" customWidth="1"/>
    <col min="3" max="3" width="14.140625" bestFit="1" customWidth="1"/>
    <col min="4" max="8" width="10.7109375" bestFit="1" customWidth="1"/>
    <col min="14" max="14" width="10.28515625" bestFit="1" customWidth="1"/>
  </cols>
  <sheetData>
    <row r="1" spans="1:14" x14ac:dyDescent="0.25">
      <c r="L1" t="s">
        <v>406</v>
      </c>
      <c r="M1" t="s">
        <v>407</v>
      </c>
    </row>
    <row r="2" spans="1:14" x14ac:dyDescent="0.25">
      <c r="B2" s="165" t="str">
        <f>"FCFF "&amp;" -" &amp;'Data Sheet'!$B$1</f>
        <v>FCFF  -ASIAN PAINTS LTD</v>
      </c>
      <c r="C2" s="165"/>
      <c r="D2" s="165"/>
      <c r="E2" s="165"/>
      <c r="F2" s="165"/>
      <c r="G2" s="165"/>
      <c r="H2" s="165"/>
      <c r="K2" s="135">
        <f>'Intrinsic Growth'!K7</f>
        <v>0</v>
      </c>
      <c r="L2">
        <v>-100</v>
      </c>
      <c r="N2">
        <f>L2</f>
        <v>-100</v>
      </c>
    </row>
    <row r="3" spans="1:14" x14ac:dyDescent="0.25">
      <c r="K3" s="153">
        <f>K2+365</f>
        <v>365</v>
      </c>
      <c r="L3">
        <v>15</v>
      </c>
      <c r="M3" s="29">
        <f>L8+1</f>
        <v>1.05</v>
      </c>
      <c r="N3">
        <f>L3/M3</f>
        <v>14.285714285714285</v>
      </c>
    </row>
    <row r="4" spans="1:14" x14ac:dyDescent="0.25">
      <c r="A4" t="s">
        <v>60</v>
      </c>
      <c r="B4" s="142" t="s">
        <v>319</v>
      </c>
      <c r="C4" s="135">
        <f>'Intrinsic Growth'!H4</f>
        <v>45382</v>
      </c>
      <c r="D4" s="153">
        <f>C4+365</f>
        <v>45747</v>
      </c>
      <c r="E4" s="153">
        <f t="shared" ref="E4:H4" si="0">D4+365</f>
        <v>46112</v>
      </c>
      <c r="F4" s="153">
        <f t="shared" si="0"/>
        <v>46477</v>
      </c>
      <c r="G4" s="153">
        <f t="shared" si="0"/>
        <v>46842</v>
      </c>
      <c r="H4" s="153">
        <f t="shared" si="0"/>
        <v>47207</v>
      </c>
      <c r="K4" s="153">
        <f>K3+365</f>
        <v>730</v>
      </c>
      <c r="L4">
        <v>15</v>
      </c>
      <c r="M4">
        <f>$M$3*M3</f>
        <v>1.1025</v>
      </c>
      <c r="N4">
        <f t="shared" ref="N4:N7" si="1">L4/M4</f>
        <v>13.605442176870747</v>
      </c>
    </row>
    <row r="5" spans="1:14" x14ac:dyDescent="0.25">
      <c r="K5" s="153">
        <f>K4+365</f>
        <v>1095</v>
      </c>
      <c r="L5">
        <v>20</v>
      </c>
      <c r="M5">
        <f t="shared" ref="M5:M7" si="2">$M$3*M4</f>
        <v>1.1576250000000001</v>
      </c>
      <c r="N5">
        <f t="shared" si="1"/>
        <v>17.276751970629519</v>
      </c>
    </row>
    <row r="6" spans="1:14" x14ac:dyDescent="0.25">
      <c r="B6" t="s">
        <v>366</v>
      </c>
      <c r="C6" s="33">
        <f>IFERROR('Historical FS'!L19-'Historical FS'!L25,0)</f>
        <v>7819.8800000000028</v>
      </c>
      <c r="D6" s="158">
        <f>C6*(1+C15)</f>
        <v>9442.5051000000039</v>
      </c>
      <c r="E6" s="158">
        <f>D6*(1+D15)</f>
        <v>9442.5051000000039</v>
      </c>
      <c r="F6" s="158">
        <f>E6*(1+E15)</f>
        <v>9442.5051000000039</v>
      </c>
      <c r="G6" s="158">
        <f>F6*(1+F15)</f>
        <v>9442.5051000000039</v>
      </c>
      <c r="H6" s="158">
        <f>G6*(1+G15)</f>
        <v>9442.5051000000039</v>
      </c>
      <c r="K6" s="153">
        <f>K5+365</f>
        <v>1460</v>
      </c>
      <c r="L6">
        <v>15</v>
      </c>
      <c r="M6">
        <f t="shared" si="2"/>
        <v>1.2155062500000002</v>
      </c>
      <c r="N6">
        <f t="shared" si="1"/>
        <v>12.340537121878228</v>
      </c>
    </row>
    <row r="7" spans="1:14" x14ac:dyDescent="0.25">
      <c r="B7" t="s">
        <v>381</v>
      </c>
      <c r="C7" s="15">
        <v>0.25</v>
      </c>
      <c r="D7" s="15">
        <f>C7</f>
        <v>0.25</v>
      </c>
      <c r="E7" s="15">
        <f t="shared" ref="E7:H7" si="3">D7</f>
        <v>0.25</v>
      </c>
      <c r="F7" s="15">
        <f t="shared" si="3"/>
        <v>0.25</v>
      </c>
      <c r="G7" s="15">
        <f t="shared" si="3"/>
        <v>0.25</v>
      </c>
      <c r="H7" s="15">
        <f t="shared" si="3"/>
        <v>0.25</v>
      </c>
      <c r="K7" s="153">
        <f>K6+365</f>
        <v>1825</v>
      </c>
      <c r="L7">
        <v>12</v>
      </c>
      <c r="M7">
        <f t="shared" si="2"/>
        <v>1.2762815625000004</v>
      </c>
      <c r="N7">
        <f t="shared" si="1"/>
        <v>9.4023139976215049</v>
      </c>
    </row>
    <row r="8" spans="1:14" x14ac:dyDescent="0.25">
      <c r="B8" t="s">
        <v>382</v>
      </c>
      <c r="C8" s="33">
        <f>C6*(1-C7)</f>
        <v>5864.9100000000017</v>
      </c>
      <c r="D8" s="33">
        <f>D6*(1-D7)</f>
        <v>7081.8788250000034</v>
      </c>
      <c r="E8" s="33">
        <f t="shared" ref="E8:H8" si="4">E6*(1-E7)</f>
        <v>7081.8788250000034</v>
      </c>
      <c r="F8" s="33">
        <f t="shared" si="4"/>
        <v>7081.8788250000034</v>
      </c>
      <c r="G8" s="33">
        <f t="shared" si="4"/>
        <v>7081.8788250000034</v>
      </c>
      <c r="H8" s="33">
        <f t="shared" si="4"/>
        <v>7081.8788250000034</v>
      </c>
      <c r="L8" s="11">
        <v>0.05</v>
      </c>
      <c r="N8" s="86">
        <f>SUM(N2:N7)</f>
        <v>-33.089240447285718</v>
      </c>
    </row>
    <row r="9" spans="1:14" x14ac:dyDescent="0.25">
      <c r="B9" t="s">
        <v>384</v>
      </c>
      <c r="C9" s="19">
        <v>0.1</v>
      </c>
      <c r="D9" s="15">
        <f>C9</f>
        <v>0.1</v>
      </c>
      <c r="E9" s="15">
        <f t="shared" ref="E9:H9" si="5">D9</f>
        <v>0.1</v>
      </c>
      <c r="F9" s="15">
        <f t="shared" si="5"/>
        <v>0.1</v>
      </c>
      <c r="G9" s="15">
        <f t="shared" si="5"/>
        <v>0.1</v>
      </c>
      <c r="H9" s="15">
        <f t="shared" si="5"/>
        <v>0.1</v>
      </c>
      <c r="M9" s="171">
        <f>NPV(L8,L3:L7)+L2</f>
        <v>-33.089240447285704</v>
      </c>
    </row>
    <row r="10" spans="1:14" x14ac:dyDescent="0.25">
      <c r="B10" s="105" t="s">
        <v>383</v>
      </c>
      <c r="C10" s="154">
        <f>C8*(1-C9)</f>
        <v>5278.4190000000017</v>
      </c>
      <c r="D10" s="154">
        <f t="shared" ref="D10:H10" si="6">D8*(1-D9)</f>
        <v>6373.6909425000031</v>
      </c>
      <c r="E10" s="154">
        <f t="shared" si="6"/>
        <v>6373.6909425000031</v>
      </c>
      <c r="F10" s="154">
        <f t="shared" si="6"/>
        <v>6373.6909425000031</v>
      </c>
      <c r="G10" s="154">
        <f t="shared" si="6"/>
        <v>6373.6909425000031</v>
      </c>
      <c r="H10" s="154">
        <f t="shared" si="6"/>
        <v>6373.6909425000031</v>
      </c>
    </row>
    <row r="11" spans="1:14" x14ac:dyDescent="0.25">
      <c r="B11" s="20" t="s">
        <v>387</v>
      </c>
      <c r="C11" s="159"/>
      <c r="D11" s="160">
        <v>0.5</v>
      </c>
      <c r="E11" s="160">
        <f>D11+1</f>
        <v>1.5</v>
      </c>
      <c r="F11" s="160">
        <f t="shared" ref="F11:H11" si="7">E11+1</f>
        <v>2.5</v>
      </c>
      <c r="G11" s="160">
        <f t="shared" si="7"/>
        <v>3.5</v>
      </c>
      <c r="H11" s="160">
        <f t="shared" si="7"/>
        <v>4.5</v>
      </c>
    </row>
    <row r="12" spans="1:14" x14ac:dyDescent="0.25">
      <c r="B12" s="20" t="s">
        <v>388</v>
      </c>
      <c r="C12" s="159"/>
      <c r="D12" s="151">
        <f>1/(1+$C$17)^D11</f>
        <v>0.96254433874740342</v>
      </c>
      <c r="E12" s="151">
        <f t="shared" ref="E12:H12" si="8">1/(1+$C$17)^E11</f>
        <v>0.8917892483798292</v>
      </c>
      <c r="F12" s="151">
        <f t="shared" si="8"/>
        <v>0.82623525121014196</v>
      </c>
      <c r="G12" s="151">
        <f t="shared" si="8"/>
        <v>0.76550002322020272</v>
      </c>
      <c r="H12" s="151">
        <f t="shared" si="8"/>
        <v>0.70922934441717744</v>
      </c>
      <c r="L12" t="s">
        <v>408</v>
      </c>
      <c r="M12">
        <v>12000</v>
      </c>
    </row>
    <row r="13" spans="1:14" x14ac:dyDescent="0.25">
      <c r="B13" s="26" t="s">
        <v>383</v>
      </c>
      <c r="C13" s="26"/>
      <c r="D13" s="27">
        <f>D10*D12</f>
        <v>6134.9601336289797</v>
      </c>
      <c r="E13" s="27">
        <f t="shared" ref="E13:H13" si="9">E10*E12</f>
        <v>5683.9890550174032</v>
      </c>
      <c r="F13" s="27">
        <f t="shared" si="9"/>
        <v>5266.1681370122969</v>
      </c>
      <c r="G13" s="27">
        <f t="shared" si="9"/>
        <v>4879.060564482148</v>
      </c>
      <c r="H13" s="27">
        <f t="shared" si="9"/>
        <v>4520.4086486669794</v>
      </c>
      <c r="L13" t="s">
        <v>409</v>
      </c>
      <c r="M13">
        <v>0.05</v>
      </c>
    </row>
    <row r="14" spans="1:14" s="161" customFormat="1" x14ac:dyDescent="0.25">
      <c r="B14" s="162"/>
      <c r="D14" s="163"/>
      <c r="E14" s="163"/>
      <c r="F14" s="163"/>
      <c r="G14" s="163"/>
      <c r="H14" s="163"/>
      <c r="L14" s="161" t="s">
        <v>410</v>
      </c>
      <c r="M14" s="161">
        <v>5</v>
      </c>
    </row>
    <row r="15" spans="1:14" ht="17.25" x14ac:dyDescent="0.25">
      <c r="A15" t="s">
        <v>60</v>
      </c>
      <c r="B15" s="155" t="s">
        <v>385</v>
      </c>
      <c r="C15" s="156">
        <v>0.20749999999999999</v>
      </c>
      <c r="K15" t="s">
        <v>414</v>
      </c>
      <c r="L15" t="s">
        <v>411</v>
      </c>
      <c r="M15" s="171">
        <f>PMT(M13/12,M14*12,M12)</f>
        <v>-226.45480372813122</v>
      </c>
    </row>
    <row r="16" spans="1:14" ht="17.25" x14ac:dyDescent="0.25">
      <c r="B16" s="155" t="s">
        <v>386</v>
      </c>
      <c r="C16" s="156">
        <v>5.3800000000000001E-2</v>
      </c>
      <c r="K16" t="s">
        <v>413</v>
      </c>
      <c r="L16" t="s">
        <v>412</v>
      </c>
      <c r="M16" s="171">
        <f>IPMT(M13/12,1,M14*12,M12)</f>
        <v>-50</v>
      </c>
    </row>
    <row r="17" spans="1:13" x14ac:dyDescent="0.25">
      <c r="B17" s="155" t="s">
        <v>308</v>
      </c>
      <c r="C17" s="157">
        <f>WACC!I40</f>
        <v>7.9340595881952497E-2</v>
      </c>
      <c r="K17" t="s">
        <v>415</v>
      </c>
      <c r="M17" s="171">
        <f>PPMT(M13/12,1,M14*12,M12)</f>
        <v>-176.45480372813122</v>
      </c>
    </row>
    <row r="19" spans="1:13" x14ac:dyDescent="0.25">
      <c r="A19" t="s">
        <v>60</v>
      </c>
      <c r="B19" s="142" t="s">
        <v>389</v>
      </c>
    </row>
    <row r="21" spans="1:13" x14ac:dyDescent="0.25">
      <c r="B21" t="s">
        <v>391</v>
      </c>
      <c r="C21" s="158">
        <f>H13*(1+C15)</f>
        <v>5458.3934432653778</v>
      </c>
    </row>
    <row r="22" spans="1:13" x14ac:dyDescent="0.25">
      <c r="B22" t="s">
        <v>390</v>
      </c>
      <c r="C22" s="15">
        <f>C16</f>
        <v>5.3800000000000001E-2</v>
      </c>
    </row>
    <row r="23" spans="1:13" x14ac:dyDescent="0.25">
      <c r="B23" t="s">
        <v>308</v>
      </c>
      <c r="C23" s="15">
        <f>C17</f>
        <v>7.9340595881952497E-2</v>
      </c>
    </row>
    <row r="24" spans="1:13" x14ac:dyDescent="0.25">
      <c r="B24" s="26" t="s">
        <v>392</v>
      </c>
      <c r="C24" s="27">
        <f>C21/(C23-C22)</f>
        <v>213714.4124786215</v>
      </c>
    </row>
    <row r="26" spans="1:13" x14ac:dyDescent="0.25">
      <c r="A26" t="s">
        <v>60</v>
      </c>
      <c r="B26" s="142" t="s">
        <v>389</v>
      </c>
    </row>
    <row r="28" spans="1:13" x14ac:dyDescent="0.25">
      <c r="B28" t="s">
        <v>394</v>
      </c>
      <c r="C28" s="158">
        <f>SUM(D13:H13)</f>
        <v>26484.586538807809</v>
      </c>
    </row>
    <row r="29" spans="1:13" x14ac:dyDescent="0.25">
      <c r="B29" t="s">
        <v>399</v>
      </c>
      <c r="C29" s="158">
        <f>C24*H12</f>
        <v>151572.53265471497</v>
      </c>
    </row>
    <row r="30" spans="1:13" x14ac:dyDescent="0.25">
      <c r="B30" s="105" t="s">
        <v>400</v>
      </c>
      <c r="C30" s="154">
        <f>SUM(C28:C29)</f>
        <v>178057.11919352278</v>
      </c>
    </row>
    <row r="32" spans="1:13" x14ac:dyDescent="0.25">
      <c r="B32" t="s">
        <v>396</v>
      </c>
      <c r="C32">
        <f>IFERROR('Data Sheet'!K69,0)</f>
        <v>1084.01</v>
      </c>
    </row>
    <row r="33" spans="1:3" x14ac:dyDescent="0.25">
      <c r="B33" t="s">
        <v>397</v>
      </c>
      <c r="C33">
        <f>IFERROR(SUM('Data Sheet'!K59:K60),0)</f>
        <v>11172.470000000001</v>
      </c>
    </row>
    <row r="34" spans="1:3" x14ac:dyDescent="0.25">
      <c r="B34" s="20" t="s">
        <v>398</v>
      </c>
      <c r="C34" s="159">
        <f>C30+(C32-C33)</f>
        <v>167968.65919352279</v>
      </c>
    </row>
    <row r="35" spans="1:3" x14ac:dyDescent="0.25">
      <c r="B35" s="125" t="str">
        <f>'Data Sheet'!A6</f>
        <v>Number of shares</v>
      </c>
      <c r="C35" s="125">
        <f>'Data Sheet'!B6</f>
        <v>95.970979347946667</v>
      </c>
    </row>
    <row r="36" spans="1:3" x14ac:dyDescent="0.25">
      <c r="B36" s="149" t="s">
        <v>401</v>
      </c>
      <c r="C36" s="149">
        <f>C34/C35</f>
        <v>1750.2026168196703</v>
      </c>
    </row>
    <row r="38" spans="1:3" x14ac:dyDescent="0.25">
      <c r="B38" t="s">
        <v>402</v>
      </c>
      <c r="C38">
        <f>'Data Sheet'!B8</f>
        <v>3154.65</v>
      </c>
    </row>
    <row r="39" spans="1:3" x14ac:dyDescent="0.25">
      <c r="B39" t="s">
        <v>403</v>
      </c>
      <c r="C39" t="str">
        <f>IF(C38&gt;C36,"Trading at Premium ","Trading at Disc")</f>
        <v xml:space="preserve">Trading at Premium </v>
      </c>
    </row>
    <row r="40" spans="1:3" x14ac:dyDescent="0.25">
      <c r="B40" s="26" t="s">
        <v>404</v>
      </c>
      <c r="C40" s="164">
        <f>C38/C36</f>
        <v>1.8024484535009897</v>
      </c>
    </row>
    <row r="42" spans="1:3" x14ac:dyDescent="0.25">
      <c r="A42" t="s">
        <v>60</v>
      </c>
      <c r="B42" t="s">
        <v>405</v>
      </c>
    </row>
    <row r="43" spans="1:3" x14ac:dyDescent="0.25">
      <c r="A43" t="s">
        <v>393</v>
      </c>
      <c r="B43" t="s">
        <v>395</v>
      </c>
    </row>
    <row r="48" spans="1:3" x14ac:dyDescent="0.25">
      <c r="C48" t="e">
        <f>XIRR(0,5)</f>
        <v>#N/A</v>
      </c>
    </row>
  </sheetData>
  <mergeCells count="1">
    <mergeCell ref="B2:H2"/>
  </mergeCells>
  <pageMargins left="0.7" right="0.7" top="0.75" bottom="0.75" header="0.3" footer="0.3"/>
  <ignoredErrors>
    <ignoredError sqref="C33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2D05-A2AC-4628-BF68-9F340B40C2BC}">
  <sheetPr>
    <tabColor rgb="FFC00000"/>
  </sheetPr>
  <dimension ref="A1:K93"/>
  <sheetViews>
    <sheetView zoomScale="120" zoomScaleNormal="120" zoomScalePageLayoutView="120" workbookViewId="0">
      <pane xSplit="1" ySplit="1" topLeftCell="B3" activePane="bottomRight" state="frozen"/>
      <selection activeCell="C4" sqref="C4"/>
      <selection pane="topRight" activeCell="C4" sqref="C4"/>
      <selection pane="bottomLeft" activeCell="C4" sqref="C4"/>
      <selection pane="bottomRight" activeCell="K59" sqref="K59:K60"/>
    </sheetView>
  </sheetViews>
  <sheetFormatPr defaultColWidth="8.85546875" defaultRowHeight="15" x14ac:dyDescent="0.25"/>
  <cols>
    <col min="1" max="1" width="27.7109375" style="1" bestFit="1" customWidth="1"/>
    <col min="2" max="11" width="13.42578125" style="1" bestFit="1" customWidth="1"/>
    <col min="12" max="16384" width="8.85546875" style="1"/>
  </cols>
  <sheetData>
    <row r="1" spans="1:11" s="3" customFormat="1" x14ac:dyDescent="0.25">
      <c r="A1" s="3" t="s">
        <v>53</v>
      </c>
      <c r="B1" s="3" t="s">
        <v>52</v>
      </c>
      <c r="E1" s="168" t="str">
        <f>IF(B2&lt;&gt;B3, "A NEW VERSION OF THE WORKSHEET IS AVAILABLE", "")</f>
        <v/>
      </c>
      <c r="F1" s="168"/>
      <c r="G1" s="168"/>
      <c r="H1" s="168"/>
      <c r="I1" s="168"/>
      <c r="J1" s="168"/>
      <c r="K1" s="168"/>
    </row>
    <row r="2" spans="1:11" x14ac:dyDescent="0.25">
      <c r="A2" s="3" t="s">
        <v>51</v>
      </c>
      <c r="B2" s="1">
        <v>2.1</v>
      </c>
      <c r="E2" s="169" t="s">
        <v>50</v>
      </c>
      <c r="F2" s="169"/>
      <c r="G2" s="169"/>
      <c r="H2" s="169"/>
      <c r="I2" s="169"/>
      <c r="J2" s="169"/>
      <c r="K2" s="169"/>
    </row>
    <row r="3" spans="1:11" x14ac:dyDescent="0.25">
      <c r="A3" s="3" t="s">
        <v>49</v>
      </c>
      <c r="B3" s="1">
        <v>2.1</v>
      </c>
    </row>
    <row r="4" spans="1:11" x14ac:dyDescent="0.25">
      <c r="A4" s="3"/>
    </row>
    <row r="5" spans="1:11" x14ac:dyDescent="0.25">
      <c r="A5" s="3" t="s">
        <v>48</v>
      </c>
    </row>
    <row r="6" spans="1:11" x14ac:dyDescent="0.25">
      <c r="A6" s="1" t="s">
        <v>47</v>
      </c>
      <c r="B6" s="1">
        <f>IF(B9&gt;0, B9/B8, 0)</f>
        <v>95.970979347946667</v>
      </c>
    </row>
    <row r="7" spans="1:11" x14ac:dyDescent="0.25">
      <c r="A7" s="1" t="s">
        <v>46</v>
      </c>
      <c r="B7" s="4">
        <v>1</v>
      </c>
    </row>
    <row r="8" spans="1:11" x14ac:dyDescent="0.25">
      <c r="A8" s="1" t="s">
        <v>45</v>
      </c>
      <c r="B8" s="4">
        <v>3154.65</v>
      </c>
    </row>
    <row r="9" spans="1:11" x14ac:dyDescent="0.25">
      <c r="A9" s="1" t="s">
        <v>44</v>
      </c>
      <c r="B9" s="4">
        <v>302754.84999999998</v>
      </c>
    </row>
    <row r="15" spans="1:11" x14ac:dyDescent="0.25">
      <c r="A15" s="3" t="s">
        <v>43</v>
      </c>
    </row>
    <row r="16" spans="1:11" s="6" customFormat="1" x14ac:dyDescent="0.25">
      <c r="A16" s="8" t="s">
        <v>7</v>
      </c>
      <c r="B16" s="7">
        <v>42094</v>
      </c>
      <c r="C16" s="7">
        <v>42460</v>
      </c>
      <c r="D16" s="7">
        <v>42825</v>
      </c>
      <c r="E16" s="7">
        <v>43190</v>
      </c>
      <c r="F16" s="7">
        <v>43555</v>
      </c>
      <c r="G16" s="7">
        <v>43921</v>
      </c>
      <c r="H16" s="7">
        <v>44286</v>
      </c>
      <c r="I16" s="7">
        <v>44651</v>
      </c>
      <c r="J16" s="7">
        <v>45016</v>
      </c>
      <c r="K16" s="7">
        <v>45382</v>
      </c>
    </row>
    <row r="17" spans="1:11" s="5" customFormat="1" x14ac:dyDescent="0.25">
      <c r="A17" s="5" t="s">
        <v>33</v>
      </c>
      <c r="B17" s="4">
        <v>13615.26</v>
      </c>
      <c r="C17" s="4">
        <v>14271.49</v>
      </c>
      <c r="D17" s="4">
        <v>15061.99</v>
      </c>
      <c r="E17" s="4">
        <v>16824.55</v>
      </c>
      <c r="F17" s="4">
        <v>19240.13</v>
      </c>
      <c r="G17" s="4">
        <v>20211.25</v>
      </c>
      <c r="H17" s="4">
        <v>21712.79</v>
      </c>
      <c r="I17" s="4">
        <v>29101.279999999999</v>
      </c>
      <c r="J17" s="4">
        <v>34488.589999999997</v>
      </c>
      <c r="K17" s="4">
        <v>35494.730000000003</v>
      </c>
    </row>
    <row r="18" spans="1:11" s="5" customFormat="1" x14ac:dyDescent="0.25">
      <c r="A18" s="1" t="s">
        <v>42</v>
      </c>
      <c r="B18" s="4">
        <v>6874.83</v>
      </c>
      <c r="C18" s="4">
        <v>6569.83</v>
      </c>
      <c r="D18" s="4">
        <v>7452.6</v>
      </c>
      <c r="E18" s="4">
        <v>8128.17</v>
      </c>
      <c r="F18" s="4">
        <v>9974.4</v>
      </c>
      <c r="G18" s="4">
        <v>9981.99</v>
      </c>
      <c r="H18" s="4">
        <v>10425.549999999999</v>
      </c>
      <c r="I18" s="4">
        <v>17123.25</v>
      </c>
      <c r="J18" s="4">
        <v>18985.53</v>
      </c>
      <c r="K18" s="4">
        <v>17410.84</v>
      </c>
    </row>
    <row r="19" spans="1:11" s="5" customFormat="1" x14ac:dyDescent="0.25">
      <c r="A19" s="1" t="s">
        <v>41</v>
      </c>
      <c r="B19" s="4">
        <v>148.07</v>
      </c>
      <c r="C19" s="4">
        <v>-199.33</v>
      </c>
      <c r="D19" s="4">
        <v>528.6</v>
      </c>
      <c r="E19" s="4">
        <v>-142.13</v>
      </c>
      <c r="F19" s="4">
        <v>293.26</v>
      </c>
      <c r="G19" s="4">
        <v>239.15</v>
      </c>
      <c r="H19" s="4">
        <v>92.45</v>
      </c>
      <c r="I19" s="4">
        <v>1324.97</v>
      </c>
      <c r="J19" s="4">
        <v>309.73</v>
      </c>
      <c r="K19" s="4">
        <v>-363.8</v>
      </c>
    </row>
    <row r="20" spans="1:11" s="5" customFormat="1" x14ac:dyDescent="0.25">
      <c r="A20" s="1" t="s">
        <v>40</v>
      </c>
      <c r="B20" s="4">
        <v>130.68</v>
      </c>
      <c r="C20" s="4">
        <v>114.48</v>
      </c>
      <c r="D20" s="4">
        <v>106.02</v>
      </c>
      <c r="E20" s="4">
        <v>110.3</v>
      </c>
      <c r="F20" s="4">
        <v>119.63</v>
      </c>
      <c r="G20" s="4">
        <v>97.79</v>
      </c>
      <c r="H20" s="4">
        <v>86.05</v>
      </c>
      <c r="I20" s="4">
        <v>117.23</v>
      </c>
      <c r="J20" s="4">
        <v>138.29</v>
      </c>
      <c r="K20" s="4">
        <v>133.25</v>
      </c>
    </row>
    <row r="21" spans="1:11" s="5" customFormat="1" x14ac:dyDescent="0.25">
      <c r="A21" s="1" t="s">
        <v>39</v>
      </c>
      <c r="B21" s="4">
        <v>1504.47</v>
      </c>
      <c r="C21" s="4">
        <v>1535.22</v>
      </c>
      <c r="D21" s="4">
        <v>1662.75</v>
      </c>
      <c r="E21" s="4">
        <v>1691.68</v>
      </c>
      <c r="F21" s="4">
        <v>1862.35</v>
      </c>
      <c r="G21" s="4">
        <v>1946.12</v>
      </c>
      <c r="H21" s="4">
        <v>2068.31</v>
      </c>
      <c r="I21" s="4">
        <v>2880.45</v>
      </c>
      <c r="J21" s="4">
        <v>2916.2</v>
      </c>
      <c r="K21" s="4">
        <v>2767.18</v>
      </c>
    </row>
    <row r="22" spans="1:11" s="5" customFormat="1" x14ac:dyDescent="0.25">
      <c r="A22" s="1" t="s">
        <v>38</v>
      </c>
      <c r="B22" s="4">
        <v>936.86</v>
      </c>
      <c r="C22" s="4">
        <v>994.98</v>
      </c>
      <c r="D22" s="4">
        <v>1039.8900000000001</v>
      </c>
      <c r="E22" s="4">
        <v>1121.8900000000001</v>
      </c>
      <c r="F22" s="4">
        <v>1242.69</v>
      </c>
      <c r="G22" s="4">
        <v>1371.27</v>
      </c>
      <c r="H22" s="4">
        <v>1547.61</v>
      </c>
      <c r="I22" s="4">
        <v>1794.61</v>
      </c>
      <c r="J22" s="4">
        <v>2036.41</v>
      </c>
      <c r="K22" s="4">
        <v>2334.92</v>
      </c>
    </row>
    <row r="23" spans="1:11" s="5" customFormat="1" x14ac:dyDescent="0.25">
      <c r="A23" s="1" t="s">
        <v>37</v>
      </c>
      <c r="B23" s="4">
        <v>3351.66</v>
      </c>
      <c r="C23" s="4">
        <v>3912.3</v>
      </c>
      <c r="D23" s="4">
        <v>4364.04</v>
      </c>
      <c r="E23" s="4">
        <v>2254.92</v>
      </c>
      <c r="F23" s="4">
        <v>2366.87</v>
      </c>
      <c r="G23" s="4">
        <v>2311.5100000000002</v>
      </c>
      <c r="H23" s="4">
        <v>2245.69</v>
      </c>
      <c r="I23" s="4">
        <v>2941.98</v>
      </c>
      <c r="J23" s="4">
        <v>3500.84</v>
      </c>
      <c r="K23" s="4">
        <v>3811.86</v>
      </c>
    </row>
    <row r="24" spans="1:11" s="5" customFormat="1" x14ac:dyDescent="0.25">
      <c r="A24" s="1" t="s">
        <v>36</v>
      </c>
      <c r="B24" s="4">
        <v>-1278.06</v>
      </c>
      <c r="C24" s="4">
        <v>-1779.69</v>
      </c>
      <c r="D24" s="4">
        <v>-2028.47</v>
      </c>
      <c r="E24" s="4">
        <v>171.45</v>
      </c>
      <c r="F24" s="4">
        <v>202.51</v>
      </c>
      <c r="G24" s="4">
        <v>584.9</v>
      </c>
      <c r="H24" s="4">
        <v>576.42999999999995</v>
      </c>
      <c r="I24" s="4">
        <v>765.12</v>
      </c>
      <c r="J24" s="4">
        <v>961.21</v>
      </c>
      <c r="K24" s="4">
        <v>1087.9000000000001</v>
      </c>
    </row>
    <row r="25" spans="1:11" s="5" customFormat="1" x14ac:dyDescent="0.25">
      <c r="A25" s="5" t="s">
        <v>31</v>
      </c>
      <c r="B25" s="4">
        <v>142.13999999999999</v>
      </c>
      <c r="C25" s="4">
        <v>213.39</v>
      </c>
      <c r="D25" s="4">
        <v>337.9</v>
      </c>
      <c r="E25" s="4">
        <v>336.41</v>
      </c>
      <c r="F25" s="4">
        <v>273.77</v>
      </c>
      <c r="G25" s="4">
        <v>355.05</v>
      </c>
      <c r="H25" s="4">
        <v>331.65</v>
      </c>
      <c r="I25" s="4">
        <v>295.88</v>
      </c>
      <c r="J25" s="4">
        <v>431.46</v>
      </c>
      <c r="K25" s="4">
        <v>820.96</v>
      </c>
    </row>
    <row r="26" spans="1:11" s="5" customFormat="1" x14ac:dyDescent="0.25">
      <c r="A26" s="5" t="s">
        <v>30</v>
      </c>
      <c r="B26" s="4">
        <v>265.92</v>
      </c>
      <c r="C26" s="4">
        <v>275.58</v>
      </c>
      <c r="D26" s="4">
        <v>334.79</v>
      </c>
      <c r="E26" s="4">
        <v>360.47</v>
      </c>
      <c r="F26" s="4">
        <v>622.14</v>
      </c>
      <c r="G26" s="4">
        <v>780.5</v>
      </c>
      <c r="H26" s="4">
        <v>791.27</v>
      </c>
      <c r="I26" s="4">
        <v>816.36</v>
      </c>
      <c r="J26" s="4">
        <v>858.02</v>
      </c>
      <c r="K26" s="4">
        <v>853</v>
      </c>
    </row>
    <row r="27" spans="1:11" s="5" customFormat="1" x14ac:dyDescent="0.25">
      <c r="A27" s="5" t="s">
        <v>29</v>
      </c>
      <c r="B27" s="4">
        <v>42.24</v>
      </c>
      <c r="C27" s="4">
        <v>49</v>
      </c>
      <c r="D27" s="4">
        <v>37.33</v>
      </c>
      <c r="E27" s="4">
        <v>41.47</v>
      </c>
      <c r="F27" s="4">
        <v>110.47</v>
      </c>
      <c r="G27" s="4">
        <v>102.33</v>
      </c>
      <c r="H27" s="4">
        <v>91.63</v>
      </c>
      <c r="I27" s="4">
        <v>95.41</v>
      </c>
      <c r="J27" s="4">
        <v>144.44999999999999</v>
      </c>
      <c r="K27" s="4">
        <v>205.17</v>
      </c>
    </row>
    <row r="28" spans="1:11" s="5" customFormat="1" x14ac:dyDescent="0.25">
      <c r="A28" s="5" t="s">
        <v>28</v>
      </c>
      <c r="B28" s="4">
        <v>2076.87</v>
      </c>
      <c r="C28" s="4">
        <v>2613.85</v>
      </c>
      <c r="D28" s="4">
        <v>2959.54</v>
      </c>
      <c r="E28" s="4">
        <v>3138.48</v>
      </c>
      <c r="F28" s="4">
        <v>3306.1</v>
      </c>
      <c r="G28" s="4">
        <v>3629.04</v>
      </c>
      <c r="H28" s="4">
        <v>4304.3500000000004</v>
      </c>
      <c r="I28" s="4">
        <v>4187.72</v>
      </c>
      <c r="J28" s="4">
        <v>5688.83</v>
      </c>
      <c r="K28" s="4">
        <v>7347.77</v>
      </c>
    </row>
    <row r="29" spans="1:11" s="5" customFormat="1" x14ac:dyDescent="0.25">
      <c r="A29" s="5" t="s">
        <v>27</v>
      </c>
      <c r="B29" s="4">
        <v>649.54</v>
      </c>
      <c r="C29" s="4">
        <v>844.49</v>
      </c>
      <c r="D29" s="4">
        <v>943.29</v>
      </c>
      <c r="E29" s="4">
        <v>1040.96</v>
      </c>
      <c r="F29" s="4">
        <v>1098.06</v>
      </c>
      <c r="G29" s="4">
        <v>854.85</v>
      </c>
      <c r="H29" s="4">
        <v>1097.5999999999999</v>
      </c>
      <c r="I29" s="4">
        <v>1102.9100000000001</v>
      </c>
      <c r="J29" s="4">
        <v>1493.5</v>
      </c>
      <c r="K29" s="4">
        <v>1790.08</v>
      </c>
    </row>
    <row r="30" spans="1:11" s="5" customFormat="1" x14ac:dyDescent="0.25">
      <c r="A30" s="5" t="s">
        <v>26</v>
      </c>
      <c r="B30" s="4">
        <v>1395.15</v>
      </c>
      <c r="C30" s="4">
        <v>1745.16</v>
      </c>
      <c r="D30" s="4">
        <v>1939.43</v>
      </c>
      <c r="E30" s="4">
        <v>2038.93</v>
      </c>
      <c r="F30" s="4">
        <v>2155.92</v>
      </c>
      <c r="G30" s="4">
        <v>2705.17</v>
      </c>
      <c r="H30" s="4">
        <v>3139.29</v>
      </c>
      <c r="I30" s="4">
        <v>3030.57</v>
      </c>
      <c r="J30" s="4">
        <v>4106.45</v>
      </c>
      <c r="K30" s="4">
        <v>5460.23</v>
      </c>
    </row>
    <row r="31" spans="1:11" s="5" customFormat="1" x14ac:dyDescent="0.25">
      <c r="A31" s="5" t="s">
        <v>35</v>
      </c>
      <c r="B31" s="4">
        <v>585.11</v>
      </c>
      <c r="C31">
        <v>719.4</v>
      </c>
      <c r="D31" s="4">
        <v>987.98</v>
      </c>
      <c r="E31">
        <v>834.5</v>
      </c>
      <c r="F31">
        <v>1007.16</v>
      </c>
      <c r="G31">
        <v>1151.04</v>
      </c>
      <c r="H31">
        <v>1712.17</v>
      </c>
      <c r="I31">
        <v>1836.87</v>
      </c>
      <c r="J31">
        <v>2460.35</v>
      </c>
      <c r="K31" s="4">
        <v>3194.14</v>
      </c>
    </row>
    <row r="32" spans="1:11" s="5" customFormat="1" x14ac:dyDescent="0.25"/>
    <row r="33" spans="1:11" x14ac:dyDescent="0.25">
      <c r="A33" s="5"/>
    </row>
    <row r="34" spans="1:11" x14ac:dyDescent="0.25">
      <c r="A34" s="5" t="s">
        <v>209</v>
      </c>
      <c r="B34" s="1">
        <f>B28+B26+B27</f>
        <v>2385.0299999999997</v>
      </c>
      <c r="C34" s="1">
        <f t="shared" ref="C34:K34" si="0">C28+C26+C27</f>
        <v>2938.43</v>
      </c>
      <c r="D34" s="1">
        <f t="shared" si="0"/>
        <v>3331.66</v>
      </c>
      <c r="E34" s="1">
        <f t="shared" si="0"/>
        <v>3540.4199999999996</v>
      </c>
      <c r="F34" s="1">
        <f t="shared" si="0"/>
        <v>4038.7099999999996</v>
      </c>
      <c r="G34" s="1">
        <f t="shared" si="0"/>
        <v>4511.87</v>
      </c>
      <c r="H34" s="1">
        <f t="shared" si="0"/>
        <v>5187.2500000000009</v>
      </c>
      <c r="I34" s="1">
        <f t="shared" si="0"/>
        <v>5099.49</v>
      </c>
      <c r="J34" s="1">
        <f t="shared" si="0"/>
        <v>6691.3</v>
      </c>
      <c r="K34" s="1">
        <f t="shared" si="0"/>
        <v>8405.94</v>
      </c>
    </row>
    <row r="35" spans="1:11" x14ac:dyDescent="0.25">
      <c r="A35" s="5"/>
    </row>
    <row r="36" spans="1:11" x14ac:dyDescent="0.25">
      <c r="A36" s="5"/>
    </row>
    <row r="37" spans="1:11" x14ac:dyDescent="0.25">
      <c r="A37" s="5"/>
    </row>
    <row r="38" spans="1:11" x14ac:dyDescent="0.25">
      <c r="A38" s="5"/>
    </row>
    <row r="39" spans="1:11" x14ac:dyDescent="0.25">
      <c r="A39" s="5"/>
    </row>
    <row r="40" spans="1:11" x14ac:dyDescent="0.25">
      <c r="A40" s="3" t="s">
        <v>34</v>
      </c>
    </row>
    <row r="41" spans="1:11" s="6" customFormat="1" x14ac:dyDescent="0.25">
      <c r="A41" s="8" t="s">
        <v>7</v>
      </c>
      <c r="B41" s="7">
        <v>44651</v>
      </c>
      <c r="C41" s="7">
        <v>44742</v>
      </c>
      <c r="D41" s="7">
        <v>44834</v>
      </c>
      <c r="E41" s="7">
        <v>44926</v>
      </c>
      <c r="F41" s="7">
        <v>45016</v>
      </c>
      <c r="G41" s="7">
        <v>45107</v>
      </c>
      <c r="H41" s="7">
        <v>45199</v>
      </c>
      <c r="I41" s="7">
        <v>45291</v>
      </c>
      <c r="J41" s="7">
        <v>45382</v>
      </c>
      <c r="K41" s="7">
        <v>45473</v>
      </c>
    </row>
    <row r="42" spans="1:11" s="5" customFormat="1" x14ac:dyDescent="0.25">
      <c r="A42" s="5" t="s">
        <v>33</v>
      </c>
      <c r="B42" s="4">
        <v>7892.67</v>
      </c>
      <c r="C42" s="4">
        <v>8606.94</v>
      </c>
      <c r="D42" s="4">
        <v>8457.57</v>
      </c>
      <c r="E42" s="4">
        <v>8636.74</v>
      </c>
      <c r="F42" s="4">
        <v>8787.34</v>
      </c>
      <c r="G42" s="4">
        <v>9182.31</v>
      </c>
      <c r="H42" s="4">
        <v>8478.57</v>
      </c>
      <c r="I42" s="4">
        <v>9103.09</v>
      </c>
      <c r="J42" s="4">
        <v>8730.76</v>
      </c>
      <c r="K42" s="4">
        <v>8969.73</v>
      </c>
    </row>
    <row r="43" spans="1:11" s="5" customFormat="1" x14ac:dyDescent="0.25">
      <c r="A43" s="5" t="s">
        <v>32</v>
      </c>
      <c r="B43" s="4">
        <v>6449.38</v>
      </c>
      <c r="C43" s="4">
        <v>7050.99</v>
      </c>
      <c r="D43" s="4">
        <v>7229.87</v>
      </c>
      <c r="E43" s="4">
        <v>7025.31</v>
      </c>
      <c r="F43" s="4">
        <v>6922.58</v>
      </c>
      <c r="G43" s="4">
        <v>7061.02</v>
      </c>
      <c r="H43" s="4">
        <v>6762.34</v>
      </c>
      <c r="I43" s="4">
        <v>7047</v>
      </c>
      <c r="J43" s="4">
        <v>7039.39</v>
      </c>
      <c r="K43" s="4">
        <v>7275.96</v>
      </c>
    </row>
    <row r="44" spans="1:11" s="5" customFormat="1" x14ac:dyDescent="0.25">
      <c r="A44" s="5" t="s">
        <v>31</v>
      </c>
      <c r="B44" s="4">
        <v>-26.38</v>
      </c>
      <c r="C44" s="4">
        <v>87.52</v>
      </c>
      <c r="D44" s="4">
        <v>117.56</v>
      </c>
      <c r="E44" s="4">
        <v>122.21</v>
      </c>
      <c r="F44" s="4">
        <v>104.17</v>
      </c>
      <c r="G44" s="4">
        <v>227.74</v>
      </c>
      <c r="H44" s="4">
        <v>194.33</v>
      </c>
      <c r="I44" s="4">
        <v>186.46</v>
      </c>
      <c r="J44" s="4">
        <v>212.43</v>
      </c>
      <c r="K44" s="4">
        <v>192.93</v>
      </c>
    </row>
    <row r="45" spans="1:11" s="5" customFormat="1" x14ac:dyDescent="0.25">
      <c r="A45" s="5" t="s">
        <v>30</v>
      </c>
      <c r="B45" s="4">
        <v>205.11</v>
      </c>
      <c r="C45" s="4">
        <v>208.1</v>
      </c>
      <c r="D45" s="4">
        <v>215.7</v>
      </c>
      <c r="E45" s="4">
        <v>214.05</v>
      </c>
      <c r="F45" s="4">
        <v>220.17</v>
      </c>
      <c r="G45" s="4">
        <v>198.32</v>
      </c>
      <c r="H45" s="4">
        <v>208.72</v>
      </c>
      <c r="I45" s="4">
        <v>220.35</v>
      </c>
      <c r="J45" s="4">
        <v>225.61</v>
      </c>
      <c r="K45" s="4">
        <v>227.7</v>
      </c>
    </row>
    <row r="46" spans="1:11" s="5" customFormat="1" x14ac:dyDescent="0.25">
      <c r="A46" s="5" t="s">
        <v>29</v>
      </c>
      <c r="B46" s="4">
        <v>22.62</v>
      </c>
      <c r="C46" s="4">
        <v>28.75</v>
      </c>
      <c r="D46" s="4">
        <v>35.4</v>
      </c>
      <c r="E46" s="4">
        <v>41.39</v>
      </c>
      <c r="F46" s="4">
        <v>38.909999999999997</v>
      </c>
      <c r="G46" s="4">
        <v>45.75</v>
      </c>
      <c r="H46" s="4">
        <v>50.9</v>
      </c>
      <c r="I46" s="4">
        <v>54.42</v>
      </c>
      <c r="J46" s="4">
        <v>54.1</v>
      </c>
      <c r="K46" s="4">
        <v>55.38</v>
      </c>
    </row>
    <row r="47" spans="1:11" s="5" customFormat="1" x14ac:dyDescent="0.25">
      <c r="A47" s="5" t="s">
        <v>28</v>
      </c>
      <c r="B47" s="4">
        <v>1189.18</v>
      </c>
      <c r="C47" s="4">
        <v>1406.62</v>
      </c>
      <c r="D47" s="4">
        <v>1094.1600000000001</v>
      </c>
      <c r="E47" s="4">
        <v>1478.2</v>
      </c>
      <c r="F47" s="4">
        <v>1709.85</v>
      </c>
      <c r="G47" s="4">
        <v>2104.96</v>
      </c>
      <c r="H47" s="4">
        <v>1650.94</v>
      </c>
      <c r="I47" s="4">
        <v>1967.78</v>
      </c>
      <c r="J47" s="4">
        <v>1624.09</v>
      </c>
      <c r="K47" s="4">
        <v>1603.62</v>
      </c>
    </row>
    <row r="48" spans="1:11" s="5" customFormat="1" x14ac:dyDescent="0.25">
      <c r="A48" s="5" t="s">
        <v>27</v>
      </c>
      <c r="B48" s="4">
        <v>315.13</v>
      </c>
      <c r="C48" s="4">
        <v>370.59</v>
      </c>
      <c r="D48" s="4">
        <v>290.33</v>
      </c>
      <c r="E48" s="4">
        <v>381.14</v>
      </c>
      <c r="F48" s="4">
        <v>451.44</v>
      </c>
      <c r="G48" s="4">
        <v>530.12</v>
      </c>
      <c r="H48" s="4">
        <v>418.55</v>
      </c>
      <c r="I48" s="4">
        <v>492.62</v>
      </c>
      <c r="J48" s="4">
        <v>348.79</v>
      </c>
      <c r="K48" s="4">
        <v>416.83</v>
      </c>
    </row>
    <row r="49" spans="1:11" s="5" customFormat="1" x14ac:dyDescent="0.25">
      <c r="A49" s="5" t="s">
        <v>26</v>
      </c>
      <c r="B49" s="4">
        <v>850.42</v>
      </c>
      <c r="C49" s="4">
        <v>1016.93</v>
      </c>
      <c r="D49" s="4">
        <v>782.71</v>
      </c>
      <c r="E49" s="4">
        <v>1072.67</v>
      </c>
      <c r="F49" s="4">
        <v>1234.1400000000001</v>
      </c>
      <c r="G49" s="4">
        <v>1550.37</v>
      </c>
      <c r="H49" s="4">
        <v>1205.42</v>
      </c>
      <c r="I49" s="4">
        <v>1447.72</v>
      </c>
      <c r="J49" s="4">
        <v>1256.72</v>
      </c>
      <c r="K49" s="4">
        <v>1169.98</v>
      </c>
    </row>
    <row r="50" spans="1:11" x14ac:dyDescent="0.25">
      <c r="A50" s="5" t="s">
        <v>25</v>
      </c>
      <c r="B50" s="4">
        <v>1443.29</v>
      </c>
      <c r="C50" s="4">
        <v>1555.95</v>
      </c>
      <c r="D50" s="4">
        <v>1227.7</v>
      </c>
      <c r="E50" s="4">
        <v>1611.43</v>
      </c>
      <c r="F50" s="4">
        <v>1864.76</v>
      </c>
      <c r="G50" s="4">
        <v>2121.29</v>
      </c>
      <c r="H50" s="4">
        <v>1716.23</v>
      </c>
      <c r="I50" s="4">
        <v>2056.09</v>
      </c>
      <c r="J50" s="4">
        <v>1691.37</v>
      </c>
      <c r="K50" s="4">
        <v>1693.77</v>
      </c>
    </row>
    <row r="51" spans="1:11" x14ac:dyDescent="0.25">
      <c r="A51" s="5"/>
    </row>
    <row r="52" spans="1:11" x14ac:dyDescent="0.25">
      <c r="A52" s="5"/>
    </row>
    <row r="53" spans="1:11" x14ac:dyDescent="0.25">
      <c r="A53" s="5"/>
    </row>
    <row r="54" spans="1:11" x14ac:dyDescent="0.25">
      <c r="A54" s="5"/>
    </row>
    <row r="55" spans="1:11" x14ac:dyDescent="0.25">
      <c r="A55" s="3" t="s">
        <v>24</v>
      </c>
    </row>
    <row r="56" spans="1:11" s="6" customFormat="1" x14ac:dyDescent="0.25">
      <c r="A56" s="8" t="s">
        <v>7</v>
      </c>
      <c r="B56" s="7">
        <v>42094</v>
      </c>
      <c r="C56" s="7">
        <v>42460</v>
      </c>
      <c r="D56" s="7">
        <v>42825</v>
      </c>
      <c r="E56" s="7">
        <v>43190</v>
      </c>
      <c r="F56" s="7">
        <v>43555</v>
      </c>
      <c r="G56" s="7">
        <v>43921</v>
      </c>
      <c r="H56" s="7">
        <v>44286</v>
      </c>
      <c r="I56" s="7">
        <v>44651</v>
      </c>
      <c r="J56" s="7">
        <v>45016</v>
      </c>
      <c r="K56" s="7">
        <v>45382</v>
      </c>
    </row>
    <row r="57" spans="1:11" x14ac:dyDescent="0.25">
      <c r="A57" s="5" t="s">
        <v>23</v>
      </c>
      <c r="B57" s="4">
        <v>95.92</v>
      </c>
      <c r="C57" s="4">
        <v>95.92</v>
      </c>
      <c r="D57" s="4">
        <v>95.92</v>
      </c>
      <c r="E57" s="4">
        <v>95.92</v>
      </c>
      <c r="F57" s="4">
        <v>95.92</v>
      </c>
      <c r="G57" s="4">
        <v>95.92</v>
      </c>
      <c r="H57" s="4">
        <v>95.92</v>
      </c>
      <c r="I57" s="4">
        <v>95.92</v>
      </c>
      <c r="J57" s="4">
        <v>95.92</v>
      </c>
      <c r="K57" s="4">
        <v>95.92</v>
      </c>
    </row>
    <row r="58" spans="1:11" x14ac:dyDescent="0.25">
      <c r="A58" s="5" t="s">
        <v>22</v>
      </c>
      <c r="B58" s="4">
        <v>4646.4399999999996</v>
      </c>
      <c r="C58" s="4">
        <v>6428.9</v>
      </c>
      <c r="D58" s="4">
        <v>7507.97</v>
      </c>
      <c r="E58" s="4">
        <v>8314.31</v>
      </c>
      <c r="F58" s="4">
        <v>9374.6299999999992</v>
      </c>
      <c r="G58" s="4">
        <v>10034.24</v>
      </c>
      <c r="H58" s="4">
        <v>12710.37</v>
      </c>
      <c r="I58" s="4">
        <v>13715.64</v>
      </c>
      <c r="J58" s="4">
        <v>15896.31</v>
      </c>
      <c r="K58" s="4">
        <v>18632.38</v>
      </c>
    </row>
    <row r="59" spans="1:11" x14ac:dyDescent="0.25">
      <c r="A59" s="5" t="s">
        <v>21</v>
      </c>
      <c r="B59" s="4">
        <v>418.17</v>
      </c>
      <c r="C59" s="4">
        <v>323.29000000000002</v>
      </c>
      <c r="D59" s="4">
        <v>560.34</v>
      </c>
      <c r="E59" s="4">
        <v>533.42999999999995</v>
      </c>
      <c r="F59" s="4">
        <v>1319.6</v>
      </c>
      <c r="G59" s="4">
        <v>1118.5</v>
      </c>
      <c r="H59" s="4">
        <v>1093.1199999999999</v>
      </c>
      <c r="I59" s="4">
        <v>1586.88</v>
      </c>
      <c r="J59" s="4">
        <v>1932.62</v>
      </c>
      <c r="K59" s="4">
        <v>2474.38</v>
      </c>
    </row>
    <row r="60" spans="1:11" x14ac:dyDescent="0.25">
      <c r="A60" s="5" t="s">
        <v>20</v>
      </c>
      <c r="B60" s="4">
        <v>3753.97</v>
      </c>
      <c r="C60" s="4">
        <v>3710.92</v>
      </c>
      <c r="D60" s="4">
        <v>4240.96</v>
      </c>
      <c r="E60" s="4">
        <v>4819.82</v>
      </c>
      <c r="F60" s="4">
        <v>5458.69</v>
      </c>
      <c r="G60" s="4">
        <v>4889.3100000000004</v>
      </c>
      <c r="H60" s="4">
        <v>6455.93</v>
      </c>
      <c r="I60" s="4">
        <v>7559.99</v>
      </c>
      <c r="J60" s="4">
        <v>7854.48</v>
      </c>
      <c r="K60" s="4">
        <v>8698.09</v>
      </c>
    </row>
    <row r="61" spans="1:11" s="3" customFormat="1" x14ac:dyDescent="0.25">
      <c r="A61" s="3" t="s">
        <v>15</v>
      </c>
      <c r="B61" s="4">
        <v>8914.5</v>
      </c>
      <c r="C61" s="4">
        <v>10559.03</v>
      </c>
      <c r="D61" s="4">
        <v>12405.19</v>
      </c>
      <c r="E61" s="4">
        <v>13763.48</v>
      </c>
      <c r="F61" s="4">
        <v>16248.84</v>
      </c>
      <c r="G61" s="4">
        <v>16137.97</v>
      </c>
      <c r="H61" s="4">
        <v>20355.34</v>
      </c>
      <c r="I61" s="4">
        <v>22958.43</v>
      </c>
      <c r="J61" s="4">
        <v>25779.33</v>
      </c>
      <c r="K61" s="4">
        <v>29900.77</v>
      </c>
    </row>
    <row r="62" spans="1:11" x14ac:dyDescent="0.25">
      <c r="A62" s="5" t="s">
        <v>19</v>
      </c>
      <c r="B62" s="4">
        <v>2660.04</v>
      </c>
      <c r="C62" s="4">
        <v>3416.35</v>
      </c>
      <c r="D62" s="4">
        <v>3303.74</v>
      </c>
      <c r="E62" s="4">
        <v>3732.24</v>
      </c>
      <c r="F62" s="4">
        <v>6496.56</v>
      </c>
      <c r="G62" s="4">
        <v>6272.31</v>
      </c>
      <c r="H62" s="4">
        <v>5858.52</v>
      </c>
      <c r="I62" s="4">
        <v>5519.06</v>
      </c>
      <c r="J62" s="4">
        <v>5770.46</v>
      </c>
      <c r="K62" s="4">
        <v>7146.62</v>
      </c>
    </row>
    <row r="63" spans="1:11" x14ac:dyDescent="0.25">
      <c r="A63" s="5" t="s">
        <v>18</v>
      </c>
      <c r="B63" s="4">
        <v>196</v>
      </c>
      <c r="C63" s="4">
        <v>106.59</v>
      </c>
      <c r="D63" s="4">
        <v>257.54000000000002</v>
      </c>
      <c r="E63" s="4">
        <v>1405.11</v>
      </c>
      <c r="F63" s="4">
        <v>209.67</v>
      </c>
      <c r="G63" s="4">
        <v>140.24</v>
      </c>
      <c r="H63" s="4">
        <v>182.98</v>
      </c>
      <c r="I63" s="4">
        <v>426.43</v>
      </c>
      <c r="J63" s="4">
        <v>1019.59</v>
      </c>
      <c r="K63" s="4">
        <v>2698.37</v>
      </c>
    </row>
    <row r="64" spans="1:11" x14ac:dyDescent="0.25">
      <c r="A64" s="5" t="s">
        <v>17</v>
      </c>
      <c r="B64" s="4">
        <v>1587.79</v>
      </c>
      <c r="C64" s="4">
        <v>2712.13</v>
      </c>
      <c r="D64" s="4">
        <v>2651.99</v>
      </c>
      <c r="E64" s="4">
        <v>2140.6999999999998</v>
      </c>
      <c r="F64" s="4">
        <v>2568.58</v>
      </c>
      <c r="G64" s="4">
        <v>2018.85</v>
      </c>
      <c r="H64" s="4">
        <v>4736.8</v>
      </c>
      <c r="I64" s="4">
        <v>3247.53</v>
      </c>
      <c r="J64" s="4">
        <v>4261.71</v>
      </c>
      <c r="K64" s="4">
        <v>4587.92</v>
      </c>
    </row>
    <row r="65" spans="1:11" x14ac:dyDescent="0.25">
      <c r="A65" s="5" t="s">
        <v>16</v>
      </c>
      <c r="B65" s="4">
        <v>4470.67</v>
      </c>
      <c r="C65" s="4">
        <v>4323.96</v>
      </c>
      <c r="D65" s="4">
        <v>6191.92</v>
      </c>
      <c r="E65" s="4">
        <v>6485.43</v>
      </c>
      <c r="F65" s="4">
        <v>6974.03</v>
      </c>
      <c r="G65" s="4">
        <v>7706.57</v>
      </c>
      <c r="H65" s="4">
        <v>9577.0400000000009</v>
      </c>
      <c r="I65" s="4">
        <v>13765.41</v>
      </c>
      <c r="J65" s="4">
        <v>14727.57</v>
      </c>
      <c r="K65" s="4">
        <v>15467.86</v>
      </c>
    </row>
    <row r="66" spans="1:11" s="3" customFormat="1" x14ac:dyDescent="0.25">
      <c r="A66" s="3" t="s">
        <v>15</v>
      </c>
      <c r="B66" s="4">
        <v>8914.5</v>
      </c>
      <c r="C66" s="4">
        <v>10559.03</v>
      </c>
      <c r="D66" s="4">
        <v>12405.19</v>
      </c>
      <c r="E66" s="4">
        <v>13763.48</v>
      </c>
      <c r="F66" s="4">
        <v>16248.84</v>
      </c>
      <c r="G66" s="4">
        <v>16137.97</v>
      </c>
      <c r="H66" s="4">
        <v>20355.34</v>
      </c>
      <c r="I66" s="4">
        <v>22958.43</v>
      </c>
      <c r="J66" s="4">
        <v>25779.33</v>
      </c>
      <c r="K66" s="4">
        <v>29900.77</v>
      </c>
    </row>
    <row r="67" spans="1:11" s="5" customFormat="1" x14ac:dyDescent="0.25">
      <c r="A67" s="5" t="s">
        <v>14</v>
      </c>
      <c r="B67" s="4">
        <v>1182.07</v>
      </c>
      <c r="C67" s="4">
        <v>1186.8399999999999</v>
      </c>
      <c r="D67" s="4">
        <v>1446.6</v>
      </c>
      <c r="E67" s="4">
        <v>1730.63</v>
      </c>
      <c r="F67" s="4">
        <v>1907.33</v>
      </c>
      <c r="G67" s="4">
        <v>1795.22</v>
      </c>
      <c r="H67" s="4">
        <v>2602.17</v>
      </c>
      <c r="I67" s="4">
        <v>3871.44</v>
      </c>
      <c r="J67" s="4">
        <v>4636.9399999999996</v>
      </c>
      <c r="K67" s="4">
        <v>4889.05</v>
      </c>
    </row>
    <row r="68" spans="1:11" x14ac:dyDescent="0.25">
      <c r="A68" s="5" t="s">
        <v>13</v>
      </c>
      <c r="B68" s="4">
        <v>2258.52</v>
      </c>
      <c r="C68" s="4">
        <v>1998.24</v>
      </c>
      <c r="D68" s="4">
        <v>2626.94</v>
      </c>
      <c r="E68" s="4">
        <v>2658.31</v>
      </c>
      <c r="F68" s="4">
        <v>3149.86</v>
      </c>
      <c r="G68" s="4">
        <v>3389.81</v>
      </c>
      <c r="H68" s="4">
        <v>3798.6</v>
      </c>
      <c r="I68" s="4">
        <v>6152.98</v>
      </c>
      <c r="J68" s="4">
        <v>6210.64</v>
      </c>
      <c r="K68" s="4">
        <v>5923.41</v>
      </c>
    </row>
    <row r="69" spans="1:11" x14ac:dyDescent="0.25">
      <c r="A69" s="1" t="s">
        <v>12</v>
      </c>
      <c r="B69" s="4">
        <v>204.39</v>
      </c>
      <c r="C69" s="4">
        <v>424.2</v>
      </c>
      <c r="D69" s="4">
        <v>801.21</v>
      </c>
      <c r="E69" s="4">
        <v>404.65</v>
      </c>
      <c r="F69" s="4">
        <v>444.88</v>
      </c>
      <c r="G69" s="4">
        <v>782.83</v>
      </c>
      <c r="H69" s="4">
        <v>610.75</v>
      </c>
      <c r="I69" s="4">
        <v>864.33</v>
      </c>
      <c r="J69" s="4">
        <v>843.82</v>
      </c>
      <c r="K69" s="4">
        <v>1084.01</v>
      </c>
    </row>
    <row r="70" spans="1:11" x14ac:dyDescent="0.25">
      <c r="A70" s="1" t="s">
        <v>11</v>
      </c>
      <c r="B70" s="4">
        <v>959197790</v>
      </c>
      <c r="C70" s="4">
        <v>959197790</v>
      </c>
      <c r="D70" s="4">
        <v>959197790</v>
      </c>
      <c r="E70" s="4">
        <v>959197790</v>
      </c>
      <c r="F70" s="4">
        <v>959197790</v>
      </c>
      <c r="G70" s="4">
        <v>959197790</v>
      </c>
      <c r="H70" s="4">
        <v>959197790</v>
      </c>
      <c r="I70" s="4">
        <v>959197790</v>
      </c>
      <c r="J70" s="4">
        <v>959197790</v>
      </c>
      <c r="K70" s="4">
        <v>959197790</v>
      </c>
    </row>
    <row r="71" spans="1:11" x14ac:dyDescent="0.25">
      <c r="A71" s="1" t="s">
        <v>10</v>
      </c>
    </row>
    <row r="72" spans="1:11" x14ac:dyDescent="0.25">
      <c r="A72" s="1" t="s">
        <v>9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</row>
    <row r="74" spans="1:11" x14ac:dyDescent="0.25">
      <c r="A74" s="5"/>
    </row>
    <row r="75" spans="1:11" x14ac:dyDescent="0.25">
      <c r="A75" s="5"/>
    </row>
    <row r="76" spans="1:11" x14ac:dyDescent="0.25">
      <c r="A76" s="5"/>
    </row>
    <row r="77" spans="1:11" x14ac:dyDescent="0.25">
      <c r="A77" s="5"/>
    </row>
    <row r="78" spans="1:11" x14ac:dyDescent="0.25">
      <c r="A78" s="5"/>
    </row>
    <row r="79" spans="1:11" x14ac:dyDescent="0.25">
      <c r="A79" s="5"/>
    </row>
    <row r="80" spans="1:11" x14ac:dyDescent="0.25">
      <c r="A80" s="3" t="s">
        <v>8</v>
      </c>
    </row>
    <row r="81" spans="1:11" s="6" customFormat="1" x14ac:dyDescent="0.25">
      <c r="A81" s="8" t="s">
        <v>7</v>
      </c>
      <c r="B81" s="7">
        <v>42094</v>
      </c>
      <c r="C81" s="7">
        <v>42460</v>
      </c>
      <c r="D81" s="7">
        <v>42825</v>
      </c>
      <c r="E81" s="7">
        <v>43190</v>
      </c>
      <c r="F81" s="7">
        <v>43555</v>
      </c>
      <c r="G81" s="7">
        <v>43921</v>
      </c>
      <c r="H81" s="7">
        <v>44286</v>
      </c>
      <c r="I81" s="7">
        <v>44651</v>
      </c>
      <c r="J81" s="7">
        <v>45016</v>
      </c>
      <c r="K81" s="7">
        <v>45382</v>
      </c>
    </row>
    <row r="82" spans="1:11" s="3" customFormat="1" x14ac:dyDescent="0.25">
      <c r="A82" s="5" t="s">
        <v>6</v>
      </c>
      <c r="B82" s="4">
        <v>1187.69</v>
      </c>
      <c r="C82" s="4">
        <v>2242.9499999999998</v>
      </c>
      <c r="D82" s="4">
        <v>1527.33</v>
      </c>
      <c r="E82" s="4">
        <v>2113.44</v>
      </c>
      <c r="F82" s="4">
        <v>2469.54</v>
      </c>
      <c r="G82" s="4">
        <v>3038.15</v>
      </c>
      <c r="H82" s="4">
        <v>3683.35</v>
      </c>
      <c r="I82" s="4">
        <v>986.49</v>
      </c>
      <c r="J82" s="4">
        <v>4193.43</v>
      </c>
      <c r="K82" s="4">
        <v>6103.6</v>
      </c>
    </row>
    <row r="83" spans="1:11" s="5" customFormat="1" x14ac:dyDescent="0.25">
      <c r="A83" s="5" t="s">
        <v>5</v>
      </c>
      <c r="B83" s="4">
        <v>-464.99</v>
      </c>
      <c r="C83" s="4">
        <v>-866.21</v>
      </c>
      <c r="D83" s="4">
        <v>-681.11</v>
      </c>
      <c r="E83" s="4">
        <v>-1556.14</v>
      </c>
      <c r="F83" s="4">
        <v>-917.79</v>
      </c>
      <c r="G83" s="4">
        <v>-517.91</v>
      </c>
      <c r="H83" s="4">
        <v>-540.54</v>
      </c>
      <c r="I83" s="4">
        <v>-316.75</v>
      </c>
      <c r="J83" s="4">
        <v>-1282.3399999999999</v>
      </c>
      <c r="K83" s="4">
        <v>-2548.48</v>
      </c>
    </row>
    <row r="84" spans="1:11" s="5" customFormat="1" x14ac:dyDescent="0.25">
      <c r="A84" s="5" t="s">
        <v>4</v>
      </c>
      <c r="B84" s="4">
        <v>-576.09</v>
      </c>
      <c r="C84" s="4">
        <v>-848.98</v>
      </c>
      <c r="D84" s="4">
        <v>-756.43</v>
      </c>
      <c r="E84" s="4">
        <v>-1379.14</v>
      </c>
      <c r="F84" s="4">
        <v>-1117.46</v>
      </c>
      <c r="G84" s="4">
        <v>-2871.46</v>
      </c>
      <c r="H84" s="4">
        <v>-650.4</v>
      </c>
      <c r="I84" s="4">
        <v>-1807.61</v>
      </c>
      <c r="J84" s="4">
        <v>-2140.0500000000002</v>
      </c>
      <c r="K84" s="4">
        <v>-2982.5</v>
      </c>
    </row>
    <row r="85" spans="1:11" s="3" customFormat="1" x14ac:dyDescent="0.25">
      <c r="A85" s="5" t="s">
        <v>3</v>
      </c>
      <c r="B85" s="4">
        <v>146.61000000000001</v>
      </c>
      <c r="C85" s="4">
        <v>527.76</v>
      </c>
      <c r="D85" s="4">
        <v>89.79</v>
      </c>
      <c r="E85" s="4">
        <v>-821.84</v>
      </c>
      <c r="F85" s="4">
        <v>434.29</v>
      </c>
      <c r="G85" s="4">
        <v>-351.22</v>
      </c>
      <c r="H85" s="4">
        <v>2492.41</v>
      </c>
      <c r="I85" s="4">
        <v>-1137.8699999999999</v>
      </c>
      <c r="J85" s="4">
        <v>771.04</v>
      </c>
      <c r="K85" s="4">
        <v>572.62</v>
      </c>
    </row>
    <row r="86" spans="1:11" x14ac:dyDescent="0.25">
      <c r="A86" s="5"/>
    </row>
    <row r="87" spans="1:11" x14ac:dyDescent="0.25">
      <c r="A87" s="5"/>
    </row>
    <row r="88" spans="1:11" x14ac:dyDescent="0.25">
      <c r="A88" s="5"/>
    </row>
    <row r="89" spans="1:11" x14ac:dyDescent="0.25">
      <c r="A89" s="5"/>
    </row>
    <row r="90" spans="1:11" s="3" customFormat="1" x14ac:dyDescent="0.25">
      <c r="A90" s="3" t="s">
        <v>2</v>
      </c>
      <c r="B90" s="4">
        <v>811.3</v>
      </c>
      <c r="C90" s="4">
        <v>868.4</v>
      </c>
      <c r="D90" s="4">
        <v>1073.5</v>
      </c>
      <c r="E90" s="4">
        <v>1120.4000000000001</v>
      </c>
      <c r="F90" s="4">
        <v>1492.7</v>
      </c>
      <c r="G90" s="4">
        <v>1666.5</v>
      </c>
      <c r="H90" s="4">
        <v>2537.4</v>
      </c>
      <c r="I90" s="4">
        <v>3079.95</v>
      </c>
      <c r="J90" s="4">
        <v>2761.65</v>
      </c>
      <c r="K90" s="4">
        <v>2846.75</v>
      </c>
    </row>
    <row r="92" spans="1:11" s="3" customFormat="1" x14ac:dyDescent="0.25">
      <c r="A92" s="3" t="s">
        <v>1</v>
      </c>
    </row>
    <row r="93" spans="1:11" x14ac:dyDescent="0.25">
      <c r="A93" s="1" t="s">
        <v>0</v>
      </c>
      <c r="B93" s="2">
        <v>95.92</v>
      </c>
      <c r="C93" s="2">
        <v>95.92</v>
      </c>
      <c r="D93" s="2">
        <v>95.92</v>
      </c>
      <c r="E93" s="2">
        <v>95.92</v>
      </c>
      <c r="F93" s="2">
        <v>95.92</v>
      </c>
      <c r="G93" s="2">
        <v>95.92</v>
      </c>
      <c r="H93" s="2">
        <v>95.92</v>
      </c>
      <c r="I93" s="2">
        <v>95.92</v>
      </c>
      <c r="J93" s="2">
        <v>95.92</v>
      </c>
      <c r="K93" s="2">
        <v>95.92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5211EDAA-F393-441F-8976-DE2C77F45928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3DBA-347C-485A-BB88-4033B0D67C67}">
  <dimension ref="B2:N34"/>
  <sheetViews>
    <sheetView topLeftCell="B4" workbookViewId="0">
      <selection activeCell="E13" sqref="E13"/>
    </sheetView>
  </sheetViews>
  <sheetFormatPr defaultRowHeight="15" x14ac:dyDescent="0.25"/>
  <cols>
    <col min="1" max="1" width="9.140625" style="4"/>
    <col min="2" max="2" width="33.85546875" style="4" bestFit="1" customWidth="1"/>
    <col min="3" max="14" width="9.5703125" style="4" bestFit="1" customWidth="1"/>
    <col min="15" max="16384" width="9.140625" style="4"/>
  </cols>
  <sheetData>
    <row r="2" spans="2:14" x14ac:dyDescent="0.25">
      <c r="C2" s="38">
        <v>40969</v>
      </c>
      <c r="D2" s="38">
        <v>41334</v>
      </c>
      <c r="E2" s="38">
        <v>41699</v>
      </c>
      <c r="F2" s="38">
        <v>42064</v>
      </c>
      <c r="G2" s="38">
        <v>42430</v>
      </c>
      <c r="H2" s="38">
        <v>42795</v>
      </c>
      <c r="I2" s="38">
        <v>43160</v>
      </c>
      <c r="J2" s="38">
        <v>43525</v>
      </c>
      <c r="K2" s="38">
        <v>43891</v>
      </c>
      <c r="L2" s="38">
        <v>44256</v>
      </c>
      <c r="M2" s="38">
        <v>44621</v>
      </c>
      <c r="N2" s="38">
        <v>44986</v>
      </c>
    </row>
    <row r="3" spans="2:14" s="57" customFormat="1" x14ac:dyDescent="0.25">
      <c r="B3" s="55" t="s">
        <v>143</v>
      </c>
      <c r="C3" s="56">
        <v>18384</v>
      </c>
      <c r="D3" s="56">
        <v>22163</v>
      </c>
      <c r="E3" s="56">
        <v>36151</v>
      </c>
      <c r="F3" s="56">
        <v>35531</v>
      </c>
      <c r="G3" s="56">
        <v>37900</v>
      </c>
      <c r="H3" s="56">
        <v>30199</v>
      </c>
      <c r="I3" s="56">
        <v>23857</v>
      </c>
      <c r="J3" s="56">
        <v>18891</v>
      </c>
      <c r="K3" s="56">
        <v>26633</v>
      </c>
      <c r="L3" s="56">
        <v>29001</v>
      </c>
      <c r="M3" s="56">
        <v>14283</v>
      </c>
      <c r="N3" s="56">
        <v>35388</v>
      </c>
    </row>
    <row r="4" spans="2:14" x14ac:dyDescent="0.25">
      <c r="B4" s="41" t="s">
        <v>144</v>
      </c>
      <c r="C4" s="40">
        <v>22432</v>
      </c>
      <c r="D4" s="40">
        <v>24406</v>
      </c>
      <c r="E4" s="40">
        <v>36303</v>
      </c>
      <c r="F4" s="40">
        <v>43397</v>
      </c>
      <c r="G4" s="40">
        <v>38626</v>
      </c>
      <c r="H4" s="40">
        <v>28840</v>
      </c>
      <c r="I4" s="40">
        <v>33312</v>
      </c>
      <c r="J4" s="40">
        <v>28771</v>
      </c>
      <c r="K4" s="40">
        <v>23352</v>
      </c>
      <c r="L4" s="40">
        <v>31198</v>
      </c>
      <c r="M4" s="40">
        <v>26943</v>
      </c>
      <c r="N4" s="40">
        <v>41694</v>
      </c>
    </row>
    <row r="5" spans="2:14" x14ac:dyDescent="0.25">
      <c r="B5" s="41" t="s">
        <v>14</v>
      </c>
      <c r="C5" s="40">
        <v>-6659</v>
      </c>
      <c r="D5" s="40">
        <v>-5177</v>
      </c>
      <c r="E5" s="42">
        <v>445</v>
      </c>
      <c r="F5" s="40">
        <v>-3179</v>
      </c>
      <c r="G5" s="40">
        <v>-2223</v>
      </c>
      <c r="H5" s="40">
        <v>-4152</v>
      </c>
      <c r="I5" s="40">
        <v>-10688</v>
      </c>
      <c r="J5" s="40">
        <v>-9109</v>
      </c>
      <c r="K5" s="40">
        <v>9950</v>
      </c>
      <c r="L5" s="40">
        <v>-5505</v>
      </c>
      <c r="M5" s="42">
        <v>185</v>
      </c>
      <c r="N5" s="40">
        <v>-2213</v>
      </c>
    </row>
    <row r="6" spans="2:14" x14ac:dyDescent="0.25">
      <c r="B6" s="41" t="s">
        <v>13</v>
      </c>
      <c r="C6" s="40">
        <v>-2719</v>
      </c>
      <c r="D6" s="40">
        <v>-2656</v>
      </c>
      <c r="E6" s="40">
        <v>-2853</v>
      </c>
      <c r="F6" s="40">
        <v>-3692</v>
      </c>
      <c r="G6" s="40">
        <v>-5743</v>
      </c>
      <c r="H6" s="40">
        <v>-6621</v>
      </c>
      <c r="I6" s="40">
        <v>-3560</v>
      </c>
      <c r="J6" s="40">
        <v>2069</v>
      </c>
      <c r="K6" s="40">
        <v>2326</v>
      </c>
      <c r="L6" s="40">
        <v>3814</v>
      </c>
      <c r="M6" s="42">
        <v>472</v>
      </c>
      <c r="N6" s="40">
        <v>-5665</v>
      </c>
    </row>
    <row r="7" spans="2:14" x14ac:dyDescent="0.25">
      <c r="B7" s="41" t="s">
        <v>145</v>
      </c>
      <c r="C7" s="40">
        <v>5867</v>
      </c>
      <c r="D7" s="40">
        <v>8132</v>
      </c>
      <c r="E7" s="40">
        <v>4694</v>
      </c>
      <c r="F7" s="40">
        <v>3598</v>
      </c>
      <c r="G7" s="40">
        <v>3947</v>
      </c>
      <c r="H7" s="40">
        <v>9301</v>
      </c>
      <c r="I7" s="40">
        <v>7320</v>
      </c>
      <c r="J7" s="40">
        <v>-4692</v>
      </c>
      <c r="K7" s="40">
        <v>-8085</v>
      </c>
      <c r="L7" s="40">
        <v>5748</v>
      </c>
      <c r="M7" s="40">
        <v>-7012</v>
      </c>
      <c r="N7" s="40">
        <v>6945</v>
      </c>
    </row>
    <row r="8" spans="2:14" x14ac:dyDescent="0.25">
      <c r="B8" s="41" t="s">
        <v>146</v>
      </c>
      <c r="C8" s="42">
        <v>0</v>
      </c>
      <c r="D8" s="42">
        <v>0</v>
      </c>
      <c r="E8" s="42">
        <v>0</v>
      </c>
      <c r="F8" s="42">
        <v>0</v>
      </c>
      <c r="G8" s="42">
        <v>-520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</row>
    <row r="9" spans="2:14" x14ac:dyDescent="0.25">
      <c r="B9" s="41" t="s">
        <v>147</v>
      </c>
      <c r="C9" s="40">
        <v>1231</v>
      </c>
      <c r="D9" s="42">
        <v>-303</v>
      </c>
      <c r="E9" s="40">
        <v>1870</v>
      </c>
      <c r="F9" s="42">
        <v>-398</v>
      </c>
      <c r="G9" s="40">
        <v>5852</v>
      </c>
      <c r="H9" s="40">
        <v>4727</v>
      </c>
      <c r="I9" s="42">
        <v>494</v>
      </c>
      <c r="J9" s="40">
        <v>4512</v>
      </c>
      <c r="K9" s="42">
        <v>875</v>
      </c>
      <c r="L9" s="40">
        <v>-4150</v>
      </c>
      <c r="M9" s="40">
        <v>-4396</v>
      </c>
      <c r="N9" s="40">
        <v>-2194</v>
      </c>
    </row>
    <row r="10" spans="2:14" x14ac:dyDescent="0.25">
      <c r="B10" s="41" t="s">
        <v>148</v>
      </c>
      <c r="C10" s="40">
        <v>-2280</v>
      </c>
      <c r="D10" s="42">
        <v>-3</v>
      </c>
      <c r="E10" s="40">
        <v>4157</v>
      </c>
      <c r="F10" s="40">
        <v>-3672</v>
      </c>
      <c r="G10" s="40">
        <v>1313</v>
      </c>
      <c r="H10" s="40">
        <v>3254</v>
      </c>
      <c r="I10" s="40">
        <v>-6434</v>
      </c>
      <c r="J10" s="40">
        <v>-7221</v>
      </c>
      <c r="K10" s="40">
        <v>5065</v>
      </c>
      <c r="L10" s="42">
        <v>-93</v>
      </c>
      <c r="M10" s="40">
        <v>-10750</v>
      </c>
      <c r="N10" s="40">
        <v>-3127</v>
      </c>
    </row>
    <row r="11" spans="2:14" x14ac:dyDescent="0.25">
      <c r="B11" s="41" t="s">
        <v>149</v>
      </c>
      <c r="C11" s="40">
        <v>-1768</v>
      </c>
      <c r="D11" s="40">
        <v>-2240</v>
      </c>
      <c r="E11" s="40">
        <v>-4308</v>
      </c>
      <c r="F11" s="40">
        <v>-4194</v>
      </c>
      <c r="G11" s="40">
        <v>-2040</v>
      </c>
      <c r="H11" s="40">
        <v>-1895</v>
      </c>
      <c r="I11" s="40">
        <v>-3021</v>
      </c>
      <c r="J11" s="40">
        <v>-2659</v>
      </c>
      <c r="K11" s="40">
        <v>-1785</v>
      </c>
      <c r="L11" s="40">
        <v>-2105</v>
      </c>
      <c r="M11" s="40">
        <v>-1910</v>
      </c>
      <c r="N11" s="40">
        <v>-3179</v>
      </c>
    </row>
    <row r="12" spans="2:14" x14ac:dyDescent="0.25">
      <c r="B12" s="39" t="s">
        <v>150</v>
      </c>
      <c r="C12" s="40">
        <v>-19464</v>
      </c>
      <c r="D12" s="40">
        <v>-22969</v>
      </c>
      <c r="E12" s="40">
        <v>-27991</v>
      </c>
      <c r="F12" s="40">
        <v>-36232</v>
      </c>
      <c r="G12" s="40">
        <v>-36694</v>
      </c>
      <c r="H12" s="40">
        <v>-39571</v>
      </c>
      <c r="I12" s="40">
        <v>-25139</v>
      </c>
      <c r="J12" s="40">
        <v>-20878</v>
      </c>
      <c r="K12" s="40">
        <v>-33115</v>
      </c>
      <c r="L12" s="40">
        <v>-25672</v>
      </c>
      <c r="M12" s="40">
        <v>-4444</v>
      </c>
      <c r="N12" s="40">
        <v>-15417</v>
      </c>
    </row>
    <row r="13" spans="2:14" x14ac:dyDescent="0.25">
      <c r="B13" s="41" t="s">
        <v>151</v>
      </c>
      <c r="C13" s="40">
        <v>-13876</v>
      </c>
      <c r="D13" s="40">
        <v>-18863</v>
      </c>
      <c r="E13" s="40">
        <v>-26975</v>
      </c>
      <c r="F13" s="40">
        <v>-31962</v>
      </c>
      <c r="G13" s="40">
        <v>-31503</v>
      </c>
      <c r="H13" s="40">
        <v>-16072</v>
      </c>
      <c r="I13" s="40">
        <v>-35079</v>
      </c>
      <c r="J13" s="40">
        <v>-35304</v>
      </c>
      <c r="K13" s="40">
        <v>-29702</v>
      </c>
      <c r="L13" s="40">
        <v>-20205</v>
      </c>
      <c r="M13" s="40">
        <v>-15168</v>
      </c>
      <c r="N13" s="40">
        <v>-19230</v>
      </c>
    </row>
    <row r="14" spans="2:14" x14ac:dyDescent="0.25">
      <c r="B14" s="41" t="s">
        <v>152</v>
      </c>
      <c r="C14" s="42">
        <v>93</v>
      </c>
      <c r="D14" s="42">
        <v>37</v>
      </c>
      <c r="E14" s="42">
        <v>50</v>
      </c>
      <c r="F14" s="42">
        <v>74</v>
      </c>
      <c r="G14" s="42">
        <v>59</v>
      </c>
      <c r="H14" s="42">
        <v>53</v>
      </c>
      <c r="I14" s="42">
        <v>30</v>
      </c>
      <c r="J14" s="42">
        <v>67</v>
      </c>
      <c r="K14" s="42">
        <v>171</v>
      </c>
      <c r="L14" s="42">
        <v>351</v>
      </c>
      <c r="M14" s="42">
        <v>230</v>
      </c>
      <c r="N14" s="42">
        <v>285</v>
      </c>
    </row>
    <row r="15" spans="2:14" x14ac:dyDescent="0.25">
      <c r="B15" s="41" t="s">
        <v>153</v>
      </c>
      <c r="C15" s="40">
        <v>-5857</v>
      </c>
      <c r="D15" s="42">
        <v>73</v>
      </c>
      <c r="E15" s="42">
        <v>-429</v>
      </c>
      <c r="F15" s="40">
        <v>-5461</v>
      </c>
      <c r="G15" s="40">
        <v>-4728</v>
      </c>
      <c r="H15" s="42">
        <v>-6</v>
      </c>
      <c r="I15" s="42">
        <v>-329</v>
      </c>
      <c r="J15" s="42">
        <v>-130</v>
      </c>
      <c r="K15" s="40">
        <v>-1439</v>
      </c>
      <c r="L15" s="40">
        <v>-7530</v>
      </c>
      <c r="M15" s="40">
        <v>-3008</v>
      </c>
      <c r="N15" s="42">
        <v>-50</v>
      </c>
    </row>
    <row r="16" spans="2:14" x14ac:dyDescent="0.25">
      <c r="B16" s="41" t="s">
        <v>154</v>
      </c>
      <c r="C16" s="42">
        <v>84</v>
      </c>
      <c r="D16" s="42">
        <v>34</v>
      </c>
      <c r="E16" s="42">
        <v>4</v>
      </c>
      <c r="F16" s="42">
        <v>42</v>
      </c>
      <c r="G16" s="42">
        <v>89</v>
      </c>
      <c r="H16" s="40">
        <v>1965</v>
      </c>
      <c r="I16" s="40">
        <v>2381</v>
      </c>
      <c r="J16" s="40">
        <v>5644</v>
      </c>
      <c r="K16" s="42">
        <v>21</v>
      </c>
      <c r="L16" s="42">
        <v>226</v>
      </c>
      <c r="M16" s="42">
        <v>104</v>
      </c>
      <c r="N16" s="40">
        <v>6895</v>
      </c>
    </row>
    <row r="17" spans="2:14" x14ac:dyDescent="0.25">
      <c r="B17" s="41" t="s">
        <v>155</v>
      </c>
      <c r="C17" s="42">
        <v>467</v>
      </c>
      <c r="D17" s="42">
        <v>713</v>
      </c>
      <c r="E17" s="42">
        <v>653</v>
      </c>
      <c r="F17" s="42">
        <v>698</v>
      </c>
      <c r="G17" s="42">
        <v>731</v>
      </c>
      <c r="H17" s="42">
        <v>638</v>
      </c>
      <c r="I17" s="42">
        <v>690</v>
      </c>
      <c r="J17" s="42">
        <v>761</v>
      </c>
      <c r="K17" s="40">
        <v>1104</v>
      </c>
      <c r="L17" s="42">
        <v>428</v>
      </c>
      <c r="M17" s="42">
        <v>653</v>
      </c>
      <c r="N17" s="42">
        <v>973</v>
      </c>
    </row>
    <row r="18" spans="2:14" x14ac:dyDescent="0.25">
      <c r="B18" s="41" t="s">
        <v>156</v>
      </c>
      <c r="C18" s="42">
        <v>70</v>
      </c>
      <c r="D18" s="42">
        <v>95</v>
      </c>
      <c r="E18" s="42">
        <v>40</v>
      </c>
      <c r="F18" s="42">
        <v>80</v>
      </c>
      <c r="G18" s="42">
        <v>58</v>
      </c>
      <c r="H18" s="42">
        <v>620</v>
      </c>
      <c r="I18" s="40">
        <v>1797</v>
      </c>
      <c r="J18" s="42">
        <v>232</v>
      </c>
      <c r="K18" s="42">
        <v>21</v>
      </c>
      <c r="L18" s="42">
        <v>18</v>
      </c>
      <c r="M18" s="42">
        <v>32</v>
      </c>
      <c r="N18" s="42">
        <v>46</v>
      </c>
    </row>
    <row r="19" spans="2:14" x14ac:dyDescent="0.25">
      <c r="B19" s="41" t="s">
        <v>157</v>
      </c>
      <c r="C19" s="42">
        <v>-304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</row>
    <row r="20" spans="2:14" x14ac:dyDescent="0.25">
      <c r="B20" s="41" t="s">
        <v>158</v>
      </c>
      <c r="C20" s="42">
        <v>-9</v>
      </c>
      <c r="D20" s="42">
        <v>0</v>
      </c>
      <c r="E20" s="42">
        <v>0</v>
      </c>
      <c r="F20" s="42">
        <v>-160</v>
      </c>
      <c r="G20" s="42">
        <v>0</v>
      </c>
      <c r="H20" s="42">
        <v>-107</v>
      </c>
      <c r="I20" s="42">
        <v>-4</v>
      </c>
      <c r="J20" s="42">
        <v>-9</v>
      </c>
      <c r="K20" s="42">
        <v>-606</v>
      </c>
      <c r="L20" s="42">
        <v>-10</v>
      </c>
      <c r="M20" s="42">
        <v>0</v>
      </c>
      <c r="N20" s="42">
        <v>0</v>
      </c>
    </row>
    <row r="21" spans="2:14" x14ac:dyDescent="0.25">
      <c r="B21" s="41" t="s">
        <v>159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14</v>
      </c>
      <c r="J21" s="42">
        <v>533</v>
      </c>
      <c r="K21" s="42">
        <v>0</v>
      </c>
      <c r="L21" s="42">
        <v>0</v>
      </c>
      <c r="M21" s="42">
        <v>0</v>
      </c>
      <c r="N21" s="42">
        <v>19</v>
      </c>
    </row>
    <row r="22" spans="2:14" x14ac:dyDescent="0.25">
      <c r="B22" s="41" t="s">
        <v>160</v>
      </c>
      <c r="C22" s="42">
        <v>0</v>
      </c>
      <c r="D22" s="42">
        <v>0</v>
      </c>
      <c r="E22" s="42">
        <v>-185</v>
      </c>
      <c r="F22" s="42">
        <v>0</v>
      </c>
      <c r="G22" s="42">
        <v>-111</v>
      </c>
      <c r="H22" s="42">
        <v>0</v>
      </c>
      <c r="I22" s="42">
        <v>0</v>
      </c>
      <c r="J22" s="42">
        <v>-8</v>
      </c>
      <c r="K22" s="42">
        <v>-27</v>
      </c>
      <c r="L22" s="42">
        <v>0</v>
      </c>
      <c r="M22" s="42">
        <v>-98</v>
      </c>
      <c r="N22" s="42">
        <v>0</v>
      </c>
    </row>
    <row r="23" spans="2:14" x14ac:dyDescent="0.25">
      <c r="B23" s="41" t="s">
        <v>161</v>
      </c>
      <c r="C23" s="42">
        <v>-3</v>
      </c>
      <c r="D23" s="42">
        <v>45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</row>
    <row r="24" spans="2:14" x14ac:dyDescent="0.25">
      <c r="B24" s="41" t="s">
        <v>162</v>
      </c>
      <c r="C24" s="42">
        <v>-129</v>
      </c>
      <c r="D24" s="40">
        <v>-5103</v>
      </c>
      <c r="E24" s="40">
        <v>-1149</v>
      </c>
      <c r="F24" s="42">
        <v>456</v>
      </c>
      <c r="G24" s="40">
        <v>-1289</v>
      </c>
      <c r="H24" s="40">
        <v>-26663</v>
      </c>
      <c r="I24" s="40">
        <v>5360</v>
      </c>
      <c r="J24" s="40">
        <v>7335</v>
      </c>
      <c r="K24" s="40">
        <v>-2659</v>
      </c>
      <c r="L24" s="40">
        <v>1051</v>
      </c>
      <c r="M24" s="40">
        <v>12813</v>
      </c>
      <c r="N24" s="40">
        <v>-4357</v>
      </c>
    </row>
    <row r="25" spans="2:14" x14ac:dyDescent="0.25">
      <c r="B25" s="39" t="s">
        <v>163</v>
      </c>
      <c r="C25" s="40">
        <v>6567</v>
      </c>
      <c r="D25" s="40">
        <v>-1692</v>
      </c>
      <c r="E25" s="40">
        <v>-3883</v>
      </c>
      <c r="F25" s="40">
        <v>5201</v>
      </c>
      <c r="G25" s="40">
        <v>-3795</v>
      </c>
      <c r="H25" s="40">
        <v>6205</v>
      </c>
      <c r="I25" s="40">
        <v>2012</v>
      </c>
      <c r="J25" s="40">
        <v>8830</v>
      </c>
      <c r="K25" s="40">
        <v>3390</v>
      </c>
      <c r="L25" s="40">
        <v>9904</v>
      </c>
      <c r="M25" s="40">
        <v>-3380</v>
      </c>
      <c r="N25" s="40">
        <v>-26243</v>
      </c>
    </row>
    <row r="26" spans="2:14" x14ac:dyDescent="0.25">
      <c r="B26" s="41" t="s">
        <v>164</v>
      </c>
      <c r="C26" s="42">
        <v>139</v>
      </c>
      <c r="D26" s="42">
        <v>1</v>
      </c>
      <c r="E26" s="42">
        <v>0</v>
      </c>
      <c r="F26" s="42">
        <v>0</v>
      </c>
      <c r="G26" s="40">
        <v>7433</v>
      </c>
      <c r="H26" s="42">
        <v>5</v>
      </c>
      <c r="I26" s="42">
        <v>0</v>
      </c>
      <c r="J26" s="42">
        <v>0</v>
      </c>
      <c r="K26" s="40">
        <v>3889</v>
      </c>
      <c r="L26" s="40">
        <v>2603</v>
      </c>
      <c r="M26" s="42">
        <v>19</v>
      </c>
      <c r="N26" s="42">
        <v>20</v>
      </c>
    </row>
    <row r="27" spans="2:14" x14ac:dyDescent="0.25">
      <c r="B27" s="41" t="s">
        <v>165</v>
      </c>
      <c r="C27" s="42">
        <v>0</v>
      </c>
      <c r="D27" s="42">
        <v>-97</v>
      </c>
      <c r="E27" s="42">
        <v>-658</v>
      </c>
      <c r="F27" s="42">
        <v>-744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</row>
    <row r="28" spans="2:14" x14ac:dyDescent="0.25">
      <c r="B28" s="41" t="s">
        <v>166</v>
      </c>
      <c r="C28" s="40">
        <v>27462</v>
      </c>
      <c r="D28" s="40">
        <v>27863</v>
      </c>
      <c r="E28" s="40">
        <v>33258</v>
      </c>
      <c r="F28" s="40">
        <v>36363</v>
      </c>
      <c r="G28" s="40">
        <v>19519</v>
      </c>
      <c r="H28" s="40">
        <v>33390</v>
      </c>
      <c r="I28" s="40">
        <v>37482</v>
      </c>
      <c r="J28" s="40">
        <v>51128</v>
      </c>
      <c r="K28" s="40">
        <v>38297</v>
      </c>
      <c r="L28" s="40">
        <v>46641</v>
      </c>
      <c r="M28" s="40">
        <v>46578</v>
      </c>
      <c r="N28" s="40">
        <v>43934</v>
      </c>
    </row>
    <row r="29" spans="2:14" x14ac:dyDescent="0.25">
      <c r="B29" s="41" t="s">
        <v>167</v>
      </c>
      <c r="C29" s="40">
        <v>-15010</v>
      </c>
      <c r="D29" s="40">
        <v>-20395</v>
      </c>
      <c r="E29" s="40">
        <v>-29141</v>
      </c>
      <c r="F29" s="40">
        <v>-23332</v>
      </c>
      <c r="G29" s="40">
        <v>-24924</v>
      </c>
      <c r="H29" s="40">
        <v>-21732</v>
      </c>
      <c r="I29" s="40">
        <v>-29964</v>
      </c>
      <c r="J29" s="40">
        <v>-35198</v>
      </c>
      <c r="K29" s="40">
        <v>-29847</v>
      </c>
      <c r="L29" s="40">
        <v>-29709</v>
      </c>
      <c r="M29" s="40">
        <v>-42816</v>
      </c>
      <c r="N29" s="40">
        <v>-62557</v>
      </c>
    </row>
    <row r="30" spans="2:14" x14ac:dyDescent="0.25">
      <c r="B30" s="41" t="s">
        <v>168</v>
      </c>
      <c r="C30" s="40">
        <v>-3374</v>
      </c>
      <c r="D30" s="40">
        <v>-4666</v>
      </c>
      <c r="E30" s="40">
        <v>-6171</v>
      </c>
      <c r="F30" s="40">
        <v>-6307</v>
      </c>
      <c r="G30" s="40">
        <v>-5716</v>
      </c>
      <c r="H30" s="40">
        <v>-5336</v>
      </c>
      <c r="I30" s="40">
        <v>-5411</v>
      </c>
      <c r="J30" s="40">
        <v>-7005</v>
      </c>
      <c r="K30" s="40">
        <v>-7518</v>
      </c>
      <c r="L30" s="40">
        <v>-8123</v>
      </c>
      <c r="M30" s="40">
        <v>-9251</v>
      </c>
      <c r="N30" s="40">
        <v>-9336</v>
      </c>
    </row>
    <row r="31" spans="2:14" x14ac:dyDescent="0.25">
      <c r="B31" s="41" t="s">
        <v>169</v>
      </c>
      <c r="C31" s="40">
        <v>-1503</v>
      </c>
      <c r="D31" s="40">
        <v>-1551</v>
      </c>
      <c r="E31" s="42">
        <v>-722</v>
      </c>
      <c r="F31" s="42">
        <v>-720</v>
      </c>
      <c r="G31" s="42">
        <v>-108</v>
      </c>
      <c r="H31" s="42">
        <v>-121</v>
      </c>
      <c r="I31" s="42">
        <v>-96</v>
      </c>
      <c r="J31" s="42">
        <v>-95</v>
      </c>
      <c r="K31" s="42">
        <v>-57</v>
      </c>
      <c r="L31" s="42">
        <v>-30</v>
      </c>
      <c r="M31" s="42">
        <v>-100</v>
      </c>
      <c r="N31" s="42">
        <v>-141</v>
      </c>
    </row>
    <row r="32" spans="2:14" x14ac:dyDescent="0.25">
      <c r="B32" s="41" t="s">
        <v>170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0">
        <v>-1346</v>
      </c>
      <c r="L32" s="40">
        <v>-1477</v>
      </c>
      <c r="M32" s="40">
        <v>-1559</v>
      </c>
      <c r="N32" s="40">
        <v>-1517</v>
      </c>
    </row>
    <row r="33" spans="2:14" x14ac:dyDescent="0.25">
      <c r="B33" s="41" t="s">
        <v>171</v>
      </c>
      <c r="C33" s="40">
        <v>-1147</v>
      </c>
      <c r="D33" s="40">
        <v>-2849</v>
      </c>
      <c r="E33" s="42">
        <v>-450</v>
      </c>
      <c r="F33" s="42">
        <v>-57</v>
      </c>
      <c r="G33" s="42">
        <v>0</v>
      </c>
      <c r="H33" s="42">
        <v>0</v>
      </c>
      <c r="I33" s="42">
        <v>0</v>
      </c>
      <c r="J33" s="42">
        <v>0</v>
      </c>
      <c r="K33" s="42">
        <v>-29</v>
      </c>
      <c r="L33" s="42">
        <v>0</v>
      </c>
      <c r="M33" s="40">
        <v>3750</v>
      </c>
      <c r="N33" s="40">
        <v>3355</v>
      </c>
    </row>
    <row r="34" spans="2:14" x14ac:dyDescent="0.25">
      <c r="B34" s="39" t="s">
        <v>3</v>
      </c>
      <c r="C34" s="40">
        <v>5488</v>
      </c>
      <c r="D34" s="40">
        <v>-2499</v>
      </c>
      <c r="E34" s="40">
        <v>4277</v>
      </c>
      <c r="F34" s="40">
        <v>4500</v>
      </c>
      <c r="G34" s="40">
        <v>-2589</v>
      </c>
      <c r="H34" s="40">
        <v>-3167</v>
      </c>
      <c r="I34" s="42">
        <v>730</v>
      </c>
      <c r="J34" s="40">
        <v>6843</v>
      </c>
      <c r="K34" s="40">
        <v>-3092</v>
      </c>
      <c r="L34" s="40">
        <v>13232</v>
      </c>
      <c r="M34" s="40">
        <v>6459</v>
      </c>
      <c r="N34" s="40">
        <v>-6272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2B7F-6C2A-40EA-A101-CFBFBBE40473}">
  <dimension ref="B2:M27"/>
  <sheetViews>
    <sheetView showGridLines="0" workbookViewId="0">
      <selection activeCell="L11" sqref="L11"/>
    </sheetView>
  </sheetViews>
  <sheetFormatPr defaultRowHeight="15" x14ac:dyDescent="0.25"/>
  <cols>
    <col min="1" max="1" width="2.28515625" customWidth="1"/>
    <col min="2" max="2" width="5.7109375" bestFit="1" customWidth="1"/>
    <col min="3" max="3" width="16.140625" bestFit="1" customWidth="1"/>
    <col min="4" max="4" width="8" bestFit="1" customWidth="1"/>
    <col min="5" max="5" width="14.140625" bestFit="1" customWidth="1"/>
    <col min="6" max="6" width="10.7109375" bestFit="1" customWidth="1"/>
  </cols>
  <sheetData>
    <row r="2" spans="2:13" x14ac:dyDescent="0.25">
      <c r="B2" t="s">
        <v>225</v>
      </c>
      <c r="C2" t="s">
        <v>226</v>
      </c>
      <c r="D2" t="s">
        <v>227</v>
      </c>
      <c r="E2" t="s">
        <v>228</v>
      </c>
      <c r="F2" t="s">
        <v>229</v>
      </c>
      <c r="G2" t="s">
        <v>230</v>
      </c>
      <c r="J2" s="170" t="s">
        <v>290</v>
      </c>
      <c r="K2" s="170"/>
    </row>
    <row r="3" spans="2:13" x14ac:dyDescent="0.25">
      <c r="B3">
        <v>1</v>
      </c>
      <c r="C3" t="s">
        <v>232</v>
      </c>
      <c r="D3">
        <v>740.9</v>
      </c>
      <c r="E3">
        <v>271463.69</v>
      </c>
      <c r="F3">
        <v>127864.3</v>
      </c>
      <c r="G3">
        <v>2.38</v>
      </c>
    </row>
    <row r="4" spans="2:13" x14ac:dyDescent="0.25">
      <c r="B4">
        <f>B3+1</f>
        <v>2</v>
      </c>
      <c r="C4" t="s">
        <v>235</v>
      </c>
      <c r="D4">
        <v>4120</v>
      </c>
      <c r="E4">
        <v>112763.41</v>
      </c>
      <c r="F4">
        <v>416.16</v>
      </c>
      <c r="G4">
        <v>0.03</v>
      </c>
      <c r="J4" s="108" t="s">
        <v>288</v>
      </c>
      <c r="K4" s="109" t="s">
        <v>289</v>
      </c>
    </row>
    <row r="5" spans="2:13" x14ac:dyDescent="0.25">
      <c r="B5">
        <f t="shared" ref="B5:B7" si="0">B4+1</f>
        <v>3</v>
      </c>
      <c r="C5" t="s">
        <v>234</v>
      </c>
      <c r="D5">
        <v>6709.65</v>
      </c>
      <c r="E5">
        <v>189880.92</v>
      </c>
      <c r="F5">
        <v>125.04</v>
      </c>
      <c r="G5">
        <v>0</v>
      </c>
      <c r="J5" s="110">
        <v>2000</v>
      </c>
      <c r="K5" s="111">
        <v>-0.14649999999999999</v>
      </c>
    </row>
    <row r="6" spans="2:13" x14ac:dyDescent="0.25">
      <c r="B6">
        <f t="shared" si="0"/>
        <v>4</v>
      </c>
      <c r="C6" t="s">
        <v>233</v>
      </c>
      <c r="D6">
        <v>1682</v>
      </c>
      <c r="E6">
        <v>209230.78</v>
      </c>
      <c r="F6">
        <v>99711.679999999993</v>
      </c>
      <c r="G6">
        <v>1.65</v>
      </c>
      <c r="J6" s="110">
        <v>2001</v>
      </c>
      <c r="K6" s="111">
        <v>-0.1618</v>
      </c>
    </row>
    <row r="7" spans="2:13" x14ac:dyDescent="0.25">
      <c r="B7">
        <f t="shared" si="0"/>
        <v>5</v>
      </c>
      <c r="C7" t="s">
        <v>231</v>
      </c>
      <c r="D7">
        <v>10288.5</v>
      </c>
      <c r="E7">
        <v>323378.63</v>
      </c>
      <c r="F7">
        <v>392.5</v>
      </c>
      <c r="G7">
        <v>0.01</v>
      </c>
      <c r="J7" s="110">
        <v>2002</v>
      </c>
      <c r="K7" s="111">
        <v>3.2500000000000001E-2</v>
      </c>
      <c r="L7" t="s">
        <v>291</v>
      </c>
      <c r="M7" s="15">
        <f>AVERAGE(K5:K27)</f>
        <v>0.15443478260869564</v>
      </c>
    </row>
    <row r="8" spans="2:13" x14ac:dyDescent="0.25">
      <c r="J8" s="110">
        <v>2003</v>
      </c>
      <c r="K8" s="111">
        <v>0.71900000000000008</v>
      </c>
      <c r="L8" t="s">
        <v>292</v>
      </c>
      <c r="M8" s="15">
        <v>2.7000000000000001E-3</v>
      </c>
    </row>
    <row r="9" spans="2:13" x14ac:dyDescent="0.25">
      <c r="J9" s="110">
        <v>2004</v>
      </c>
      <c r="K9" s="111">
        <v>0.10679999999999999</v>
      </c>
      <c r="L9" s="105" t="s">
        <v>293</v>
      </c>
      <c r="M9" s="106">
        <f>M7+M8</f>
        <v>0.15713478260869565</v>
      </c>
    </row>
    <row r="10" spans="2:13" x14ac:dyDescent="0.25">
      <c r="J10" s="110">
        <v>2005</v>
      </c>
      <c r="K10" s="111">
        <v>0.36340000000000006</v>
      </c>
    </row>
    <row r="11" spans="2:13" x14ac:dyDescent="0.25">
      <c r="J11" s="110">
        <v>2006</v>
      </c>
      <c r="K11" s="111">
        <v>0.39829999999999999</v>
      </c>
    </row>
    <row r="12" spans="2:13" x14ac:dyDescent="0.25">
      <c r="J12" s="110">
        <v>2007</v>
      </c>
      <c r="K12" s="111">
        <v>0.54770000000000008</v>
      </c>
    </row>
    <row r="13" spans="2:13" x14ac:dyDescent="0.25">
      <c r="J13" s="110">
        <v>2008</v>
      </c>
      <c r="K13" s="111">
        <v>-0.51790000000000003</v>
      </c>
    </row>
    <row r="14" spans="2:13" x14ac:dyDescent="0.25">
      <c r="J14" s="110">
        <v>2009</v>
      </c>
      <c r="K14" s="111">
        <v>0.75760000000000005</v>
      </c>
    </row>
    <row r="15" spans="2:13" x14ac:dyDescent="0.25">
      <c r="J15" s="110">
        <v>2010</v>
      </c>
      <c r="K15" s="111">
        <v>0.17949999999999999</v>
      </c>
    </row>
    <row r="16" spans="2:13" x14ac:dyDescent="0.25">
      <c r="J16" s="110">
        <v>2011</v>
      </c>
      <c r="K16" s="111">
        <v>-0.2462</v>
      </c>
    </row>
    <row r="17" spans="10:11" x14ac:dyDescent="0.25">
      <c r="J17" s="110">
        <v>2012</v>
      </c>
      <c r="K17" s="111">
        <v>0.27699999999999997</v>
      </c>
    </row>
    <row r="18" spans="10:11" x14ac:dyDescent="0.25">
      <c r="J18" s="110">
        <v>2013</v>
      </c>
      <c r="K18" s="111">
        <v>6.7599999999999993E-2</v>
      </c>
    </row>
    <row r="19" spans="10:11" x14ac:dyDescent="0.25">
      <c r="J19" s="110">
        <v>2014</v>
      </c>
      <c r="K19" s="111">
        <v>0.31390000000000001</v>
      </c>
    </row>
    <row r="20" spans="10:11" x14ac:dyDescent="0.25">
      <c r="J20" s="110">
        <v>2015</v>
      </c>
      <c r="K20" s="111">
        <v>-4.0599999999999997E-2</v>
      </c>
    </row>
    <row r="21" spans="10:11" x14ac:dyDescent="0.25">
      <c r="J21" s="110">
        <v>2016</v>
      </c>
      <c r="K21" s="111">
        <v>3.0099999999999998E-2</v>
      </c>
    </row>
    <row r="22" spans="10:11" x14ac:dyDescent="0.25">
      <c r="J22" s="110">
        <v>2017</v>
      </c>
      <c r="K22" s="111">
        <v>0.28649999999999998</v>
      </c>
    </row>
    <row r="23" spans="10:11" x14ac:dyDescent="0.25">
      <c r="J23" s="110">
        <v>2018</v>
      </c>
      <c r="K23" s="111">
        <v>3.15E-2</v>
      </c>
    </row>
    <row r="24" spans="10:11" x14ac:dyDescent="0.25">
      <c r="J24" s="110">
        <v>2019</v>
      </c>
      <c r="K24" s="111">
        <v>0.1202</v>
      </c>
    </row>
    <row r="25" spans="10:11" x14ac:dyDescent="0.25">
      <c r="J25" s="110">
        <v>2020</v>
      </c>
      <c r="K25" s="111">
        <v>0.14899999999999999</v>
      </c>
    </row>
    <row r="26" spans="10:11" x14ac:dyDescent="0.25">
      <c r="J26" s="110">
        <v>2021</v>
      </c>
      <c r="K26" s="111">
        <v>0.2412</v>
      </c>
    </row>
    <row r="27" spans="10:11" x14ac:dyDescent="0.25">
      <c r="J27" s="110">
        <v>2022</v>
      </c>
      <c r="K27" s="111">
        <v>4.3200000000000002E-2</v>
      </c>
    </row>
  </sheetData>
  <mergeCells count="1">
    <mergeCell ref="J2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183F-5EE4-4E81-AF59-BF2F656E5925}">
  <dimension ref="A2:AF63"/>
  <sheetViews>
    <sheetView showGridLines="0" topLeftCell="I8" workbookViewId="0">
      <selection activeCell="AB18" sqref="AB18"/>
    </sheetView>
  </sheetViews>
  <sheetFormatPr defaultRowHeight="15" x14ac:dyDescent="0.25"/>
  <cols>
    <col min="1" max="1" width="2.28515625" customWidth="1"/>
    <col min="2" max="2" width="8.42578125" bestFit="1" customWidth="1"/>
    <col min="3" max="3" width="10.42578125" bestFit="1" customWidth="1"/>
    <col min="4" max="6" width="10.5703125" bestFit="1" customWidth="1"/>
    <col min="7" max="7" width="16" bestFit="1" customWidth="1"/>
    <col min="8" max="10" width="10.5703125" bestFit="1" customWidth="1"/>
  </cols>
  <sheetData>
    <row r="2" spans="1:26" x14ac:dyDescent="0.25">
      <c r="A2" t="s">
        <v>60</v>
      </c>
      <c r="B2" t="s">
        <v>54</v>
      </c>
      <c r="C2" s="10">
        <v>44788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26" x14ac:dyDescent="0.25">
      <c r="B3" t="s">
        <v>55</v>
      </c>
      <c r="D3" s="9">
        <f>EOMONTH($C$2,D2)</f>
        <v>44804</v>
      </c>
      <c r="E3" s="9">
        <f t="shared" ref="E3:J3" si="0">EOMONTH($C$2,E2)</f>
        <v>44834</v>
      </c>
      <c r="F3" s="9">
        <f t="shared" si="0"/>
        <v>44865</v>
      </c>
      <c r="G3" s="9">
        <f t="shared" si="0"/>
        <v>44895</v>
      </c>
      <c r="H3" s="9">
        <f t="shared" si="0"/>
        <v>44926</v>
      </c>
      <c r="I3" s="9">
        <f t="shared" si="0"/>
        <v>44957</v>
      </c>
      <c r="J3" s="9">
        <f t="shared" si="0"/>
        <v>44985</v>
      </c>
    </row>
    <row r="4" spans="1:26" x14ac:dyDescent="0.25">
      <c r="B4" t="s">
        <v>56</v>
      </c>
      <c r="D4" s="9">
        <f>DATE(YEAR($C$2+D2),4,31)</f>
        <v>44682</v>
      </c>
      <c r="E4" s="9">
        <f>DATE(YEAR($C$2)+E2,4,31)</f>
        <v>45047</v>
      </c>
      <c r="F4" s="9">
        <f t="shared" ref="F4:J4" si="1">DATE(YEAR($C$2)+F2,4,31)</f>
        <v>45413</v>
      </c>
      <c r="G4" s="9">
        <f t="shared" si="1"/>
        <v>45778</v>
      </c>
      <c r="H4" s="9">
        <f t="shared" si="1"/>
        <v>46143</v>
      </c>
      <c r="I4" s="9">
        <f t="shared" si="1"/>
        <v>46508</v>
      </c>
      <c r="J4" s="9">
        <f t="shared" si="1"/>
        <v>46874</v>
      </c>
    </row>
    <row r="6" spans="1:26" x14ac:dyDescent="0.25">
      <c r="B6" t="s">
        <v>57</v>
      </c>
      <c r="C6" t="s">
        <v>59</v>
      </c>
      <c r="D6">
        <v>4.4444440000000002E-2</v>
      </c>
      <c r="E6">
        <v>0.125</v>
      </c>
      <c r="F6">
        <v>0.21111110999999999</v>
      </c>
      <c r="G6">
        <v>0.29166667000000002</v>
      </c>
      <c r="H6">
        <v>0.37777778000000001</v>
      </c>
      <c r="I6">
        <v>0.46111110999999999</v>
      </c>
      <c r="J6">
        <v>0.53611111</v>
      </c>
    </row>
    <row r="7" spans="1:26" x14ac:dyDescent="0.25">
      <c r="B7" t="s">
        <v>58</v>
      </c>
      <c r="D7">
        <v>0.37777778000000001</v>
      </c>
      <c r="E7">
        <v>1.37777778</v>
      </c>
      <c r="F7">
        <v>2.3777777800000002</v>
      </c>
      <c r="G7">
        <v>3.3777777800000002</v>
      </c>
      <c r="H7">
        <v>4.3777777799999997</v>
      </c>
      <c r="I7">
        <v>5.3777777799999997</v>
      </c>
      <c r="J7">
        <v>6.3777777799999997</v>
      </c>
    </row>
    <row r="9" spans="1:26" x14ac:dyDescent="0.25">
      <c r="A9" t="s">
        <v>60</v>
      </c>
      <c r="B9" t="s">
        <v>61</v>
      </c>
      <c r="C9" s="12">
        <v>0.04</v>
      </c>
      <c r="E9" t="s">
        <v>68</v>
      </c>
      <c r="F9">
        <f>RiskFreeRate+(MarketReturns-RiskFreeRate)*Beta</f>
        <v>0.11500000000000002</v>
      </c>
    </row>
    <row r="10" spans="1:26" x14ac:dyDescent="0.25">
      <c r="B10" t="s">
        <v>62</v>
      </c>
      <c r="C10" s="12">
        <v>0.1</v>
      </c>
      <c r="E10" t="s">
        <v>69</v>
      </c>
      <c r="F10" s="13">
        <v>0.5</v>
      </c>
      <c r="R10" s="20" t="s">
        <v>88</v>
      </c>
    </row>
    <row r="11" spans="1:26" x14ac:dyDescent="0.25">
      <c r="B11" t="s">
        <v>63</v>
      </c>
      <c r="C11" s="13">
        <v>1.25</v>
      </c>
      <c r="R11" t="s">
        <v>86</v>
      </c>
    </row>
    <row r="12" spans="1:26" x14ac:dyDescent="0.25">
      <c r="B12" t="s">
        <v>64</v>
      </c>
      <c r="C12" s="12">
        <v>0.14000000000000001</v>
      </c>
      <c r="E12" t="s">
        <v>71</v>
      </c>
      <c r="F12">
        <f>CostofDebt*(1-TaxRate)</f>
        <v>9.8000000000000004E-2</v>
      </c>
      <c r="R12" s="16">
        <f>L24</f>
        <v>21747.272727272732</v>
      </c>
      <c r="S12" s="16">
        <v>0.61129999999999995</v>
      </c>
      <c r="T12" s="16">
        <f>S12+0.01</f>
        <v>0.62129999999999996</v>
      </c>
      <c r="U12" s="16">
        <f t="shared" ref="U12:Z12" si="2">T12+0.01</f>
        <v>0.63129999999999997</v>
      </c>
      <c r="V12" s="16">
        <f t="shared" si="2"/>
        <v>0.64129999999999998</v>
      </c>
      <c r="W12" s="16">
        <f t="shared" si="2"/>
        <v>0.65129999999999999</v>
      </c>
      <c r="X12" s="16">
        <f t="shared" si="2"/>
        <v>0.6613</v>
      </c>
      <c r="Y12" s="16">
        <f t="shared" si="2"/>
        <v>0.67130000000000001</v>
      </c>
      <c r="Z12" s="16">
        <f t="shared" si="2"/>
        <v>0.68130000000000002</v>
      </c>
    </row>
    <row r="13" spans="1:26" ht="15.75" thickBot="1" x14ac:dyDescent="0.3">
      <c r="B13" t="s">
        <v>65</v>
      </c>
      <c r="C13" s="12">
        <v>0.3</v>
      </c>
      <c r="E13" s="14" t="s">
        <v>70</v>
      </c>
      <c r="F13" s="14">
        <f>1-F10</f>
        <v>0.5</v>
      </c>
      <c r="R13" s="11">
        <v>0.08</v>
      </c>
      <c r="S13">
        <f t="dataTable" ref="S13:Z26" dt2D="1" dtr="1" r1="L20" r2="L19"/>
        <v>21747.272727272732</v>
      </c>
      <c r="T13">
        <v>21747.272727272732</v>
      </c>
      <c r="U13">
        <v>21747.272727272732</v>
      </c>
      <c r="V13">
        <v>21747.272727272732</v>
      </c>
      <c r="W13">
        <v>21747.272727272732</v>
      </c>
      <c r="X13">
        <v>21747.272727272732</v>
      </c>
      <c r="Y13">
        <v>21747.272727272732</v>
      </c>
      <c r="Z13">
        <v>21747.272727272732</v>
      </c>
    </row>
    <row r="14" spans="1:26" x14ac:dyDescent="0.25">
      <c r="B14" t="s">
        <v>66</v>
      </c>
      <c r="C14" s="13">
        <v>125000</v>
      </c>
      <c r="E14" t="s">
        <v>72</v>
      </c>
      <c r="F14">
        <f>F9*F10+F12*F13</f>
        <v>0.10650000000000001</v>
      </c>
      <c r="R14" s="11">
        <f>R13+2%</f>
        <v>0.1</v>
      </c>
      <c r="S14">
        <v>22037.272727272732</v>
      </c>
      <c r="T14">
        <v>22037.272727272732</v>
      </c>
      <c r="U14">
        <v>22037.272727272732</v>
      </c>
      <c r="V14">
        <v>22037.272727272732</v>
      </c>
      <c r="W14">
        <v>22037.272727272732</v>
      </c>
      <c r="X14">
        <v>22037.272727272732</v>
      </c>
      <c r="Y14">
        <v>22037.272727272732</v>
      </c>
      <c r="Z14">
        <v>22037.272727272732</v>
      </c>
    </row>
    <row r="15" spans="1:26" x14ac:dyDescent="0.25">
      <c r="B15" t="s">
        <v>67</v>
      </c>
      <c r="C15" s="13">
        <v>125000</v>
      </c>
      <c r="R15" s="11">
        <f t="shared" ref="R15:R26" si="3">R14+2%</f>
        <v>0.12000000000000001</v>
      </c>
      <c r="S15">
        <v>22327.272727272732</v>
      </c>
      <c r="T15">
        <v>22327.272727272732</v>
      </c>
      <c r="U15">
        <v>22327.272727272732</v>
      </c>
      <c r="V15">
        <v>22327.272727272732</v>
      </c>
      <c r="W15">
        <v>22327.272727272732</v>
      </c>
      <c r="X15">
        <v>22327.272727272732</v>
      </c>
      <c r="Y15">
        <v>22327.272727272732</v>
      </c>
      <c r="Z15">
        <v>22327.272727272732</v>
      </c>
    </row>
    <row r="16" spans="1:26" x14ac:dyDescent="0.25">
      <c r="R16" s="11">
        <f t="shared" si="3"/>
        <v>0.14000000000000001</v>
      </c>
      <c r="S16">
        <v>22617.272727272728</v>
      </c>
      <c r="T16">
        <v>22617.272727272728</v>
      </c>
      <c r="U16">
        <v>22617.272727272728</v>
      </c>
      <c r="V16">
        <v>22617.272727272728</v>
      </c>
      <c r="W16">
        <v>22617.272727272728</v>
      </c>
      <c r="X16">
        <v>22617.272727272728</v>
      </c>
      <c r="Y16">
        <v>22617.272727272728</v>
      </c>
      <c r="Z16">
        <v>22617.272727272728</v>
      </c>
    </row>
    <row r="17" spans="2:32" x14ac:dyDescent="0.25">
      <c r="F17" t="s">
        <v>89</v>
      </c>
      <c r="K17" s="20" t="s">
        <v>92</v>
      </c>
      <c r="R17" s="11">
        <f t="shared" si="3"/>
        <v>0.16</v>
      </c>
      <c r="S17">
        <v>22907.272727272728</v>
      </c>
      <c r="T17">
        <v>22907.272727272728</v>
      </c>
      <c r="U17">
        <v>22907.272727272728</v>
      </c>
      <c r="V17">
        <v>22907.272727272728</v>
      </c>
      <c r="W17">
        <v>22907.272727272728</v>
      </c>
      <c r="X17">
        <v>22907.272727272728</v>
      </c>
      <c r="Y17">
        <v>22907.272727272728</v>
      </c>
      <c r="Z17">
        <v>22907.272727272728</v>
      </c>
    </row>
    <row r="18" spans="2:32" x14ac:dyDescent="0.25">
      <c r="B18" t="s">
        <v>73</v>
      </c>
      <c r="C18" s="12">
        <v>0</v>
      </c>
      <c r="F18" t="s">
        <v>80</v>
      </c>
      <c r="G18" s="18">
        <v>14500</v>
      </c>
      <c r="K18" t="s">
        <v>80</v>
      </c>
      <c r="L18" s="18">
        <v>14500</v>
      </c>
      <c r="R18" s="11">
        <f t="shared" si="3"/>
        <v>0.18</v>
      </c>
      <c r="S18">
        <v>23197.272727272728</v>
      </c>
      <c r="T18">
        <v>23197.272727272728</v>
      </c>
      <c r="U18">
        <v>23197.272727272728</v>
      </c>
      <c r="V18">
        <v>23197.272727272728</v>
      </c>
      <c r="W18">
        <v>23197.272727272728</v>
      </c>
      <c r="X18">
        <v>23197.272727272728</v>
      </c>
      <c r="Y18">
        <v>23197.272727272728</v>
      </c>
      <c r="Z18">
        <v>23197.272727272728</v>
      </c>
    </row>
    <row r="19" spans="2:32" x14ac:dyDescent="0.25">
      <c r="B19" t="s">
        <v>74</v>
      </c>
      <c r="C19" s="15">
        <f>VLOOKUP(C18,B22:D25,3,1)</f>
        <v>9.5000000000000001E-2</v>
      </c>
      <c r="F19" t="s">
        <v>81</v>
      </c>
      <c r="G19" s="19">
        <v>0.08</v>
      </c>
      <c r="K19" t="s">
        <v>81</v>
      </c>
      <c r="L19" s="19">
        <v>0.08</v>
      </c>
      <c r="R19" s="11">
        <f t="shared" si="3"/>
        <v>0.19999999999999998</v>
      </c>
      <c r="S19">
        <v>23487.272727272728</v>
      </c>
      <c r="T19">
        <v>23487.272727272728</v>
      </c>
      <c r="U19">
        <v>23487.272727272728</v>
      </c>
      <c r="V19">
        <v>23487.272727272728</v>
      </c>
      <c r="W19">
        <v>23487.272727272728</v>
      </c>
      <c r="X19">
        <v>23487.272727272728</v>
      </c>
      <c r="Y19">
        <v>23487.272727272728</v>
      </c>
      <c r="Z19">
        <v>23487.272727272728</v>
      </c>
    </row>
    <row r="20" spans="2:32" x14ac:dyDescent="0.25">
      <c r="F20" t="s">
        <v>82</v>
      </c>
      <c r="G20" s="19">
        <v>0.61128526645768</v>
      </c>
      <c r="K20" t="s">
        <v>82</v>
      </c>
      <c r="L20" s="19">
        <v>0.61128526645768</v>
      </c>
      <c r="R20" s="11">
        <f t="shared" si="3"/>
        <v>0.21999999999999997</v>
      </c>
      <c r="S20">
        <v>23777.272727272728</v>
      </c>
      <c r="T20">
        <v>23777.272727272728</v>
      </c>
      <c r="U20">
        <v>23777.272727272728</v>
      </c>
      <c r="V20">
        <v>23777.272727272728</v>
      </c>
      <c r="W20">
        <v>23777.272727272728</v>
      </c>
      <c r="X20">
        <v>23777.272727272728</v>
      </c>
      <c r="Y20">
        <v>23777.272727272728</v>
      </c>
      <c r="Z20">
        <v>23777.272727272728</v>
      </c>
    </row>
    <row r="21" spans="2:32" x14ac:dyDescent="0.25">
      <c r="B21" t="s">
        <v>73</v>
      </c>
      <c r="C21" t="s">
        <v>75</v>
      </c>
      <c r="D21" t="s">
        <v>74</v>
      </c>
      <c r="R21" s="11">
        <f t="shared" si="3"/>
        <v>0.23999999999999996</v>
      </c>
      <c r="S21">
        <v>24067.272727272728</v>
      </c>
      <c r="T21">
        <v>24067.272727272728</v>
      </c>
      <c r="U21">
        <v>24067.272727272728</v>
      </c>
      <c r="V21">
        <v>24067.272727272728</v>
      </c>
      <c r="W21">
        <v>24067.272727272728</v>
      </c>
      <c r="X21">
        <v>24067.272727272728</v>
      </c>
      <c r="Y21">
        <v>24067.272727272728</v>
      </c>
      <c r="Z21">
        <v>24067.272727272728</v>
      </c>
    </row>
    <row r="22" spans="2:32" x14ac:dyDescent="0.25">
      <c r="B22" s="11">
        <v>0</v>
      </c>
      <c r="C22" t="s">
        <v>76</v>
      </c>
      <c r="D22" s="15">
        <v>9.5000000000000001E-2</v>
      </c>
      <c r="F22" t="s">
        <v>83</v>
      </c>
      <c r="G22" s="16">
        <f>G18*(1+G19)</f>
        <v>15660.000000000002</v>
      </c>
      <c r="K22" t="s">
        <v>83</v>
      </c>
      <c r="L22" s="16"/>
      <c r="R22" s="11">
        <f t="shared" si="3"/>
        <v>0.25999999999999995</v>
      </c>
      <c r="S22">
        <v>24357.272727272728</v>
      </c>
      <c r="T22">
        <v>24357.272727272728</v>
      </c>
      <c r="U22">
        <v>24357.272727272728</v>
      </c>
      <c r="V22">
        <v>24357.272727272728</v>
      </c>
      <c r="W22">
        <v>24357.272727272728</v>
      </c>
      <c r="X22">
        <v>24357.272727272728</v>
      </c>
      <c r="Y22">
        <v>24357.272727272728</v>
      </c>
      <c r="Z22">
        <v>24357.272727272728</v>
      </c>
    </row>
    <row r="23" spans="2:32" ht="15.75" thickBot="1" x14ac:dyDescent="0.3">
      <c r="B23" s="11">
        <v>0.3</v>
      </c>
      <c r="C23" t="s">
        <v>77</v>
      </c>
      <c r="D23" s="15">
        <v>9.7500000000000003E-2</v>
      </c>
      <c r="F23" s="14" t="s">
        <v>84</v>
      </c>
      <c r="G23" s="17">
        <f>-(G22*(1-G20))</f>
        <v>-6087.2727272727316</v>
      </c>
      <c r="K23" s="14" t="s">
        <v>84</v>
      </c>
      <c r="L23" s="17">
        <v>-6087.2727272727298</v>
      </c>
      <c r="R23" s="11">
        <f t="shared" si="3"/>
        <v>0.27999999999999997</v>
      </c>
      <c r="S23">
        <v>24647.272727272728</v>
      </c>
      <c r="T23">
        <v>24647.272727272728</v>
      </c>
      <c r="U23">
        <v>24647.272727272728</v>
      </c>
      <c r="V23">
        <v>24647.272727272728</v>
      </c>
      <c r="W23">
        <v>24647.272727272728</v>
      </c>
      <c r="X23">
        <v>24647.272727272728</v>
      </c>
      <c r="Y23">
        <v>24647.272727272728</v>
      </c>
      <c r="Z23">
        <v>24647.272727272728</v>
      </c>
    </row>
    <row r="24" spans="2:32" x14ac:dyDescent="0.25">
      <c r="B24" s="11">
        <v>0.5</v>
      </c>
      <c r="C24" t="s">
        <v>78</v>
      </c>
      <c r="D24" s="15">
        <v>0.1225</v>
      </c>
      <c r="F24" t="s">
        <v>85</v>
      </c>
      <c r="G24" s="16">
        <f>G22+G23</f>
        <v>9572.7272727272702</v>
      </c>
      <c r="K24" t="s">
        <v>85</v>
      </c>
      <c r="L24" s="16">
        <f>L18*(1+L19)-L23</f>
        <v>21747.272727272732</v>
      </c>
      <c r="R24" s="11">
        <f t="shared" si="3"/>
        <v>0.3</v>
      </c>
      <c r="S24">
        <v>24937.272727272728</v>
      </c>
      <c r="T24">
        <v>24937.272727272728</v>
      </c>
      <c r="U24">
        <v>24937.272727272728</v>
      </c>
      <c r="V24">
        <v>24937.272727272728</v>
      </c>
      <c r="W24">
        <v>24937.272727272728</v>
      </c>
      <c r="X24">
        <v>24937.272727272728</v>
      </c>
      <c r="Y24">
        <v>24937.272727272728</v>
      </c>
      <c r="Z24">
        <v>24937.272727272728</v>
      </c>
    </row>
    <row r="25" spans="2:32" x14ac:dyDescent="0.25">
      <c r="B25" s="11">
        <v>0.6</v>
      </c>
      <c r="C25" t="s">
        <v>79</v>
      </c>
      <c r="D25" s="15">
        <v>0.13750000000000001</v>
      </c>
      <c r="R25" s="11">
        <f t="shared" si="3"/>
        <v>0.32</v>
      </c>
      <c r="S25">
        <v>25227.272727272728</v>
      </c>
      <c r="T25">
        <v>25227.272727272728</v>
      </c>
      <c r="U25">
        <v>25227.272727272728</v>
      </c>
      <c r="V25">
        <v>25227.272727272728</v>
      </c>
      <c r="W25">
        <v>25227.272727272728</v>
      </c>
      <c r="X25">
        <v>25227.272727272728</v>
      </c>
      <c r="Y25">
        <v>25227.272727272728</v>
      </c>
      <c r="Z25">
        <v>25227.272727272728</v>
      </c>
    </row>
    <row r="26" spans="2:32" x14ac:dyDescent="0.25">
      <c r="R26" s="11">
        <f t="shared" si="3"/>
        <v>0.34</v>
      </c>
      <c r="S26">
        <v>25517.272727272728</v>
      </c>
      <c r="T26">
        <v>25517.272727272728</v>
      </c>
      <c r="U26">
        <v>25517.272727272728</v>
      </c>
      <c r="V26">
        <v>25517.272727272728</v>
      </c>
      <c r="W26">
        <v>25517.272727272728</v>
      </c>
      <c r="X26">
        <v>25517.272727272728</v>
      </c>
      <c r="Y26">
        <v>25517.272727272728</v>
      </c>
      <c r="Z26">
        <v>25517.272727272728</v>
      </c>
    </row>
    <row r="27" spans="2:32" x14ac:dyDescent="0.25">
      <c r="F27" s="20" t="s">
        <v>88</v>
      </c>
      <c r="I27" t="s">
        <v>91</v>
      </c>
    </row>
    <row r="28" spans="2:32" x14ac:dyDescent="0.25">
      <c r="F28" t="s">
        <v>86</v>
      </c>
      <c r="G28" t="s">
        <v>87</v>
      </c>
      <c r="K28" t="s">
        <v>82</v>
      </c>
    </row>
    <row r="29" spans="2:32" x14ac:dyDescent="0.25">
      <c r="G29" s="16">
        <f>G24</f>
        <v>9572.7272727272702</v>
      </c>
      <c r="I29" s="16">
        <f>G24</f>
        <v>9572.7272727272702</v>
      </c>
      <c r="J29" s="15">
        <v>0.61329999999999996</v>
      </c>
      <c r="K29" s="11">
        <v>0.7</v>
      </c>
      <c r="L29" s="15">
        <f>K29+5%</f>
        <v>0.75</v>
      </c>
      <c r="M29" s="15">
        <f t="shared" ref="M29:Q29" si="4">L29+5%</f>
        <v>0.8</v>
      </c>
      <c r="N29" s="15">
        <f t="shared" si="4"/>
        <v>0.85000000000000009</v>
      </c>
      <c r="O29" s="15">
        <f t="shared" si="4"/>
        <v>0.90000000000000013</v>
      </c>
      <c r="P29" s="15">
        <f t="shared" si="4"/>
        <v>0.95000000000000018</v>
      </c>
      <c r="Q29" s="15">
        <f t="shared" si="4"/>
        <v>1.0000000000000002</v>
      </c>
      <c r="R29" s="15"/>
      <c r="S29" s="15"/>
      <c r="T29" s="15"/>
    </row>
    <row r="30" spans="2:32" x14ac:dyDescent="0.25">
      <c r="F30" s="11">
        <v>0.08</v>
      </c>
      <c r="G30">
        <f t="dataTable" ref="G30:G43" dt2D="0" dtr="0" r1="G19" ca="1"/>
        <v>9572.7272727272702</v>
      </c>
      <c r="I30" s="11">
        <v>0.08</v>
      </c>
      <c r="J30">
        <f t="dataTable" ref="J30:Q43" dt2D="1" dtr="1" r1="G20" r2="G19"/>
        <v>9604.2780000000002</v>
      </c>
      <c r="K30">
        <v>10962</v>
      </c>
      <c r="L30">
        <v>11745.000000000002</v>
      </c>
      <c r="M30">
        <v>12528.000000000002</v>
      </c>
      <c r="N30">
        <v>13311.000000000004</v>
      </c>
      <c r="O30">
        <v>14094.000000000004</v>
      </c>
      <c r="P30">
        <v>14877.000000000004</v>
      </c>
      <c r="Q30">
        <v>15660.000000000005</v>
      </c>
      <c r="S30" s="11">
        <v>0.08</v>
      </c>
      <c r="T30" s="11">
        <f>S30+2%</f>
        <v>0.1</v>
      </c>
      <c r="U30" s="11">
        <f>T30+2%</f>
        <v>0.12000000000000001</v>
      </c>
      <c r="V30" s="11">
        <f>U30+2%</f>
        <v>0.14000000000000001</v>
      </c>
      <c r="W30" s="11">
        <f>V30+2%</f>
        <v>0.16</v>
      </c>
      <c r="X30" s="11">
        <f>W30+2%</f>
        <v>0.18</v>
      </c>
      <c r="Y30" s="11">
        <f>X30+2%</f>
        <v>0.19999999999999998</v>
      </c>
      <c r="Z30" s="11">
        <f>Y30+2%</f>
        <v>0.21999999999999997</v>
      </c>
      <c r="AA30" s="11">
        <f>Z30+2%</f>
        <v>0.23999999999999996</v>
      </c>
      <c r="AB30" s="11">
        <f>AA30+2%</f>
        <v>0.25999999999999995</v>
      </c>
      <c r="AC30" s="11">
        <f>AB30+2%</f>
        <v>0.27999999999999997</v>
      </c>
      <c r="AD30" s="11">
        <f>AC30+2%</f>
        <v>0.3</v>
      </c>
      <c r="AE30" s="11">
        <f>AD30+2%</f>
        <v>0.32</v>
      </c>
      <c r="AF30" s="11">
        <f>AE30+2%</f>
        <v>0.34</v>
      </c>
    </row>
    <row r="31" spans="2:32" x14ac:dyDescent="0.25">
      <c r="F31" s="11">
        <f>F30+2%</f>
        <v>0.1</v>
      </c>
      <c r="G31">
        <v>9749.9999999999964</v>
      </c>
      <c r="I31" s="11">
        <f>I30+2%</f>
        <v>0.1</v>
      </c>
      <c r="J31">
        <v>9782.1350000000002</v>
      </c>
      <c r="K31">
        <v>11165</v>
      </c>
      <c r="L31">
        <v>11962.500000000002</v>
      </c>
      <c r="M31">
        <v>12760.000000000002</v>
      </c>
      <c r="N31">
        <v>13557.500000000004</v>
      </c>
      <c r="O31">
        <v>14355.000000000004</v>
      </c>
      <c r="P31">
        <v>15152.500000000004</v>
      </c>
      <c r="Q31">
        <v>15950.000000000005</v>
      </c>
      <c r="S31" s="16">
        <f>L18</f>
        <v>14500</v>
      </c>
      <c r="T31">
        <f t="dataTable" ref="T31:AF31" dt2D="0" dtr="1" r1="L19"/>
        <v>14500</v>
      </c>
      <c r="U31">
        <v>14500</v>
      </c>
      <c r="V31">
        <v>14500</v>
      </c>
      <c r="W31">
        <v>14500</v>
      </c>
      <c r="X31">
        <v>14500</v>
      </c>
      <c r="Y31">
        <v>14500</v>
      </c>
      <c r="Z31">
        <v>14500</v>
      </c>
      <c r="AA31">
        <v>14500</v>
      </c>
      <c r="AB31">
        <v>14500</v>
      </c>
      <c r="AC31">
        <v>14500</v>
      </c>
      <c r="AD31">
        <v>14500</v>
      </c>
      <c r="AE31">
        <v>14500</v>
      </c>
      <c r="AF31">
        <v>14500</v>
      </c>
    </row>
    <row r="32" spans="2:32" x14ac:dyDescent="0.25">
      <c r="F32" s="11">
        <f t="shared" ref="F32:F43" si="5">F31+2%</f>
        <v>0.12000000000000001</v>
      </c>
      <c r="G32">
        <v>9927.2727272727243</v>
      </c>
      <c r="I32" s="11">
        <f t="shared" ref="I32:I43" si="6">I31+2%</f>
        <v>0.12000000000000001</v>
      </c>
      <c r="J32">
        <v>9959.9920000000002</v>
      </c>
      <c r="K32">
        <v>11368</v>
      </c>
      <c r="L32">
        <v>12180.000000000002</v>
      </c>
      <c r="M32">
        <v>12992.000000000002</v>
      </c>
      <c r="N32">
        <v>13804.000000000004</v>
      </c>
      <c r="O32">
        <v>14616.000000000004</v>
      </c>
      <c r="P32">
        <v>15428.000000000005</v>
      </c>
      <c r="Q32">
        <v>16240.000000000005</v>
      </c>
    </row>
    <row r="33" spans="6:17" x14ac:dyDescent="0.25">
      <c r="F33" s="11">
        <f t="shared" si="5"/>
        <v>0.14000000000000001</v>
      </c>
      <c r="G33">
        <v>10104.54545454545</v>
      </c>
      <c r="I33" s="11">
        <f t="shared" si="6"/>
        <v>0.14000000000000001</v>
      </c>
      <c r="J33">
        <v>10137.848999999998</v>
      </c>
      <c r="K33">
        <v>11571</v>
      </c>
      <c r="L33">
        <v>12397.5</v>
      </c>
      <c r="M33">
        <v>13224</v>
      </c>
      <c r="N33">
        <v>14050.500000000002</v>
      </c>
      <c r="O33">
        <v>14877.000000000002</v>
      </c>
      <c r="P33">
        <v>15703.500000000004</v>
      </c>
      <c r="Q33">
        <v>16530.000000000004</v>
      </c>
    </row>
    <row r="34" spans="6:17" x14ac:dyDescent="0.25">
      <c r="F34" s="11">
        <f t="shared" si="5"/>
        <v>0.16</v>
      </c>
      <c r="G34">
        <v>10281.818181818177</v>
      </c>
      <c r="I34" s="11">
        <f t="shared" si="6"/>
        <v>0.16</v>
      </c>
      <c r="J34">
        <v>10315.705999999998</v>
      </c>
      <c r="K34">
        <v>11774</v>
      </c>
      <c r="L34">
        <v>12615</v>
      </c>
      <c r="M34">
        <v>13456</v>
      </c>
      <c r="N34">
        <v>14297.000000000002</v>
      </c>
      <c r="O34">
        <v>15138.000000000002</v>
      </c>
      <c r="P34">
        <v>15979.000000000004</v>
      </c>
      <c r="Q34">
        <v>16820.000000000004</v>
      </c>
    </row>
    <row r="35" spans="6:17" x14ac:dyDescent="0.25">
      <c r="F35" s="11">
        <f t="shared" si="5"/>
        <v>0.18</v>
      </c>
      <c r="G35">
        <v>10459.090909090904</v>
      </c>
      <c r="H35" t="s">
        <v>90</v>
      </c>
      <c r="I35" s="11">
        <f t="shared" si="6"/>
        <v>0.18</v>
      </c>
      <c r="J35">
        <v>10493.562999999998</v>
      </c>
      <c r="K35">
        <v>11977</v>
      </c>
      <c r="L35">
        <v>12832.5</v>
      </c>
      <c r="M35">
        <v>13688</v>
      </c>
      <c r="N35">
        <v>14543.500000000002</v>
      </c>
      <c r="O35">
        <v>15399.000000000002</v>
      </c>
      <c r="P35">
        <v>16254.500000000004</v>
      </c>
      <c r="Q35">
        <v>17110.000000000004</v>
      </c>
    </row>
    <row r="36" spans="6:17" x14ac:dyDescent="0.25">
      <c r="F36" s="11">
        <f t="shared" si="5"/>
        <v>0.19999999999999998</v>
      </c>
      <c r="G36">
        <v>10636.363636363632</v>
      </c>
      <c r="I36" s="11">
        <f t="shared" si="6"/>
        <v>0.19999999999999998</v>
      </c>
      <c r="J36">
        <v>10671.419999999998</v>
      </c>
      <c r="K36">
        <v>12180</v>
      </c>
      <c r="L36">
        <v>13050</v>
      </c>
      <c r="M36">
        <v>13920</v>
      </c>
      <c r="N36">
        <v>14790.000000000002</v>
      </c>
      <c r="O36">
        <v>15660.000000000002</v>
      </c>
      <c r="P36">
        <v>16530.000000000004</v>
      </c>
      <c r="Q36">
        <v>17400.000000000004</v>
      </c>
    </row>
    <row r="37" spans="6:17" x14ac:dyDescent="0.25">
      <c r="F37" s="11">
        <f t="shared" si="5"/>
        <v>0.21999999999999997</v>
      </c>
      <c r="G37">
        <v>10813.63636363636</v>
      </c>
      <c r="I37" s="11">
        <f t="shared" si="6"/>
        <v>0.21999999999999997</v>
      </c>
      <c r="J37">
        <v>10849.276999999998</v>
      </c>
      <c r="K37">
        <v>12383</v>
      </c>
      <c r="L37">
        <v>13267.5</v>
      </c>
      <c r="M37">
        <v>14152</v>
      </c>
      <c r="N37">
        <v>15036.500000000002</v>
      </c>
      <c r="O37">
        <v>15921.000000000002</v>
      </c>
      <c r="P37">
        <v>16805.500000000004</v>
      </c>
      <c r="Q37">
        <v>17690.000000000004</v>
      </c>
    </row>
    <row r="38" spans="6:17" x14ac:dyDescent="0.25">
      <c r="F38" s="11">
        <f t="shared" si="5"/>
        <v>0.23999999999999996</v>
      </c>
      <c r="G38">
        <v>10990.909090909086</v>
      </c>
      <c r="I38" s="11">
        <f t="shared" si="6"/>
        <v>0.23999999999999996</v>
      </c>
      <c r="J38">
        <v>11027.133999999998</v>
      </c>
      <c r="K38">
        <v>12586</v>
      </c>
      <c r="L38">
        <v>13485</v>
      </c>
      <c r="M38">
        <v>14384</v>
      </c>
      <c r="N38">
        <v>15283.000000000002</v>
      </c>
      <c r="O38">
        <v>16182.000000000002</v>
      </c>
      <c r="P38">
        <v>17081.000000000004</v>
      </c>
      <c r="Q38">
        <v>17980.000000000004</v>
      </c>
    </row>
    <row r="39" spans="6:17" x14ac:dyDescent="0.25">
      <c r="F39" s="11">
        <f t="shared" si="5"/>
        <v>0.25999999999999995</v>
      </c>
      <c r="G39">
        <v>11168.181818181813</v>
      </c>
      <c r="I39" s="11">
        <f t="shared" si="6"/>
        <v>0.25999999999999995</v>
      </c>
      <c r="J39">
        <v>11204.990999999998</v>
      </c>
      <c r="K39">
        <v>12789</v>
      </c>
      <c r="L39">
        <v>13702.5</v>
      </c>
      <c r="M39">
        <v>14616</v>
      </c>
      <c r="N39">
        <v>15529.500000000002</v>
      </c>
      <c r="O39">
        <v>16443.000000000004</v>
      </c>
      <c r="P39">
        <v>17356.500000000004</v>
      </c>
      <c r="Q39">
        <v>18270.000000000004</v>
      </c>
    </row>
    <row r="40" spans="6:17" x14ac:dyDescent="0.25">
      <c r="F40" s="11">
        <f t="shared" si="5"/>
        <v>0.27999999999999997</v>
      </c>
      <c r="G40">
        <v>11345.45454545454</v>
      </c>
      <c r="I40" s="11">
        <f t="shared" si="6"/>
        <v>0.27999999999999997</v>
      </c>
      <c r="J40">
        <v>11382.847999999998</v>
      </c>
      <c r="K40">
        <v>12992</v>
      </c>
      <c r="L40">
        <v>13920</v>
      </c>
      <c r="M40">
        <v>14848</v>
      </c>
      <c r="N40">
        <v>15776.000000000002</v>
      </c>
      <c r="O40">
        <v>16704.000000000004</v>
      </c>
      <c r="P40">
        <v>17632.000000000004</v>
      </c>
      <c r="Q40">
        <v>18560.000000000004</v>
      </c>
    </row>
    <row r="41" spans="6:17" x14ac:dyDescent="0.25">
      <c r="F41" s="11">
        <f t="shared" si="5"/>
        <v>0.3</v>
      </c>
      <c r="G41">
        <v>11522.727272727268</v>
      </c>
      <c r="I41" s="11">
        <f t="shared" si="6"/>
        <v>0.3</v>
      </c>
      <c r="J41">
        <v>11560.704999999998</v>
      </c>
      <c r="K41">
        <v>13195</v>
      </c>
      <c r="L41">
        <v>14137.5</v>
      </c>
      <c r="M41">
        <v>15080</v>
      </c>
      <c r="N41">
        <v>16022.500000000002</v>
      </c>
      <c r="O41">
        <v>16965.000000000004</v>
      </c>
      <c r="P41">
        <v>17907.500000000004</v>
      </c>
      <c r="Q41">
        <v>18850.000000000004</v>
      </c>
    </row>
    <row r="42" spans="6:17" x14ac:dyDescent="0.25">
      <c r="F42" s="11">
        <f t="shared" si="5"/>
        <v>0.32</v>
      </c>
      <c r="G42">
        <v>11699.999999999996</v>
      </c>
      <c r="I42" s="11">
        <f t="shared" si="6"/>
        <v>0.32</v>
      </c>
      <c r="J42">
        <v>11738.561999999998</v>
      </c>
      <c r="K42">
        <v>13398</v>
      </c>
      <c r="L42">
        <v>14355</v>
      </c>
      <c r="M42">
        <v>15312</v>
      </c>
      <c r="N42">
        <v>16269.000000000002</v>
      </c>
      <c r="O42">
        <v>17226.000000000004</v>
      </c>
      <c r="P42">
        <v>18183.000000000004</v>
      </c>
      <c r="Q42">
        <v>19140.000000000004</v>
      </c>
    </row>
    <row r="43" spans="6:17" x14ac:dyDescent="0.25">
      <c r="F43" s="11">
        <f t="shared" si="5"/>
        <v>0.34</v>
      </c>
      <c r="G43">
        <v>11877.272727272722</v>
      </c>
      <c r="I43" s="11">
        <f t="shared" si="6"/>
        <v>0.34</v>
      </c>
      <c r="J43">
        <v>11916.418999999998</v>
      </c>
      <c r="K43">
        <v>13601</v>
      </c>
      <c r="L43">
        <v>14572.5</v>
      </c>
      <c r="M43">
        <v>15544</v>
      </c>
      <c r="N43">
        <v>16515.5</v>
      </c>
      <c r="O43">
        <v>17487.000000000004</v>
      </c>
      <c r="P43">
        <v>18458.500000000004</v>
      </c>
      <c r="Q43">
        <v>19430.000000000004</v>
      </c>
    </row>
    <row r="50" spans="6:10" x14ac:dyDescent="0.25">
      <c r="F50" t="s">
        <v>95</v>
      </c>
    </row>
    <row r="51" spans="6:10" x14ac:dyDescent="0.25">
      <c r="H51" t="s">
        <v>97</v>
      </c>
      <c r="I51" t="s">
        <v>93</v>
      </c>
      <c r="J51" t="s">
        <v>94</v>
      </c>
    </row>
    <row r="52" spans="6:10" x14ac:dyDescent="0.25">
      <c r="I52" t="s">
        <v>102</v>
      </c>
      <c r="J52" t="s">
        <v>102</v>
      </c>
    </row>
    <row r="53" spans="6:10" x14ac:dyDescent="0.25">
      <c r="F53" t="s">
        <v>96</v>
      </c>
    </row>
    <row r="54" spans="6:10" x14ac:dyDescent="0.25">
      <c r="G54" t="s">
        <v>103</v>
      </c>
      <c r="H54">
        <v>14500</v>
      </c>
      <c r="I54">
        <v>15000</v>
      </c>
      <c r="J54">
        <v>12000</v>
      </c>
    </row>
    <row r="55" spans="6:10" x14ac:dyDescent="0.25">
      <c r="G55" t="s">
        <v>104</v>
      </c>
      <c r="H55">
        <v>0.08</v>
      </c>
      <c r="I55">
        <v>0.1</v>
      </c>
      <c r="J55">
        <v>0.05</v>
      </c>
    </row>
    <row r="56" spans="6:10" x14ac:dyDescent="0.25">
      <c r="G56" t="s">
        <v>105</v>
      </c>
      <c r="H56">
        <v>0.61128526645768</v>
      </c>
      <c r="I56">
        <v>0.7</v>
      </c>
      <c r="J56">
        <v>0.5</v>
      </c>
    </row>
    <row r="57" spans="6:10" x14ac:dyDescent="0.25">
      <c r="F57" t="s">
        <v>98</v>
      </c>
    </row>
    <row r="58" spans="6:10" x14ac:dyDescent="0.25">
      <c r="G58" t="s">
        <v>106</v>
      </c>
      <c r="H58">
        <v>15660</v>
      </c>
      <c r="I58">
        <v>16500</v>
      </c>
      <c r="J58">
        <v>12600</v>
      </c>
    </row>
    <row r="59" spans="6:10" x14ac:dyDescent="0.25">
      <c r="G59" t="s">
        <v>107</v>
      </c>
      <c r="H59">
        <v>-6087.2727272727298</v>
      </c>
      <c r="I59">
        <v>-4950</v>
      </c>
      <c r="J59">
        <v>-6300</v>
      </c>
    </row>
    <row r="60" spans="6:10" x14ac:dyDescent="0.25">
      <c r="G60" t="s">
        <v>108</v>
      </c>
      <c r="H60">
        <v>9572.7272727272702</v>
      </c>
      <c r="I60">
        <v>11550</v>
      </c>
      <c r="J60">
        <v>6300</v>
      </c>
    </row>
    <row r="61" spans="6:10" x14ac:dyDescent="0.25">
      <c r="F61" t="s">
        <v>99</v>
      </c>
    </row>
    <row r="62" spans="6:10" x14ac:dyDescent="0.25">
      <c r="F62" t="s">
        <v>100</v>
      </c>
    </row>
    <row r="63" spans="6:10" x14ac:dyDescent="0.25">
      <c r="F63" t="s">
        <v>101</v>
      </c>
    </row>
  </sheetData>
  <scenarios current="1" sqref="G22:G24">
    <scenario name="best " locked="1" count="3" user="Pranav Mishra" comment="Created by Pranav Mishra on 26-12-2023_x000a_Modified by Pranav Mishra on 26-12-2023">
      <inputCells r="G18" val="15000" numFmtId="4"/>
      <inputCells r="G19" val="0.1" numFmtId="10"/>
      <inputCells r="G20" val="0.7" numFmtId="10"/>
    </scenario>
    <scenario name="worst" locked="1" count="3" user="Pranav Mishra" comment="Created by Pranav Mishra on 26-12-2023_x000a_Modified by Pranav Mishra on 26-12-2023">
      <inputCells r="G18" val="12000" numFmtId="4"/>
      <inputCells r="G19" val="0.05" numFmtId="10"/>
      <inputCells r="G20" val="0.5" numFmtId="1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Historical FS</vt:lpstr>
      <vt:lpstr>Sheet1</vt:lpstr>
      <vt:lpstr>forecasting </vt:lpstr>
      <vt:lpstr>WACC</vt:lpstr>
      <vt:lpstr>Ratio Analysis </vt:lpstr>
      <vt:lpstr>beta calculation</vt:lpstr>
      <vt:lpstr>Common Statement </vt:lpstr>
      <vt:lpstr>Rw&gt;</vt:lpstr>
      <vt:lpstr>Intrinsic Growth</vt:lpstr>
      <vt:lpstr>FCFF</vt:lpstr>
      <vt:lpstr>Data Sheet</vt:lpstr>
      <vt:lpstr>cash flow data  (2)</vt:lpstr>
      <vt:lpstr>Beta for bottom </vt:lpstr>
      <vt:lpstr>practice sheet </vt:lpstr>
      <vt:lpstr>Beta</vt:lpstr>
      <vt:lpstr>CostofDebt</vt:lpstr>
      <vt:lpstr>DebtValue</vt:lpstr>
      <vt:lpstr>EquityValue</vt:lpstr>
      <vt:lpstr>MarketReturns</vt:lpstr>
      <vt:lpstr>RiskFreeRate</vt:lpstr>
      <vt:lpstr>TaxRate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kumar Mishra</dc:creator>
  <cp:lastModifiedBy>Pranav Mishra</cp:lastModifiedBy>
  <cp:lastPrinted>2023-12-28T12:04:52Z</cp:lastPrinted>
  <dcterms:created xsi:type="dcterms:W3CDTF">2023-12-26T06:02:00Z</dcterms:created>
  <dcterms:modified xsi:type="dcterms:W3CDTF">2024-11-09T17:07:01Z</dcterms:modified>
</cp:coreProperties>
</file>