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raj\Downloads\"/>
    </mc:Choice>
  </mc:AlternateContent>
  <bookViews>
    <workbookView xWindow="0" yWindow="0" windowWidth="23040" windowHeight="9072"/>
  </bookViews>
  <sheets>
    <sheet name="Sheet1" sheetId="1" r:id="rId1"/>
    <sheet name="Factor" sheetId="2" r:id="rId2"/>
    <sheet name="Schedule B" sheetId="3" r:id="rId3"/>
  </sheets>
  <definedNames>
    <definedName name="_xlnm._FilterDatabase" localSheetId="0" hidden="1">Sheet1!$A$4:$M$35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G20" i="1"/>
  <c r="K6" i="1" l="1"/>
  <c r="L6" i="1" s="1"/>
  <c r="K7" i="1"/>
  <c r="L7" i="1" s="1"/>
  <c r="K8" i="1"/>
  <c r="L8" i="1" s="1"/>
  <c r="F7" i="1" l="1"/>
  <c r="F8" i="1"/>
  <c r="A7" i="1" l="1"/>
  <c r="A8" i="1" s="1"/>
  <c r="C25" i="2"/>
  <c r="E5" i="3" l="1"/>
  <c r="E6" i="3"/>
  <c r="E7" i="3"/>
  <c r="E8" i="3"/>
  <c r="E9" i="3"/>
  <c r="E10" i="3"/>
  <c r="E11" i="3"/>
  <c r="E12" i="3"/>
  <c r="E13" i="3"/>
  <c r="E14" i="3"/>
  <c r="E15" i="3"/>
  <c r="E4" i="3"/>
  <c r="F32" i="1"/>
  <c r="F31" i="1"/>
  <c r="L11" i="1"/>
  <c r="M11" i="1" s="1"/>
  <c r="L12" i="1"/>
  <c r="M12" i="1" s="1"/>
  <c r="L13" i="1"/>
  <c r="L17" i="1"/>
  <c r="M17" i="1" s="1"/>
  <c r="L18" i="1"/>
  <c r="F89" i="2"/>
  <c r="F86" i="2"/>
  <c r="F85" i="2"/>
  <c r="F83" i="2"/>
  <c r="F82" i="2"/>
  <c r="F81" i="2"/>
  <c r="F80" i="2"/>
  <c r="F79" i="2"/>
  <c r="F78" i="2"/>
  <c r="C77" i="2"/>
  <c r="F77" i="2" s="1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C62" i="2"/>
  <c r="F62" i="2" s="1"/>
  <c r="F61" i="2"/>
  <c r="F60" i="2"/>
  <c r="F59" i="2"/>
  <c r="F58" i="2"/>
  <c r="F53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52" i="2" s="1"/>
  <c r="F55" i="2" s="1"/>
  <c r="F91" i="2" s="1"/>
  <c r="F95" i="2" s="1"/>
  <c r="G95" i="2" s="1"/>
  <c r="C26" i="2"/>
  <c r="C27" i="2" s="1"/>
  <c r="C3" i="1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22" i="2" s="1"/>
  <c r="A23" i="2" s="1"/>
  <c r="K14" i="1" l="1"/>
  <c r="L14" i="1" s="1"/>
  <c r="L10" i="1" l="1"/>
  <c r="H25" i="1" s="1"/>
  <c r="I12" i="1"/>
  <c r="I17" i="1"/>
  <c r="G14" i="1" l="1"/>
  <c r="M14" i="1" l="1"/>
  <c r="N14" i="1" s="1"/>
  <c r="I14" i="1"/>
  <c r="H14" i="1"/>
  <c r="G7" i="1" l="1"/>
  <c r="M7" i="1" s="1"/>
  <c r="G8" i="1"/>
  <c r="M8" i="1" s="1"/>
  <c r="F6" i="1"/>
  <c r="G6" i="1" s="1"/>
  <c r="H8" i="1" l="1"/>
  <c r="H7" i="1"/>
  <c r="G10" i="1"/>
  <c r="G25" i="1" s="1"/>
  <c r="M6" i="1"/>
  <c r="I8" i="1"/>
  <c r="I6" i="1"/>
  <c r="I7" i="1"/>
  <c r="H6" i="1"/>
  <c r="M10" i="1" l="1"/>
  <c r="N10" i="1" s="1"/>
  <c r="K25" i="1"/>
  <c r="F25" i="1"/>
  <c r="L25" i="1"/>
  <c r="M25" i="1" s="1"/>
  <c r="F50" i="1"/>
  <c r="I25" i="1" l="1"/>
</calcChain>
</file>

<file path=xl/sharedStrings.xml><?xml version="1.0" encoding="utf-8"?>
<sst xmlns="http://schemas.openxmlformats.org/spreadsheetml/2006/main" count="158" uniqueCount="136">
  <si>
    <t>S.No</t>
  </si>
  <si>
    <t>Item Of Work</t>
  </si>
  <si>
    <t>Qty</t>
  </si>
  <si>
    <t>Rate</t>
  </si>
  <si>
    <t>Amount</t>
  </si>
  <si>
    <t>As % of Tender</t>
  </si>
  <si>
    <t>As %of Annexure</t>
  </si>
  <si>
    <t>Remarks</t>
  </si>
  <si>
    <t>Value of Tender</t>
  </si>
  <si>
    <t>Unit</t>
  </si>
  <si>
    <t>Sqm</t>
  </si>
  <si>
    <t>Nos</t>
  </si>
  <si>
    <t>Our Assessed Rate</t>
  </si>
  <si>
    <t>Our Amount</t>
  </si>
  <si>
    <t>S.No.</t>
  </si>
  <si>
    <t>ITEM OF EXPENDITURE</t>
  </si>
  <si>
    <t>AMOUNT %</t>
  </si>
  <si>
    <t>REMARKS</t>
  </si>
  <si>
    <t>Elephant Pass</t>
  </si>
  <si>
    <t xml:space="preserve">Remarks for Elephant Pass </t>
  </si>
  <si>
    <t>Estt and Overhead</t>
  </si>
  <si>
    <t xml:space="preserve">Including employer's facilities </t>
  </si>
  <si>
    <t>One Time Set up Cost</t>
  </si>
  <si>
    <t>Insurance</t>
  </si>
  <si>
    <t>CAR Policy</t>
  </si>
  <si>
    <t>Workmen Cmpensation</t>
  </si>
  <si>
    <t>Labour Licence etc.</t>
  </si>
  <si>
    <t>Labour Cess</t>
  </si>
  <si>
    <t>Interest on Financing</t>
  </si>
  <si>
    <t>Cost of PG</t>
  </si>
  <si>
    <t>Contingency</t>
  </si>
  <si>
    <t>Departmental Expenses, PMC</t>
  </si>
  <si>
    <t>MLA and others Politicians, Local groups</t>
  </si>
  <si>
    <t>Risk Factor</t>
  </si>
  <si>
    <t>Compensation for Likely LD</t>
  </si>
  <si>
    <t>Expenses during Defect Liability Period</t>
  </si>
  <si>
    <t>24 months defect liability period</t>
  </si>
  <si>
    <t>Income Tax</t>
  </si>
  <si>
    <t xml:space="preserve">Profit </t>
  </si>
  <si>
    <t>TOTAL</t>
  </si>
  <si>
    <t>Factor to be applied on our Cost</t>
  </si>
  <si>
    <t>Item of Expenditure</t>
  </si>
  <si>
    <t>Monthly Expenditure</t>
  </si>
  <si>
    <t>Duration</t>
  </si>
  <si>
    <t>Total Expenditure</t>
  </si>
  <si>
    <t>Eestablishment</t>
  </si>
  <si>
    <t>PM</t>
  </si>
  <si>
    <t>DPM</t>
  </si>
  <si>
    <t>Site Engineers</t>
  </si>
  <si>
    <t>Site Supervisors</t>
  </si>
  <si>
    <t>Stores Incharge</t>
  </si>
  <si>
    <t>Stores Assistants</t>
  </si>
  <si>
    <t>Accounts Incharge</t>
  </si>
  <si>
    <t>Accounts Assistants</t>
  </si>
  <si>
    <t>Drafting and Design</t>
  </si>
  <si>
    <t>Surveyor with Assistant &amp; Total Station</t>
  </si>
  <si>
    <t>Electrician with Assistant</t>
  </si>
  <si>
    <t>Mechanic with Assistant</t>
  </si>
  <si>
    <t>Miscllaneous Labours</t>
  </si>
  <si>
    <t>Security</t>
  </si>
  <si>
    <t>Sub - Total</t>
  </si>
  <si>
    <t>HO Expenses, Including Travelling</t>
  </si>
  <si>
    <t>LS</t>
  </si>
  <si>
    <t>Site Infra</t>
  </si>
  <si>
    <t>Lab</t>
  </si>
  <si>
    <t>One Time</t>
  </si>
  <si>
    <t>Office Shed, Computers, Furniture etc</t>
  </si>
  <si>
    <t>Main Store &amp; Site Stores</t>
  </si>
  <si>
    <t>Labour Camp</t>
  </si>
  <si>
    <t>Rent for Staff Accomodation</t>
  </si>
  <si>
    <t>Diesel Tanker</t>
  </si>
  <si>
    <t>Pick Ups</t>
  </si>
  <si>
    <t>Passenger Vehicles</t>
  </si>
  <si>
    <t>Bikes</t>
  </si>
  <si>
    <t>Maintenance &amp; Diesel for bikes</t>
  </si>
  <si>
    <t>Lorry/Hyva</t>
  </si>
  <si>
    <t>Trailer</t>
  </si>
  <si>
    <t>Tractor Trailers</t>
  </si>
  <si>
    <t xml:space="preserve">Hydra </t>
  </si>
  <si>
    <t>JCB</t>
  </si>
  <si>
    <t>Water Tanker</t>
  </si>
  <si>
    <t>Hitachi</t>
  </si>
  <si>
    <t xml:space="preserve">DG,  </t>
  </si>
  <si>
    <t xml:space="preserve">Office, Lab Consumables, </t>
  </si>
  <si>
    <t>Diesel for Misc</t>
  </si>
  <si>
    <t>.@200 Lit per day</t>
  </si>
  <si>
    <t>Mess Set up</t>
  </si>
  <si>
    <t>Mess Expenses Monthly</t>
  </si>
  <si>
    <t>Vehicle for Client</t>
  </si>
  <si>
    <t>Office for Client</t>
  </si>
  <si>
    <t>Consumable for Client Office</t>
  </si>
  <si>
    <t>Cutting &amp; Bending M/c - 4 Sets</t>
  </si>
  <si>
    <t xml:space="preserve">Water Bore well </t>
  </si>
  <si>
    <t xml:space="preserve">Misc Lighting Equipments, Grinders, Cutting M/c, Dewatering Pumps etc </t>
  </si>
  <si>
    <t>Road and P/f making charges for girder</t>
  </si>
  <si>
    <t>Our Amt- Rly Amt</t>
  </si>
  <si>
    <t>Factor</t>
  </si>
  <si>
    <t>Sub Total</t>
  </si>
  <si>
    <t>%</t>
  </si>
  <si>
    <t>GRAND TOTAL</t>
  </si>
  <si>
    <t>cum</t>
  </si>
  <si>
    <t>Completion Drawing</t>
  </si>
  <si>
    <t>Supply and laying 5mm thick canvas concrete mat at joints of box segment</t>
  </si>
  <si>
    <t>Supply of 5HP water cooled pum</t>
  </si>
  <si>
    <t>Pre-cast Box launching</t>
  </si>
  <si>
    <t>Supply and laying illuminious red color painting</t>
  </si>
  <si>
    <t>Providing Speed Breakers</t>
  </si>
  <si>
    <t>Steel crib staging over Sleeper matting</t>
  </si>
  <si>
    <t>Erecting and removing temporary Girder 60/80 ft over steel crib</t>
  </si>
  <si>
    <t>Transportation of Rail/ Sleepers</t>
  </si>
  <si>
    <t>Transportation of temporary Girder</t>
  </si>
  <si>
    <t>Assembly of temporary girder</t>
  </si>
  <si>
    <t>Dismantling of temporary girder</t>
  </si>
  <si>
    <t>Rate as per USSOR</t>
  </si>
  <si>
    <t>Rate after Railway Escalation</t>
  </si>
  <si>
    <t>Schedule A</t>
  </si>
  <si>
    <t>Launching of Boxes</t>
  </si>
  <si>
    <t>Item</t>
  </si>
  <si>
    <t>Rate/ Unit</t>
  </si>
  <si>
    <t>Crane Cost</t>
  </si>
  <si>
    <t>lumpsum</t>
  </si>
  <si>
    <t>Quantity</t>
  </si>
  <si>
    <t>2.5Cum Capacity Excavator</t>
  </si>
  <si>
    <t>Our Assessed Amount</t>
  </si>
  <si>
    <t>Railway Amount with Rebate</t>
  </si>
  <si>
    <t>Railway Amount without Rebate</t>
  </si>
  <si>
    <t xml:space="preserve">Railway Amount without Rebate factor TMT 102.59, Cement - 9725.47, </t>
  </si>
  <si>
    <t>% to be quotated</t>
  </si>
  <si>
    <t>Rate after Quotated Rebate</t>
  </si>
  <si>
    <t>Discount</t>
  </si>
  <si>
    <t>Final Rate</t>
  </si>
  <si>
    <t xml:space="preserve"> Launching of precast RCC box segments</t>
  </si>
  <si>
    <t>EACH</t>
  </si>
  <si>
    <t>All kinds of soil</t>
  </si>
  <si>
    <t>CONCRETE WORK</t>
  </si>
  <si>
    <t>All works upto plinth level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</si>
</sst>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b/>
      <sz val="12"/>
      <color rgb="FFFF0000"/>
      <name val="Arial"/>
      <family val="2"/>
    </font>
    <font>
      <sz val="10"/>
      <color rgb="FF000000"/>
      <name val="Calibri"/>
      <scheme val="minor"/>
    </font>
    <font>
      <b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43" fontId="4" fillId="0" borderId="0" xfId="1" applyFont="1" applyAlignment="1">
      <alignment horizontal="center" vertical="center" wrapText="1"/>
    </xf>
    <xf numFmtId="43" fontId="2" fillId="0" borderId="0" xfId="1" applyFont="1" applyAlignment="1">
      <alignment wrapText="1"/>
    </xf>
    <xf numFmtId="10" fontId="4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wrapText="1"/>
    </xf>
    <xf numFmtId="43" fontId="2" fillId="0" borderId="0" xfId="0" applyNumberFormat="1" applyFont="1" applyAlignment="1">
      <alignment wrapText="1"/>
    </xf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wrapText="1"/>
    </xf>
    <xf numFmtId="0" fontId="2" fillId="0" borderId="0" xfId="0" applyFont="1"/>
    <xf numFmtId="43" fontId="2" fillId="0" borderId="0" xfId="1" applyFont="1"/>
    <xf numFmtId="0" fontId="3" fillId="0" borderId="1" xfId="0" applyFont="1" applyBorder="1" applyAlignment="1">
      <alignment horizontal="center"/>
    </xf>
    <xf numFmtId="43" fontId="3" fillId="0" borderId="1" xfId="1" applyFont="1" applyBorder="1" applyAlignment="1">
      <alignment horizontal="center"/>
    </xf>
    <xf numFmtId="43" fontId="3" fillId="0" borderId="0" xfId="1" applyFont="1" applyBorder="1" applyAlignment="1">
      <alignment horizontal="center"/>
    </xf>
    <xf numFmtId="43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/>
    <xf numFmtId="43" fontId="2" fillId="0" borderId="2" xfId="1" applyFont="1" applyBorder="1"/>
    <xf numFmtId="43" fontId="2" fillId="0" borderId="0" xfId="1" applyFont="1" applyBorder="1"/>
    <xf numFmtId="0" fontId="2" fillId="0" borderId="2" xfId="0" applyFont="1" applyBorder="1" applyAlignment="1">
      <alignment horizontal="left" indent="3"/>
    </xf>
    <xf numFmtId="43" fontId="2" fillId="2" borderId="0" xfId="1" applyFont="1" applyFill="1"/>
    <xf numFmtId="43" fontId="2" fillId="3" borderId="0" xfId="1" applyFont="1" applyFill="1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43" fontId="2" fillId="0" borderId="0" xfId="1" applyFont="1" applyAlignment="1">
      <alignment vertical="top"/>
    </xf>
    <xf numFmtId="43" fontId="2" fillId="0" borderId="2" xfId="1" applyFont="1" applyBorder="1" applyAlignment="1">
      <alignment horizontal="left" vertical="top" wrapText="1"/>
    </xf>
    <xf numFmtId="43" fontId="2" fillId="0" borderId="0" xfId="1" applyFont="1" applyBorder="1" applyAlignment="1">
      <alignment horizontal="left" vertical="top" wrapText="1"/>
    </xf>
    <xf numFmtId="43" fontId="2" fillId="0" borderId="0" xfId="1" applyFont="1" applyBorder="1" applyAlignment="1">
      <alignment vertical="top"/>
    </xf>
    <xf numFmtId="0" fontId="3" fillId="0" borderId="2" xfId="0" applyFont="1" applyBorder="1"/>
    <xf numFmtId="43" fontId="3" fillId="0" borderId="0" xfId="1" applyFont="1"/>
    <xf numFmtId="43" fontId="3" fillId="0" borderId="2" xfId="1" applyFont="1" applyBorder="1"/>
    <xf numFmtId="43" fontId="3" fillId="0" borderId="0" xfId="1" applyFont="1" applyBorder="1"/>
    <xf numFmtId="0" fontId="3" fillId="0" borderId="0" xfId="0" applyFont="1"/>
    <xf numFmtId="0" fontId="6" fillId="0" borderId="2" xfId="0" applyFont="1" applyBorder="1"/>
    <xf numFmtId="0" fontId="6" fillId="0" borderId="3" xfId="0" applyFont="1" applyBorder="1"/>
    <xf numFmtId="10" fontId="6" fillId="0" borderId="3" xfId="1" applyNumberFormat="1" applyFont="1" applyBorder="1"/>
    <xf numFmtId="43" fontId="6" fillId="0" borderId="3" xfId="1" applyFont="1" applyBorder="1"/>
    <xf numFmtId="43" fontId="6" fillId="0" borderId="0" xfId="1" applyFont="1" applyBorder="1"/>
    <xf numFmtId="10" fontId="6" fillId="0" borderId="0" xfId="1" applyNumberFormat="1" applyFont="1" applyBorder="1"/>
    <xf numFmtId="0" fontId="6" fillId="0" borderId="0" xfId="0" applyFont="1"/>
    <xf numFmtId="0" fontId="3" fillId="0" borderId="0" xfId="0" applyFont="1" applyAlignment="1">
      <alignment horizontal="center" vertical="center" wrapText="1"/>
    </xf>
    <xf numFmtId="43" fontId="3" fillId="0" borderId="0" xfId="1" applyFont="1" applyAlignment="1">
      <alignment horizontal="center" vertical="center" wrapText="1"/>
    </xf>
    <xf numFmtId="0" fontId="5" fillId="0" borderId="0" xfId="2"/>
    <xf numFmtId="4" fontId="7" fillId="0" borderId="4" xfId="0" applyNumberFormat="1" applyFont="1" applyBorder="1"/>
    <xf numFmtId="0" fontId="8" fillId="0" borderId="0" xfId="0" applyFont="1"/>
    <xf numFmtId="43" fontId="8" fillId="0" borderId="0" xfId="1" applyFont="1"/>
    <xf numFmtId="43" fontId="8" fillId="0" borderId="0" xfId="0" applyNumberFormat="1" applyFont="1"/>
    <xf numFmtId="10" fontId="2" fillId="0" borderId="0" xfId="3" applyNumberFormat="1" applyFont="1" applyAlignment="1">
      <alignment wrapText="1"/>
    </xf>
    <xf numFmtId="10" fontId="0" fillId="0" borderId="0" xfId="0" applyNumberFormat="1"/>
    <xf numFmtId="43" fontId="0" fillId="0" borderId="0" xfId="0" applyNumberFormat="1"/>
    <xf numFmtId="0" fontId="2" fillId="0" borderId="4" xfId="0" applyFont="1" applyBorder="1" applyAlignment="1">
      <alignment horizontal="center" wrapText="1"/>
    </xf>
    <xf numFmtId="43" fontId="2" fillId="0" borderId="4" xfId="1" applyFont="1" applyBorder="1" applyAlignment="1">
      <alignment horizontal="center" wrapText="1"/>
    </xf>
    <xf numFmtId="10" fontId="2" fillId="0" borderId="4" xfId="0" applyNumberFormat="1" applyFont="1" applyBorder="1" applyAlignment="1">
      <alignment horizontal="center" wrapText="1"/>
    </xf>
    <xf numFmtId="43" fontId="2" fillId="0" borderId="4" xfId="0" applyNumberFormat="1" applyFont="1" applyBorder="1" applyAlignment="1">
      <alignment horizontal="center" wrapText="1"/>
    </xf>
    <xf numFmtId="10" fontId="10" fillId="0" borderId="4" xfId="3" applyNumberFormat="1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43" fontId="2" fillId="0" borderId="4" xfId="1" applyFont="1" applyBorder="1" applyAlignment="1">
      <alignment wrapText="1"/>
    </xf>
    <xf numFmtId="10" fontId="2" fillId="0" borderId="4" xfId="0" applyNumberFormat="1" applyFont="1" applyBorder="1" applyAlignment="1">
      <alignment wrapText="1"/>
    </xf>
    <xf numFmtId="43" fontId="2" fillId="0" borderId="4" xfId="0" applyNumberFormat="1" applyFont="1" applyBorder="1" applyAlignment="1">
      <alignment wrapText="1"/>
    </xf>
    <xf numFmtId="9" fontId="2" fillId="0" borderId="4" xfId="1" applyNumberFormat="1" applyFont="1" applyBorder="1" applyAlignment="1">
      <alignment wrapText="1"/>
    </xf>
    <xf numFmtId="0" fontId="3" fillId="0" borderId="4" xfId="0" applyFont="1" applyBorder="1" applyAlignment="1">
      <alignment wrapText="1"/>
    </xf>
    <xf numFmtId="9" fontId="10" fillId="0" borderId="4" xfId="1" applyNumberFormat="1" applyFont="1" applyBorder="1" applyAlignment="1">
      <alignment wrapText="1"/>
    </xf>
    <xf numFmtId="0" fontId="2" fillId="0" borderId="4" xfId="0" applyFont="1" applyBorder="1" applyAlignment="1">
      <alignment vertical="top" wrapText="1"/>
    </xf>
    <xf numFmtId="43" fontId="2" fillId="0" borderId="4" xfId="1" applyFont="1" applyBorder="1" applyAlignment="1">
      <alignment vertical="top" wrapText="1"/>
    </xf>
    <xf numFmtId="10" fontId="2" fillId="0" borderId="4" xfId="0" applyNumberFormat="1" applyFont="1" applyBorder="1" applyAlignment="1">
      <alignment vertical="top" wrapText="1"/>
    </xf>
    <xf numFmtId="43" fontId="2" fillId="0" borderId="4" xfId="0" applyNumberFormat="1" applyFont="1" applyBorder="1" applyAlignment="1">
      <alignment vertical="top" wrapText="1"/>
    </xf>
    <xf numFmtId="0" fontId="2" fillId="0" borderId="5" xfId="0" applyFont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43" fontId="2" fillId="0" borderId="6" xfId="1" applyFont="1" applyBorder="1" applyAlignment="1">
      <alignment horizontal="center" wrapText="1"/>
    </xf>
    <xf numFmtId="43" fontId="10" fillId="0" borderId="6" xfId="1" applyFont="1" applyBorder="1" applyAlignment="1">
      <alignment horizontal="center" wrapText="1"/>
    </xf>
    <xf numFmtId="10" fontId="2" fillId="0" borderId="6" xfId="0" applyNumberFormat="1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43" fontId="2" fillId="0" borderId="11" xfId="1" applyFont="1" applyBorder="1" applyAlignment="1">
      <alignment horizontal="center" wrapText="1"/>
    </xf>
    <xf numFmtId="43" fontId="3" fillId="5" borderId="11" xfId="1" applyFont="1" applyFill="1" applyBorder="1" applyAlignment="1">
      <alignment horizontal="center" wrapText="1"/>
    </xf>
    <xf numFmtId="10" fontId="2" fillId="0" borderId="11" xfId="0" applyNumberFormat="1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43" fontId="2" fillId="0" borderId="11" xfId="0" applyNumberFormat="1" applyFont="1" applyBorder="1" applyAlignment="1">
      <alignment horizontal="center" wrapText="1"/>
    </xf>
    <xf numFmtId="43" fontId="3" fillId="0" borderId="11" xfId="0" applyNumberFormat="1" applyFont="1" applyBorder="1" applyAlignment="1">
      <alignment horizontal="center" wrapText="1"/>
    </xf>
    <xf numFmtId="2" fontId="3" fillId="0" borderId="12" xfId="0" applyNumberFormat="1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43" fontId="2" fillId="0" borderId="6" xfId="1" applyFont="1" applyBorder="1" applyAlignment="1">
      <alignment wrapText="1"/>
    </xf>
    <xf numFmtId="10" fontId="2" fillId="0" borderId="6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43" fontId="2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0" xfId="0" applyFont="1" applyBorder="1" applyAlignment="1">
      <alignment wrapText="1"/>
    </xf>
    <xf numFmtId="43" fontId="2" fillId="0" borderId="0" xfId="1" applyFont="1" applyBorder="1" applyAlignment="1">
      <alignment wrapText="1"/>
    </xf>
    <xf numFmtId="10" fontId="2" fillId="0" borderId="0" xfId="0" applyNumberFormat="1" applyFont="1" applyBorder="1" applyAlignment="1">
      <alignment wrapText="1"/>
    </xf>
    <xf numFmtId="43" fontId="2" fillId="0" borderId="0" xfId="0" applyNumberFormat="1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3" fillId="4" borderId="11" xfId="0" applyFont="1" applyFill="1" applyBorder="1" applyAlignment="1">
      <alignment wrapText="1"/>
    </xf>
    <xf numFmtId="43" fontId="2" fillId="0" borderId="11" xfId="1" applyFont="1" applyBorder="1" applyAlignment="1">
      <alignment wrapText="1"/>
    </xf>
    <xf numFmtId="43" fontId="3" fillId="5" borderId="11" xfId="1" applyFont="1" applyFill="1" applyBorder="1" applyAlignment="1">
      <alignment wrapText="1"/>
    </xf>
    <xf numFmtId="10" fontId="2" fillId="0" borderId="11" xfId="0" applyNumberFormat="1" applyFont="1" applyBorder="1" applyAlignment="1">
      <alignment wrapText="1"/>
    </xf>
    <xf numFmtId="0" fontId="2" fillId="0" borderId="11" xfId="0" applyFont="1" applyBorder="1" applyAlignment="1">
      <alignment wrapText="1"/>
    </xf>
    <xf numFmtId="43" fontId="3" fillId="0" borderId="11" xfId="0" applyNumberFormat="1" applyFont="1" applyBorder="1" applyAlignment="1">
      <alignment wrapText="1"/>
    </xf>
    <xf numFmtId="43" fontId="2" fillId="0" borderId="11" xfId="0" applyNumberFormat="1" applyFont="1" applyBorder="1" applyAlignment="1">
      <alignment wrapText="1"/>
    </xf>
    <xf numFmtId="0" fontId="2" fillId="0" borderId="12" xfId="0" applyFont="1" applyBorder="1" applyAlignment="1">
      <alignment wrapText="1"/>
    </xf>
  </cellXfs>
  <cellStyles count="5">
    <cellStyle name="Comma" xfId="1" builtinId="3"/>
    <cellStyle name="Hyperlink" xfId="2" builtinId="8"/>
    <cellStyle name="Normal" xfId="0" builtinId="0"/>
    <cellStyle name="Normal 2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.@200%20Lit%20per%20da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0"/>
  <sheetViews>
    <sheetView tabSelected="1" zoomScale="77" workbookViewId="0">
      <pane xSplit="5" topLeftCell="F1" activePane="topRight" state="frozen"/>
      <selection pane="topRight" activeCell="N22" sqref="N22"/>
    </sheetView>
  </sheetViews>
  <sheetFormatPr defaultColWidth="8.6640625" defaultRowHeight="13.8" x14ac:dyDescent="0.25"/>
  <cols>
    <col min="1" max="1" width="8.88671875" style="1" bestFit="1" customWidth="1"/>
    <col min="2" max="2" width="45.33203125" style="1" customWidth="1"/>
    <col min="3" max="3" width="13.109375" style="4" bestFit="1" customWidth="1"/>
    <col min="4" max="4" width="14.109375" style="4" customWidth="1"/>
    <col min="5" max="5" width="17.88671875" style="4" customWidth="1"/>
    <col min="6" max="6" width="19.109375" style="4" customWidth="1"/>
    <col min="7" max="7" width="20.109375" style="4" customWidth="1"/>
    <col min="8" max="8" width="19.109375" style="6" customWidth="1"/>
    <col min="9" max="9" width="20.5546875" style="6" customWidth="1"/>
    <col min="10" max="10" width="9.88671875" style="1" customWidth="1"/>
    <col min="11" max="11" width="17" style="1" customWidth="1"/>
    <col min="12" max="13" width="19" style="1" bestFit="1" customWidth="1"/>
    <col min="14" max="14" width="10.44140625" style="1" customWidth="1"/>
    <col min="15" max="26" width="8.6640625" style="1"/>
    <col min="27" max="27" width="16.88671875" style="1" bestFit="1" customWidth="1"/>
    <col min="28" max="16384" width="8.6640625" style="1"/>
  </cols>
  <sheetData>
    <row r="2" spans="1:14" x14ac:dyDescent="0.25">
      <c r="B2" s="1" t="s">
        <v>8</v>
      </c>
      <c r="G2" s="4">
        <v>113072222.31</v>
      </c>
    </row>
    <row r="3" spans="1:14" x14ac:dyDescent="0.25">
      <c r="B3" s="1" t="s">
        <v>96</v>
      </c>
      <c r="C3" s="4">
        <f>1+Factor!C27</f>
        <v>1.2503658387373058</v>
      </c>
    </row>
    <row r="4" spans="1:14" s="2" customFormat="1" ht="47.4" thickBot="1" x14ac:dyDescent="0.35">
      <c r="A4" s="2" t="s">
        <v>0</v>
      </c>
      <c r="B4" s="2" t="s">
        <v>1</v>
      </c>
      <c r="C4" s="3" t="s">
        <v>2</v>
      </c>
      <c r="D4" s="3" t="s">
        <v>9</v>
      </c>
      <c r="E4" s="3" t="s">
        <v>3</v>
      </c>
      <c r="F4" s="3" t="s">
        <v>114</v>
      </c>
      <c r="G4" s="3" t="s">
        <v>4</v>
      </c>
      <c r="H4" s="5" t="s">
        <v>6</v>
      </c>
      <c r="I4" s="5" t="s">
        <v>5</v>
      </c>
      <c r="J4" s="2" t="s">
        <v>7</v>
      </c>
      <c r="K4" s="2" t="s">
        <v>12</v>
      </c>
      <c r="L4" s="2" t="s">
        <v>13</v>
      </c>
      <c r="M4" s="2" t="s">
        <v>95</v>
      </c>
      <c r="N4" s="2" t="s">
        <v>98</v>
      </c>
    </row>
    <row r="5" spans="1:14" x14ac:dyDescent="0.25">
      <c r="A5" s="67"/>
      <c r="B5" s="68" t="s">
        <v>115</v>
      </c>
      <c r="C5" s="69"/>
      <c r="D5" s="69"/>
      <c r="E5" s="69"/>
      <c r="F5" s="69"/>
      <c r="G5" s="70">
        <v>15072222.310000001</v>
      </c>
      <c r="H5" s="71"/>
      <c r="I5" s="71"/>
      <c r="J5" s="72"/>
      <c r="K5" s="72"/>
      <c r="L5" s="72"/>
      <c r="M5" s="72"/>
      <c r="N5" s="73"/>
    </row>
    <row r="6" spans="1:14" x14ac:dyDescent="0.25">
      <c r="A6" s="74">
        <v>1</v>
      </c>
      <c r="B6" s="51" t="s">
        <v>133</v>
      </c>
      <c r="C6" s="52">
        <v>1186.92</v>
      </c>
      <c r="D6" s="52" t="s">
        <v>100</v>
      </c>
      <c r="E6" s="52">
        <v>205.45</v>
      </c>
      <c r="F6" s="52">
        <f>E6*(1+$F$9)</f>
        <v>205.45</v>
      </c>
      <c r="G6" s="52">
        <f>C6*F6</f>
        <v>243852.71400000001</v>
      </c>
      <c r="H6" s="53">
        <f>G6/$G$5</f>
        <v>1.6178948862651164E-2</v>
      </c>
      <c r="I6" s="53">
        <f t="shared" ref="I6:I8" si="0">G6/$G$2</f>
        <v>2.1566102533250903E-3</v>
      </c>
      <c r="J6" s="51"/>
      <c r="K6" s="54">
        <f t="shared" ref="K6:K8" si="1">E6</f>
        <v>205.45</v>
      </c>
      <c r="L6" s="54">
        <f>C6*K6</f>
        <v>243852.71400000001</v>
      </c>
      <c r="M6" s="54">
        <f>L6-G6</f>
        <v>0</v>
      </c>
      <c r="N6" s="75"/>
    </row>
    <row r="7" spans="1:14" x14ac:dyDescent="0.25">
      <c r="A7" s="74">
        <f>A6+1</f>
        <v>2</v>
      </c>
      <c r="B7" s="51" t="s">
        <v>134</v>
      </c>
      <c r="C7" s="52">
        <v>15825.6</v>
      </c>
      <c r="D7" s="52" t="s">
        <v>10</v>
      </c>
      <c r="E7" s="52">
        <v>307.95</v>
      </c>
      <c r="F7" s="52">
        <f>E7*(1+$F$9)</f>
        <v>307.95</v>
      </c>
      <c r="G7" s="52">
        <f t="shared" ref="G7:G8" si="2">C7*F7</f>
        <v>4873493.5199999996</v>
      </c>
      <c r="H7" s="53">
        <f t="shared" ref="H7:H8" si="3">G7/$G$5</f>
        <v>0.32334273073762798</v>
      </c>
      <c r="I7" s="53">
        <f t="shared" si="0"/>
        <v>4.3100714043089891E-2</v>
      </c>
      <c r="J7" s="51"/>
      <c r="K7" s="54">
        <f t="shared" si="1"/>
        <v>307.95</v>
      </c>
      <c r="L7" s="54">
        <f t="shared" ref="L7:L8" si="4">C7*K7</f>
        <v>4873493.5199999996</v>
      </c>
      <c r="M7" s="54">
        <f t="shared" ref="M7:M8" si="5">L7-G7</f>
        <v>0</v>
      </c>
      <c r="N7" s="75"/>
    </row>
    <row r="8" spans="1:14" x14ac:dyDescent="0.25">
      <c r="A8" s="74">
        <f t="shared" ref="A8" si="6">A7+1</f>
        <v>3</v>
      </c>
      <c r="B8" s="51" t="s">
        <v>135</v>
      </c>
      <c r="C8" s="52">
        <v>1186.92</v>
      </c>
      <c r="D8" s="52" t="s">
        <v>100</v>
      </c>
      <c r="E8" s="52">
        <v>8387.15</v>
      </c>
      <c r="F8" s="52">
        <f>E8*(1+$F$9)</f>
        <v>8387.15</v>
      </c>
      <c r="G8" s="52">
        <f t="shared" si="2"/>
        <v>9954876.0779999997</v>
      </c>
      <c r="H8" s="53">
        <f t="shared" si="3"/>
        <v>0.66047832053241518</v>
      </c>
      <c r="I8" s="53">
        <f t="shared" si="0"/>
        <v>8.803997900304468E-2</v>
      </c>
      <c r="J8" s="51"/>
      <c r="K8" s="54">
        <f t="shared" si="1"/>
        <v>8387.15</v>
      </c>
      <c r="L8" s="54">
        <f t="shared" si="4"/>
        <v>9954876.0779999997</v>
      </c>
      <c r="M8" s="54">
        <f t="shared" si="5"/>
        <v>0</v>
      </c>
      <c r="N8" s="75"/>
    </row>
    <row r="9" spans="1:14" x14ac:dyDescent="0.25">
      <c r="A9" s="74"/>
      <c r="B9" s="51" t="s">
        <v>113</v>
      </c>
      <c r="C9" s="52"/>
      <c r="D9" s="52"/>
      <c r="E9" s="52"/>
      <c r="F9" s="55">
        <v>0</v>
      </c>
      <c r="G9" s="52"/>
      <c r="H9" s="53"/>
      <c r="I9" s="53"/>
      <c r="J9" s="51"/>
      <c r="K9" s="54"/>
      <c r="L9" s="54"/>
      <c r="M9" s="54"/>
      <c r="N9" s="75"/>
    </row>
    <row r="10" spans="1:14" ht="14.4" thickBot="1" x14ac:dyDescent="0.3">
      <c r="A10" s="76"/>
      <c r="B10" s="77" t="s">
        <v>97</v>
      </c>
      <c r="C10" s="78"/>
      <c r="D10" s="78"/>
      <c r="E10" s="78"/>
      <c r="F10" s="78"/>
      <c r="G10" s="79">
        <f>SUM(G6:G8)</f>
        <v>15072222.311999999</v>
      </c>
      <c r="H10" s="80"/>
      <c r="I10" s="80"/>
      <c r="J10" s="81"/>
      <c r="K10" s="82"/>
      <c r="L10" s="83">
        <f>SUM(L6:L8)</f>
        <v>15072222.311999999</v>
      </c>
      <c r="M10" s="83">
        <f t="shared" ref="M10:M17" si="7">L10-G10</f>
        <v>0</v>
      </c>
      <c r="N10" s="84">
        <f>M10/L10*100</f>
        <v>0</v>
      </c>
    </row>
    <row r="11" spans="1:14" x14ac:dyDescent="0.25">
      <c r="L11" s="7">
        <f t="shared" ref="L11:L18" si="8">C11*K11</f>
        <v>0</v>
      </c>
      <c r="M11" s="7">
        <f t="shared" si="7"/>
        <v>0</v>
      </c>
    </row>
    <row r="12" spans="1:14" ht="14.4" thickBot="1" x14ac:dyDescent="0.3">
      <c r="I12" s="6">
        <f t="shared" ref="I12:I17" si="9">G12/$G$2</f>
        <v>0</v>
      </c>
      <c r="L12" s="7">
        <f t="shared" si="8"/>
        <v>0</v>
      </c>
      <c r="M12" s="7">
        <f t="shared" si="7"/>
        <v>0</v>
      </c>
    </row>
    <row r="13" spans="1:14" x14ac:dyDescent="0.25">
      <c r="A13" s="85"/>
      <c r="B13" s="86" t="s">
        <v>115</v>
      </c>
      <c r="C13" s="87"/>
      <c r="D13" s="87"/>
      <c r="E13" s="87"/>
      <c r="F13" s="87"/>
      <c r="G13" s="87">
        <v>3776736.36</v>
      </c>
      <c r="H13" s="88"/>
      <c r="I13" s="88"/>
      <c r="J13" s="89"/>
      <c r="K13" s="89"/>
      <c r="L13" s="90">
        <f t="shared" si="8"/>
        <v>0</v>
      </c>
      <c r="M13" s="90"/>
      <c r="N13" s="91"/>
    </row>
    <row r="14" spans="1:14" s="8" customFormat="1" x14ac:dyDescent="0.25">
      <c r="A14" s="92">
        <v>1</v>
      </c>
      <c r="B14" s="63" t="s">
        <v>131</v>
      </c>
      <c r="C14" s="64">
        <v>3</v>
      </c>
      <c r="D14" s="64" t="s">
        <v>132</v>
      </c>
      <c r="E14" s="64">
        <v>1258912.1200000001</v>
      </c>
      <c r="F14" s="64"/>
      <c r="G14" s="64">
        <f>C14*E14</f>
        <v>3776736.3600000003</v>
      </c>
      <c r="H14" s="65">
        <f>G14/$G$13</f>
        <v>1.0000000000000002</v>
      </c>
      <c r="I14" s="58">
        <f t="shared" si="9"/>
        <v>3.3401097836793729E-2</v>
      </c>
      <c r="J14" s="63"/>
      <c r="K14" s="66">
        <f>C3*1.18/1.28*350*20</f>
        <v>8068.7670531016756</v>
      </c>
      <c r="L14" s="59">
        <f>C14*K14</f>
        <v>24206.301159305025</v>
      </c>
      <c r="M14" s="59">
        <f t="shared" si="7"/>
        <v>-3752530.0588406953</v>
      </c>
      <c r="N14" s="93">
        <f>M14/L14*100</f>
        <v>-15502.28609544587</v>
      </c>
    </row>
    <row r="15" spans="1:14" s="8" customFormat="1" x14ac:dyDescent="0.25">
      <c r="A15" s="92"/>
      <c r="B15" s="63"/>
      <c r="C15" s="64"/>
      <c r="D15" s="64"/>
      <c r="E15" s="64"/>
      <c r="F15" s="64"/>
      <c r="G15" s="64"/>
      <c r="H15" s="65"/>
      <c r="I15" s="58"/>
      <c r="J15" s="63"/>
      <c r="K15" s="66"/>
      <c r="L15" s="59"/>
      <c r="M15" s="59"/>
      <c r="N15" s="93"/>
    </row>
    <row r="16" spans="1:14" x14ac:dyDescent="0.25">
      <c r="A16" s="94"/>
      <c r="B16" s="56" t="s">
        <v>113</v>
      </c>
      <c r="C16" s="57"/>
      <c r="D16" s="57"/>
      <c r="E16" s="57"/>
      <c r="F16" s="62">
        <v>0</v>
      </c>
      <c r="G16" s="60"/>
      <c r="H16" s="65"/>
      <c r="I16" s="58"/>
      <c r="J16" s="56"/>
      <c r="K16" s="56"/>
      <c r="L16" s="59"/>
      <c r="M16" s="59"/>
      <c r="N16" s="93"/>
    </row>
    <row r="17" spans="1:14" x14ac:dyDescent="0.25">
      <c r="A17" s="94"/>
      <c r="B17" s="61" t="s">
        <v>97</v>
      </c>
      <c r="C17" s="57"/>
      <c r="D17" s="57"/>
      <c r="E17" s="57"/>
      <c r="F17" s="57"/>
      <c r="G17" s="57">
        <v>3776736.36</v>
      </c>
      <c r="H17" s="58"/>
      <c r="I17" s="58">
        <f t="shared" si="9"/>
        <v>3.3401097836793722E-2</v>
      </c>
      <c r="J17" s="56"/>
      <c r="K17" s="56"/>
      <c r="L17" s="59">
        <f t="shared" si="8"/>
        <v>0</v>
      </c>
      <c r="M17" s="59">
        <f t="shared" si="7"/>
        <v>-3776736.36</v>
      </c>
      <c r="N17" s="93"/>
    </row>
    <row r="18" spans="1:14" x14ac:dyDescent="0.25">
      <c r="A18" s="95"/>
      <c r="B18" s="96"/>
      <c r="C18" s="97"/>
      <c r="D18" s="97"/>
      <c r="E18" s="97"/>
      <c r="F18" s="97"/>
      <c r="G18" s="97"/>
      <c r="H18" s="98"/>
      <c r="I18" s="98"/>
      <c r="J18" s="96"/>
      <c r="K18" s="96"/>
      <c r="L18" s="99">
        <f t="shared" si="8"/>
        <v>0</v>
      </c>
      <c r="M18" s="99"/>
      <c r="N18" s="100"/>
    </row>
    <row r="19" spans="1:14" x14ac:dyDescent="0.25">
      <c r="A19" s="94"/>
      <c r="B19" s="56"/>
      <c r="C19" s="57"/>
      <c r="D19" s="57"/>
      <c r="E19" s="57"/>
      <c r="F19" s="57"/>
      <c r="G19" s="57"/>
      <c r="H19" s="58"/>
      <c r="I19" s="58"/>
      <c r="J19" s="56"/>
      <c r="K19" s="56"/>
      <c r="L19" s="56"/>
      <c r="M19" s="56"/>
      <c r="N19" s="93"/>
    </row>
    <row r="20" spans="1:14" ht="14.4" thickBot="1" x14ac:dyDescent="0.3">
      <c r="A20" s="101"/>
      <c r="B20" s="102" t="s">
        <v>99</v>
      </c>
      <c r="C20" s="103"/>
      <c r="D20" s="103"/>
      <c r="E20" s="103"/>
      <c r="F20" s="103"/>
      <c r="G20" s="104">
        <f>G10</f>
        <v>15072222.311999999</v>
      </c>
      <c r="H20" s="105"/>
      <c r="I20" s="105"/>
      <c r="J20" s="106"/>
      <c r="K20" s="106"/>
      <c r="L20" s="107">
        <f>L10</f>
        <v>15072222.311999999</v>
      </c>
      <c r="M20" s="108"/>
      <c r="N20" s="109"/>
    </row>
    <row r="24" spans="1:14" ht="55.2" x14ac:dyDescent="0.25">
      <c r="F24" s="4" t="s">
        <v>125</v>
      </c>
      <c r="G24" s="4" t="s">
        <v>124</v>
      </c>
      <c r="H24" s="6" t="s">
        <v>123</v>
      </c>
      <c r="I24" s="6" t="s">
        <v>126</v>
      </c>
      <c r="L24" s="1" t="s">
        <v>127</v>
      </c>
      <c r="M24" s="1" t="s">
        <v>128</v>
      </c>
    </row>
    <row r="25" spans="1:14" x14ac:dyDescent="0.25">
      <c r="B25" s="1" t="s">
        <v>115</v>
      </c>
      <c r="F25" s="4">
        <f>G25</f>
        <v>15072222.311999999</v>
      </c>
      <c r="G25" s="4">
        <f>G10</f>
        <v>15072222.311999999</v>
      </c>
      <c r="H25" s="7">
        <f>L10</f>
        <v>15072222.311999999</v>
      </c>
      <c r="I25" s="7">
        <f>F25</f>
        <v>15072222.311999999</v>
      </c>
      <c r="J25" s="6">
        <v>-0.23330000000000001</v>
      </c>
      <c r="K25" s="7">
        <f>G25*(1+J25)</f>
        <v>11555872.846610399</v>
      </c>
      <c r="L25" s="48">
        <f>(H25-G25)/G25</f>
        <v>0</v>
      </c>
      <c r="M25" s="7">
        <f>G25*(1+L25)</f>
        <v>15072222.311999999</v>
      </c>
    </row>
    <row r="28" spans="1:14" x14ac:dyDescent="0.25">
      <c r="B28" s="1" t="s">
        <v>116</v>
      </c>
    </row>
    <row r="30" spans="1:14" ht="16.5" customHeight="1" x14ac:dyDescent="0.25">
      <c r="B30" s="1" t="s">
        <v>117</v>
      </c>
      <c r="C30" s="4" t="s">
        <v>9</v>
      </c>
      <c r="D30" s="4" t="s">
        <v>121</v>
      </c>
      <c r="E30" s="4" t="s">
        <v>118</v>
      </c>
      <c r="F30" s="4" t="s">
        <v>4</v>
      </c>
    </row>
    <row r="31" spans="1:14" x14ac:dyDescent="0.25">
      <c r="A31" s="1">
        <v>1</v>
      </c>
      <c r="B31" s="1" t="s">
        <v>119</v>
      </c>
      <c r="C31" s="4" t="s">
        <v>120</v>
      </c>
      <c r="D31" s="4">
        <v>3</v>
      </c>
      <c r="F31" s="4">
        <f>E31*D31</f>
        <v>0</v>
      </c>
    </row>
    <row r="32" spans="1:14" x14ac:dyDescent="0.25">
      <c r="A32" s="1">
        <v>2</v>
      </c>
      <c r="B32" s="1" t="s">
        <v>122</v>
      </c>
      <c r="F32" s="4">
        <f t="shared" ref="F32" si="10">E32*D32</f>
        <v>0</v>
      </c>
    </row>
    <row r="50" spans="6:6" x14ac:dyDescent="0.25">
      <c r="F50" s="4" t="e">
        <f>G10+#REF!+#REF!+G14+#REF!+#REF!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95"/>
  <sheetViews>
    <sheetView topLeftCell="A5" workbookViewId="0">
      <selection activeCell="C26" sqref="C26"/>
    </sheetView>
  </sheetViews>
  <sheetFormatPr defaultColWidth="8.6640625" defaultRowHeight="13.8" x14ac:dyDescent="0.25"/>
  <cols>
    <col min="1" max="1" width="6" style="10" customWidth="1"/>
    <col min="2" max="2" width="34.6640625" style="10" customWidth="1"/>
    <col min="3" max="3" width="13.88671875" style="11" customWidth="1"/>
    <col min="4" max="4" width="28.88671875" style="11" customWidth="1"/>
    <col min="5" max="5" width="13.44140625" style="11" customWidth="1"/>
    <col min="6" max="6" width="18" style="11" bestFit="1" customWidth="1"/>
    <col min="7" max="7" width="34.6640625" style="10" customWidth="1"/>
    <col min="8" max="16384" width="8.6640625" style="10"/>
  </cols>
  <sheetData>
    <row r="4" spans="1:7" ht="14.4" thickBot="1" x14ac:dyDescent="0.3"/>
    <row r="5" spans="1:7" s="16" customFormat="1" ht="14.4" thickTop="1" x14ac:dyDescent="0.25">
      <c r="A5" s="12" t="s">
        <v>14</v>
      </c>
      <c r="B5" s="12" t="s">
        <v>15</v>
      </c>
      <c r="C5" s="13" t="s">
        <v>16</v>
      </c>
      <c r="D5" s="13" t="s">
        <v>17</v>
      </c>
      <c r="E5" s="14"/>
      <c r="F5" s="15" t="s">
        <v>18</v>
      </c>
      <c r="G5" s="16" t="s">
        <v>19</v>
      </c>
    </row>
    <row r="6" spans="1:7" x14ac:dyDescent="0.25">
      <c r="A6" s="17"/>
      <c r="B6" s="17"/>
      <c r="C6" s="18"/>
      <c r="D6" s="18"/>
      <c r="E6" s="19"/>
    </row>
    <row r="7" spans="1:7" x14ac:dyDescent="0.25">
      <c r="A7" s="17">
        <v>1</v>
      </c>
      <c r="B7" s="17" t="s">
        <v>20</v>
      </c>
      <c r="C7" s="11">
        <v>2</v>
      </c>
      <c r="D7" s="18" t="s">
        <v>21</v>
      </c>
      <c r="E7" s="19"/>
      <c r="F7" s="19"/>
    </row>
    <row r="8" spans="1:7" x14ac:dyDescent="0.25">
      <c r="A8" s="17"/>
      <c r="B8" s="17" t="s">
        <v>22</v>
      </c>
      <c r="C8" s="11">
        <v>0.5</v>
      </c>
      <c r="D8" s="18"/>
      <c r="E8" s="19"/>
      <c r="F8" s="19"/>
    </row>
    <row r="9" spans="1:7" x14ac:dyDescent="0.25">
      <c r="A9" s="17">
        <f>A7+1</f>
        <v>2</v>
      </c>
      <c r="B9" s="17" t="s">
        <v>23</v>
      </c>
      <c r="D9" s="18"/>
      <c r="E9" s="19"/>
      <c r="F9" s="19"/>
    </row>
    <row r="10" spans="1:7" x14ac:dyDescent="0.25">
      <c r="A10" s="17">
        <f>A9+1</f>
        <v>3</v>
      </c>
      <c r="B10" s="20" t="s">
        <v>24</v>
      </c>
      <c r="C10" s="21">
        <v>0.27</v>
      </c>
      <c r="D10" s="18"/>
      <c r="E10" s="19"/>
      <c r="F10" s="22"/>
    </row>
    <row r="11" spans="1:7" x14ac:dyDescent="0.25">
      <c r="A11" s="17">
        <f t="shared" ref="A11:A23" si="0">A10+1</f>
        <v>4</v>
      </c>
      <c r="B11" s="20" t="s">
        <v>25</v>
      </c>
      <c r="C11" s="21"/>
      <c r="D11" s="18"/>
      <c r="E11" s="19"/>
      <c r="F11" s="22"/>
    </row>
    <row r="12" spans="1:7" x14ac:dyDescent="0.25">
      <c r="A12" s="17">
        <f t="shared" si="0"/>
        <v>5</v>
      </c>
      <c r="B12" s="17" t="s">
        <v>26</v>
      </c>
      <c r="C12" s="21">
        <v>0.1</v>
      </c>
      <c r="D12" s="18"/>
      <c r="E12" s="19"/>
      <c r="F12" s="22"/>
    </row>
    <row r="13" spans="1:7" x14ac:dyDescent="0.25">
      <c r="A13" s="17">
        <f t="shared" si="0"/>
        <v>6</v>
      </c>
      <c r="B13" s="17" t="s">
        <v>27</v>
      </c>
      <c r="C13" s="21">
        <v>1</v>
      </c>
      <c r="D13" s="18"/>
      <c r="E13" s="19"/>
      <c r="F13" s="22"/>
    </row>
    <row r="14" spans="1:7" ht="15.9" customHeight="1" x14ac:dyDescent="0.25">
      <c r="A14" s="23">
        <f t="shared" si="0"/>
        <v>7</v>
      </c>
      <c r="B14" s="24" t="s">
        <v>28</v>
      </c>
      <c r="C14" s="25">
        <v>2</v>
      </c>
      <c r="D14" s="26"/>
      <c r="E14" s="27"/>
      <c r="F14" s="28"/>
    </row>
    <row r="15" spans="1:7" x14ac:dyDescent="0.25">
      <c r="A15" s="17">
        <f t="shared" si="0"/>
        <v>8</v>
      </c>
      <c r="B15" s="17" t="s">
        <v>29</v>
      </c>
      <c r="C15" s="11">
        <v>0.15</v>
      </c>
      <c r="D15" s="18"/>
      <c r="E15" s="19"/>
      <c r="F15" s="19"/>
    </row>
    <row r="16" spans="1:7" x14ac:dyDescent="0.25">
      <c r="A16" s="17">
        <f t="shared" si="0"/>
        <v>9</v>
      </c>
      <c r="B16" s="17" t="s">
        <v>30</v>
      </c>
      <c r="C16" s="11">
        <v>0</v>
      </c>
      <c r="D16" s="18"/>
      <c r="E16" s="19"/>
      <c r="F16" s="19"/>
    </row>
    <row r="17" spans="1:7" x14ac:dyDescent="0.25">
      <c r="A17" s="17">
        <f t="shared" si="0"/>
        <v>10</v>
      </c>
      <c r="B17" s="17" t="s">
        <v>31</v>
      </c>
      <c r="C17" s="11">
        <v>7</v>
      </c>
      <c r="D17" s="18"/>
      <c r="E17" s="19"/>
      <c r="F17" s="19"/>
    </row>
    <row r="18" spans="1:7" x14ac:dyDescent="0.25">
      <c r="A18" s="17">
        <f t="shared" si="0"/>
        <v>11</v>
      </c>
      <c r="B18" s="17" t="s">
        <v>32</v>
      </c>
      <c r="C18" s="11">
        <v>0.25</v>
      </c>
      <c r="D18" s="18"/>
      <c r="E18" s="19"/>
      <c r="F18" s="19"/>
    </row>
    <row r="19" spans="1:7" x14ac:dyDescent="0.25">
      <c r="A19" s="17"/>
      <c r="B19" s="17" t="s">
        <v>33</v>
      </c>
      <c r="D19" s="18"/>
      <c r="E19" s="19"/>
      <c r="F19" s="19"/>
    </row>
    <row r="20" spans="1:7" x14ac:dyDescent="0.25">
      <c r="A20" s="17"/>
      <c r="B20" s="17" t="s">
        <v>34</v>
      </c>
      <c r="C20" s="11">
        <v>0</v>
      </c>
      <c r="D20" s="18"/>
      <c r="E20" s="19"/>
      <c r="F20" s="19"/>
    </row>
    <row r="21" spans="1:7" x14ac:dyDescent="0.25">
      <c r="A21" s="17"/>
      <c r="B21" s="17" t="s">
        <v>35</v>
      </c>
      <c r="D21" s="18" t="s">
        <v>36</v>
      </c>
      <c r="E21" s="19"/>
      <c r="F21" s="19"/>
    </row>
    <row r="22" spans="1:7" x14ac:dyDescent="0.25">
      <c r="A22" s="17">
        <f>A18+1</f>
        <v>12</v>
      </c>
      <c r="B22" s="17" t="s">
        <v>37</v>
      </c>
      <c r="C22" s="11">
        <v>0</v>
      </c>
      <c r="D22" s="18"/>
      <c r="E22" s="19"/>
      <c r="F22" s="19"/>
    </row>
    <row r="23" spans="1:7" x14ac:dyDescent="0.25">
      <c r="A23" s="17">
        <f t="shared" si="0"/>
        <v>13</v>
      </c>
      <c r="B23" s="17" t="s">
        <v>38</v>
      </c>
      <c r="C23" s="11">
        <v>5</v>
      </c>
      <c r="D23" s="18"/>
      <c r="E23" s="19"/>
      <c r="F23" s="19"/>
    </row>
    <row r="24" spans="1:7" x14ac:dyDescent="0.25">
      <c r="A24" s="17"/>
      <c r="B24" s="17"/>
      <c r="D24" s="18"/>
      <c r="E24" s="19"/>
      <c r="F24" s="19"/>
    </row>
    <row r="25" spans="1:7" x14ac:dyDescent="0.25">
      <c r="A25" s="17"/>
      <c r="B25" s="29"/>
      <c r="C25" s="11">
        <f>SUM(C7:C24)</f>
        <v>18.27</v>
      </c>
      <c r="D25" s="18"/>
      <c r="E25" s="19"/>
      <c r="F25" s="19"/>
    </row>
    <row r="26" spans="1:7" s="33" customFormat="1" x14ac:dyDescent="0.25">
      <c r="A26" s="29"/>
      <c r="B26" s="29" t="s">
        <v>39</v>
      </c>
      <c r="C26" s="30">
        <f>SUM(C7:C24)</f>
        <v>18.27</v>
      </c>
      <c r="D26" s="31"/>
      <c r="E26" s="32"/>
      <c r="F26" s="32"/>
    </row>
    <row r="27" spans="1:7" s="40" customFormat="1" ht="18" thickBot="1" x14ac:dyDescent="0.35">
      <c r="A27" s="34"/>
      <c r="B27" s="35" t="s">
        <v>40</v>
      </c>
      <c r="C27" s="36">
        <f>(1/(1-C26/100)-1)*1.12</f>
        <v>0.25036583873730578</v>
      </c>
      <c r="D27" s="37"/>
      <c r="E27" s="38"/>
      <c r="F27" s="39"/>
    </row>
    <row r="28" spans="1:7" ht="14.4" thickTop="1" x14ac:dyDescent="0.25"/>
    <row r="32" spans="1:7" s="41" customFormat="1" ht="27.6" x14ac:dyDescent="0.3">
      <c r="B32" s="41" t="s">
        <v>41</v>
      </c>
      <c r="C32" s="41" t="s">
        <v>11</v>
      </c>
      <c r="D32" s="42" t="s">
        <v>42</v>
      </c>
      <c r="E32" s="42" t="s">
        <v>43</v>
      </c>
      <c r="F32" s="42" t="s">
        <v>44</v>
      </c>
      <c r="G32" s="41" t="s">
        <v>7</v>
      </c>
    </row>
    <row r="33" spans="2:6" x14ac:dyDescent="0.25">
      <c r="B33" s="33" t="s">
        <v>45</v>
      </c>
    </row>
    <row r="34" spans="2:6" x14ac:dyDescent="0.25">
      <c r="B34" s="10" t="s">
        <v>46</v>
      </c>
      <c r="C34" s="11">
        <v>1</v>
      </c>
      <c r="D34" s="11">
        <v>400000</v>
      </c>
      <c r="E34" s="11">
        <v>24</v>
      </c>
      <c r="F34" s="11">
        <f>C34*D34*E34</f>
        <v>9600000</v>
      </c>
    </row>
    <row r="35" spans="2:6" x14ac:dyDescent="0.25">
      <c r="B35" s="10" t="s">
        <v>47</v>
      </c>
      <c r="C35" s="11">
        <v>3</v>
      </c>
      <c r="D35" s="11">
        <v>200000</v>
      </c>
      <c r="E35" s="11">
        <v>18</v>
      </c>
      <c r="F35" s="11">
        <f t="shared" ref="F35:F50" si="1">C35*D35*E35</f>
        <v>10800000</v>
      </c>
    </row>
    <row r="36" spans="2:6" x14ac:dyDescent="0.25">
      <c r="B36" s="10" t="s">
        <v>48</v>
      </c>
      <c r="C36" s="11">
        <v>10</v>
      </c>
      <c r="D36" s="11">
        <v>50000</v>
      </c>
      <c r="E36" s="11">
        <v>18</v>
      </c>
      <c r="F36" s="11">
        <f t="shared" si="1"/>
        <v>9000000</v>
      </c>
    </row>
    <row r="37" spans="2:6" x14ac:dyDescent="0.25">
      <c r="B37" s="10" t="s">
        <v>49</v>
      </c>
      <c r="C37" s="11">
        <v>10</v>
      </c>
      <c r="D37" s="11">
        <v>35000</v>
      </c>
      <c r="E37" s="11">
        <v>18</v>
      </c>
      <c r="F37" s="11">
        <f t="shared" si="1"/>
        <v>6300000</v>
      </c>
    </row>
    <row r="38" spans="2:6" x14ac:dyDescent="0.25">
      <c r="B38" s="10" t="s">
        <v>50</v>
      </c>
      <c r="C38" s="11">
        <v>2</v>
      </c>
      <c r="D38" s="11">
        <v>60000</v>
      </c>
      <c r="E38" s="11">
        <v>24</v>
      </c>
      <c r="F38" s="11">
        <f t="shared" si="1"/>
        <v>2880000</v>
      </c>
    </row>
    <row r="39" spans="2:6" x14ac:dyDescent="0.25">
      <c r="B39" s="10" t="s">
        <v>51</v>
      </c>
      <c r="C39" s="11">
        <v>6</v>
      </c>
      <c r="D39" s="11">
        <v>40000</v>
      </c>
      <c r="E39" s="11">
        <v>24</v>
      </c>
      <c r="F39" s="11">
        <f t="shared" si="1"/>
        <v>5760000</v>
      </c>
    </row>
    <row r="40" spans="2:6" x14ac:dyDescent="0.25">
      <c r="B40" s="10" t="s">
        <v>52</v>
      </c>
      <c r="C40" s="11">
        <v>1</v>
      </c>
      <c r="D40" s="11">
        <v>60000</v>
      </c>
      <c r="E40" s="11">
        <v>20</v>
      </c>
      <c r="F40" s="11">
        <f t="shared" si="1"/>
        <v>1200000</v>
      </c>
    </row>
    <row r="41" spans="2:6" x14ac:dyDescent="0.25">
      <c r="B41" s="10" t="s">
        <v>53</v>
      </c>
      <c r="C41" s="11">
        <v>2</v>
      </c>
      <c r="D41" s="11">
        <v>40000</v>
      </c>
      <c r="E41" s="11">
        <v>18</v>
      </c>
      <c r="F41" s="11">
        <f t="shared" si="1"/>
        <v>1440000</v>
      </c>
    </row>
    <row r="42" spans="2:6" x14ac:dyDescent="0.25">
      <c r="B42" s="10" t="s">
        <v>54</v>
      </c>
      <c r="C42" s="11">
        <v>1</v>
      </c>
      <c r="D42" s="11">
        <v>50000</v>
      </c>
      <c r="E42" s="11">
        <v>18</v>
      </c>
      <c r="F42" s="11">
        <f t="shared" si="1"/>
        <v>900000</v>
      </c>
    </row>
    <row r="43" spans="2:6" x14ac:dyDescent="0.25">
      <c r="B43" s="10" t="s">
        <v>55</v>
      </c>
      <c r="C43" s="11">
        <v>1</v>
      </c>
      <c r="D43" s="11">
        <v>100000</v>
      </c>
      <c r="E43" s="11">
        <v>18</v>
      </c>
      <c r="F43" s="11">
        <f t="shared" si="1"/>
        <v>1800000</v>
      </c>
    </row>
    <row r="44" spans="2:6" x14ac:dyDescent="0.25">
      <c r="B44" s="10" t="s">
        <v>56</v>
      </c>
      <c r="C44" s="11">
        <v>3</v>
      </c>
      <c r="D44" s="11">
        <v>60000</v>
      </c>
      <c r="E44" s="11">
        <v>18</v>
      </c>
      <c r="F44" s="11">
        <f t="shared" si="1"/>
        <v>3240000</v>
      </c>
    </row>
    <row r="45" spans="2:6" x14ac:dyDescent="0.25">
      <c r="B45" s="10" t="s">
        <v>57</v>
      </c>
      <c r="C45" s="11">
        <v>2</v>
      </c>
      <c r="D45" s="11">
        <v>50000</v>
      </c>
      <c r="E45" s="11">
        <v>18</v>
      </c>
      <c r="F45" s="11">
        <f t="shared" si="1"/>
        <v>1800000</v>
      </c>
    </row>
    <row r="46" spans="2:6" x14ac:dyDescent="0.25">
      <c r="F46" s="11">
        <f t="shared" si="1"/>
        <v>0</v>
      </c>
    </row>
    <row r="47" spans="2:6" x14ac:dyDescent="0.25">
      <c r="F47" s="11">
        <f t="shared" si="1"/>
        <v>0</v>
      </c>
    </row>
    <row r="48" spans="2:6" x14ac:dyDescent="0.25">
      <c r="F48" s="11">
        <f t="shared" si="1"/>
        <v>0</v>
      </c>
    </row>
    <row r="49" spans="2:6" x14ac:dyDescent="0.25">
      <c r="B49" s="10" t="s">
        <v>58</v>
      </c>
      <c r="C49" s="11">
        <v>25</v>
      </c>
      <c r="D49" s="11">
        <v>20000</v>
      </c>
      <c r="E49" s="11">
        <v>18</v>
      </c>
      <c r="F49" s="11">
        <f t="shared" si="1"/>
        <v>9000000</v>
      </c>
    </row>
    <row r="50" spans="2:6" x14ac:dyDescent="0.25">
      <c r="B50" s="10" t="s">
        <v>59</v>
      </c>
      <c r="C50" s="11">
        <v>36</v>
      </c>
      <c r="D50" s="11">
        <v>30000</v>
      </c>
      <c r="E50" s="11">
        <v>20</v>
      </c>
      <c r="F50" s="11">
        <f t="shared" si="1"/>
        <v>21600000</v>
      </c>
    </row>
    <row r="51" spans="2:6" x14ac:dyDescent="0.25">
      <c r="F51" s="11">
        <f t="shared" ref="F51" si="2">D51*E51</f>
        <v>0</v>
      </c>
    </row>
    <row r="52" spans="2:6" x14ac:dyDescent="0.25">
      <c r="B52" s="33" t="s">
        <v>60</v>
      </c>
      <c r="F52" s="11">
        <f>SUM(F34:F51)</f>
        <v>85320000</v>
      </c>
    </row>
    <row r="53" spans="2:6" x14ac:dyDescent="0.25">
      <c r="B53" s="10" t="s">
        <v>61</v>
      </c>
      <c r="C53" s="11" t="s">
        <v>62</v>
      </c>
      <c r="D53" s="11">
        <v>1000000</v>
      </c>
      <c r="E53" s="11">
        <v>18</v>
      </c>
      <c r="F53" s="11">
        <f>D53*E53</f>
        <v>18000000</v>
      </c>
    </row>
    <row r="55" spans="2:6" x14ac:dyDescent="0.25">
      <c r="B55" s="33" t="s">
        <v>60</v>
      </c>
      <c r="F55" s="11">
        <f>SUM(F52:F54)</f>
        <v>103320000</v>
      </c>
    </row>
    <row r="57" spans="2:6" x14ac:dyDescent="0.25">
      <c r="B57" s="33" t="s">
        <v>63</v>
      </c>
    </row>
    <row r="58" spans="2:6" x14ac:dyDescent="0.25">
      <c r="B58" s="10" t="s">
        <v>64</v>
      </c>
      <c r="C58" s="11">
        <v>1</v>
      </c>
      <c r="D58" s="11">
        <v>600000</v>
      </c>
      <c r="E58" s="11" t="s">
        <v>65</v>
      </c>
      <c r="F58" s="11">
        <f>C58*D58</f>
        <v>600000</v>
      </c>
    </row>
    <row r="59" spans="2:6" x14ac:dyDescent="0.25">
      <c r="B59" s="10" t="s">
        <v>66</v>
      </c>
      <c r="C59" s="11" t="s">
        <v>62</v>
      </c>
      <c r="D59" s="11">
        <v>2500000</v>
      </c>
      <c r="E59" s="11" t="s">
        <v>65</v>
      </c>
      <c r="F59" s="11">
        <f>D59</f>
        <v>2500000</v>
      </c>
    </row>
    <row r="60" spans="2:6" x14ac:dyDescent="0.25">
      <c r="B60" s="10" t="s">
        <v>67</v>
      </c>
      <c r="C60" s="11" t="s">
        <v>62</v>
      </c>
      <c r="D60" s="11">
        <v>1500000</v>
      </c>
      <c r="E60" s="11" t="s">
        <v>65</v>
      </c>
      <c r="F60" s="11">
        <f>D60</f>
        <v>1500000</v>
      </c>
    </row>
    <row r="61" spans="2:6" x14ac:dyDescent="0.25">
      <c r="B61" s="10" t="s">
        <v>68</v>
      </c>
      <c r="C61" s="11" t="s">
        <v>62</v>
      </c>
      <c r="D61" s="11">
        <v>750000</v>
      </c>
      <c r="E61" s="11" t="s">
        <v>65</v>
      </c>
      <c r="F61" s="11">
        <f>D61</f>
        <v>750000</v>
      </c>
    </row>
    <row r="62" spans="2:6" x14ac:dyDescent="0.25">
      <c r="B62" s="10" t="s">
        <v>69</v>
      </c>
      <c r="C62" s="11">
        <f>C34+C35+(C36+C37+C38+C39+C40+C41+C42+C43*2+C44*2+C45*2)/4</f>
        <v>15</v>
      </c>
      <c r="D62" s="11">
        <v>10000</v>
      </c>
      <c r="E62" s="11">
        <v>18</v>
      </c>
      <c r="F62" s="11">
        <f>C62*D62*E62</f>
        <v>2700000</v>
      </c>
    </row>
    <row r="63" spans="2:6" x14ac:dyDescent="0.25">
      <c r="B63" s="10" t="s">
        <v>70</v>
      </c>
      <c r="C63" s="11">
        <v>1</v>
      </c>
      <c r="D63" s="11">
        <v>150000</v>
      </c>
      <c r="E63" s="11">
        <v>18</v>
      </c>
      <c r="F63" s="11">
        <f>C63*D63*E63</f>
        <v>2700000</v>
      </c>
    </row>
    <row r="64" spans="2:6" x14ac:dyDescent="0.25">
      <c r="B64" s="10" t="s">
        <v>71</v>
      </c>
      <c r="C64" s="11">
        <v>3</v>
      </c>
      <c r="D64" s="11">
        <v>60000</v>
      </c>
      <c r="E64" s="11">
        <v>18</v>
      </c>
      <c r="F64" s="11">
        <f t="shared" ref="F64:F83" si="3">C64*D64*E64</f>
        <v>3240000</v>
      </c>
    </row>
    <row r="65" spans="2:7" x14ac:dyDescent="0.25">
      <c r="B65" s="10" t="s">
        <v>72</v>
      </c>
      <c r="C65" s="11">
        <v>6</v>
      </c>
      <c r="D65" s="11">
        <v>60000</v>
      </c>
      <c r="E65" s="11">
        <v>18</v>
      </c>
      <c r="F65" s="11">
        <f t="shared" si="3"/>
        <v>6480000</v>
      </c>
    </row>
    <row r="66" spans="2:7" x14ac:dyDescent="0.25">
      <c r="B66" s="10" t="s">
        <v>73</v>
      </c>
      <c r="C66" s="11">
        <v>15</v>
      </c>
      <c r="D66" s="11">
        <v>95000</v>
      </c>
      <c r="E66" s="11">
        <v>1</v>
      </c>
      <c r="F66" s="11">
        <f t="shared" si="3"/>
        <v>1425000</v>
      </c>
    </row>
    <row r="67" spans="2:7" x14ac:dyDescent="0.25">
      <c r="B67" s="10" t="s">
        <v>74</v>
      </c>
      <c r="C67" s="11">
        <v>15</v>
      </c>
      <c r="D67" s="11">
        <v>3000</v>
      </c>
      <c r="E67" s="11">
        <v>18</v>
      </c>
      <c r="F67" s="11">
        <f t="shared" si="3"/>
        <v>810000</v>
      </c>
    </row>
    <row r="68" spans="2:7" x14ac:dyDescent="0.25">
      <c r="B68" s="10" t="s">
        <v>75</v>
      </c>
      <c r="C68" s="11">
        <v>2</v>
      </c>
      <c r="D68" s="11">
        <v>150000</v>
      </c>
      <c r="E68" s="11">
        <v>18</v>
      </c>
      <c r="F68" s="11">
        <f t="shared" si="3"/>
        <v>5400000</v>
      </c>
    </row>
    <row r="69" spans="2:7" x14ac:dyDescent="0.25">
      <c r="B69" s="10" t="s">
        <v>76</v>
      </c>
      <c r="C69" s="11">
        <v>1</v>
      </c>
      <c r="D69" s="11">
        <v>175000</v>
      </c>
      <c r="E69" s="11">
        <v>18</v>
      </c>
      <c r="F69" s="11">
        <f t="shared" si="3"/>
        <v>3150000</v>
      </c>
    </row>
    <row r="70" spans="2:7" x14ac:dyDescent="0.25">
      <c r="B70" s="10" t="s">
        <v>77</v>
      </c>
      <c r="C70" s="11">
        <v>6</v>
      </c>
      <c r="D70" s="11">
        <v>70000</v>
      </c>
      <c r="E70" s="11">
        <v>18</v>
      </c>
      <c r="F70" s="11">
        <f t="shared" si="3"/>
        <v>7560000</v>
      </c>
    </row>
    <row r="71" spans="2:7" x14ac:dyDescent="0.25">
      <c r="B71" s="10" t="s">
        <v>78</v>
      </c>
      <c r="C71" s="11">
        <v>4</v>
      </c>
      <c r="D71" s="11">
        <v>100000</v>
      </c>
      <c r="E71" s="11">
        <v>18</v>
      </c>
      <c r="F71" s="11">
        <f t="shared" si="3"/>
        <v>7200000</v>
      </c>
    </row>
    <row r="72" spans="2:7" x14ac:dyDescent="0.25">
      <c r="B72" s="10" t="s">
        <v>79</v>
      </c>
      <c r="C72" s="11">
        <v>3</v>
      </c>
      <c r="D72" s="11">
        <v>125000</v>
      </c>
      <c r="E72" s="11">
        <v>18</v>
      </c>
      <c r="F72" s="11">
        <f t="shared" si="3"/>
        <v>6750000</v>
      </c>
    </row>
    <row r="73" spans="2:7" x14ac:dyDescent="0.25">
      <c r="B73" s="10" t="s">
        <v>80</v>
      </c>
      <c r="C73" s="11">
        <v>3</v>
      </c>
      <c r="D73" s="11">
        <v>75000</v>
      </c>
      <c r="E73" s="11">
        <v>18</v>
      </c>
      <c r="F73" s="11">
        <f t="shared" si="3"/>
        <v>4050000</v>
      </c>
    </row>
    <row r="74" spans="2:7" x14ac:dyDescent="0.25">
      <c r="B74" s="10" t="s">
        <v>81</v>
      </c>
      <c r="C74" s="11">
        <v>2</v>
      </c>
      <c r="D74" s="11">
        <v>300000</v>
      </c>
      <c r="E74" s="11">
        <v>15</v>
      </c>
      <c r="F74" s="11">
        <f t="shared" si="3"/>
        <v>9000000</v>
      </c>
    </row>
    <row r="75" spans="2:7" x14ac:dyDescent="0.25">
      <c r="B75" s="10" t="s">
        <v>82</v>
      </c>
      <c r="C75" s="11">
        <v>10</v>
      </c>
      <c r="D75" s="11">
        <v>100000</v>
      </c>
      <c r="E75" s="11">
        <v>1</v>
      </c>
      <c r="F75" s="11">
        <f t="shared" si="3"/>
        <v>1000000</v>
      </c>
    </row>
    <row r="76" spans="2:7" x14ac:dyDescent="0.25">
      <c r="B76" s="10" t="s">
        <v>83</v>
      </c>
      <c r="C76" s="11">
        <v>1</v>
      </c>
      <c r="D76" s="11">
        <v>100000</v>
      </c>
      <c r="E76" s="11">
        <v>18</v>
      </c>
      <c r="F76" s="11">
        <f t="shared" si="3"/>
        <v>1800000</v>
      </c>
    </row>
    <row r="77" spans="2:7" ht="14.4" x14ac:dyDescent="0.3">
      <c r="B77" s="10" t="s">
        <v>84</v>
      </c>
      <c r="C77" s="11">
        <f>200*30</f>
        <v>6000</v>
      </c>
      <c r="D77" s="11">
        <v>100</v>
      </c>
      <c r="E77" s="11">
        <v>18</v>
      </c>
      <c r="F77" s="11">
        <f t="shared" si="3"/>
        <v>10800000</v>
      </c>
      <c r="G77" s="43" t="s">
        <v>85</v>
      </c>
    </row>
    <row r="78" spans="2:7" ht="14.4" x14ac:dyDescent="0.3">
      <c r="B78" s="10" t="s">
        <v>86</v>
      </c>
      <c r="C78" s="11">
        <v>1</v>
      </c>
      <c r="D78" s="11">
        <v>200000</v>
      </c>
      <c r="E78" s="11">
        <v>1</v>
      </c>
      <c r="F78" s="11">
        <f t="shared" si="3"/>
        <v>200000</v>
      </c>
      <c r="G78" s="43"/>
    </row>
    <row r="79" spans="2:7" ht="14.4" x14ac:dyDescent="0.3">
      <c r="B79" s="10" t="s">
        <v>87</v>
      </c>
      <c r="C79" s="11">
        <v>1</v>
      </c>
      <c r="D79" s="11">
        <v>200000</v>
      </c>
      <c r="E79" s="11">
        <v>18</v>
      </c>
      <c r="F79" s="11">
        <f t="shared" si="3"/>
        <v>3600000</v>
      </c>
      <c r="G79" s="43"/>
    </row>
    <row r="80" spans="2:7" x14ac:dyDescent="0.25">
      <c r="F80" s="11">
        <f t="shared" si="3"/>
        <v>0</v>
      </c>
    </row>
    <row r="81" spans="2:7" x14ac:dyDescent="0.25">
      <c r="B81" s="10" t="s">
        <v>88</v>
      </c>
      <c r="C81" s="11">
        <v>8</v>
      </c>
      <c r="D81" s="11">
        <v>75000</v>
      </c>
      <c r="E81" s="11">
        <v>18</v>
      </c>
      <c r="F81" s="11">
        <f t="shared" si="3"/>
        <v>10800000</v>
      </c>
    </row>
    <row r="82" spans="2:7" x14ac:dyDescent="0.25">
      <c r="B82" s="10" t="s">
        <v>89</v>
      </c>
      <c r="C82" s="11">
        <v>1</v>
      </c>
      <c r="D82" s="11">
        <v>2000000</v>
      </c>
      <c r="E82" s="11">
        <v>1</v>
      </c>
      <c r="F82" s="11">
        <f t="shared" si="3"/>
        <v>2000000</v>
      </c>
    </row>
    <row r="83" spans="2:7" x14ac:dyDescent="0.25">
      <c r="B83" s="10" t="s">
        <v>90</v>
      </c>
      <c r="C83" s="11">
        <v>1</v>
      </c>
      <c r="D83" s="11">
        <v>100000</v>
      </c>
      <c r="E83" s="11">
        <v>18</v>
      </c>
      <c r="F83" s="11">
        <f t="shared" si="3"/>
        <v>1800000</v>
      </c>
    </row>
    <row r="85" spans="2:7" x14ac:dyDescent="0.25">
      <c r="B85" s="10" t="s">
        <v>91</v>
      </c>
      <c r="C85" s="11">
        <v>4</v>
      </c>
      <c r="D85" s="11">
        <v>300000</v>
      </c>
      <c r="E85" s="11" t="s">
        <v>65</v>
      </c>
      <c r="F85" s="11">
        <f>C85*D85</f>
        <v>1200000</v>
      </c>
    </row>
    <row r="86" spans="2:7" x14ac:dyDescent="0.25">
      <c r="B86" s="10" t="s">
        <v>92</v>
      </c>
      <c r="C86" s="11">
        <v>16</v>
      </c>
      <c r="D86" s="11">
        <v>100000</v>
      </c>
      <c r="E86" s="11" t="s">
        <v>65</v>
      </c>
      <c r="F86" s="11">
        <f>C86*D86</f>
        <v>1600000</v>
      </c>
    </row>
    <row r="89" spans="2:7" ht="32.4" customHeight="1" x14ac:dyDescent="0.25">
      <c r="B89" s="1" t="s">
        <v>93</v>
      </c>
      <c r="C89" s="11" t="s">
        <v>62</v>
      </c>
      <c r="D89" s="11">
        <v>2000000</v>
      </c>
      <c r="E89" s="11" t="s">
        <v>65</v>
      </c>
      <c r="F89" s="11">
        <f>D89</f>
        <v>2000000</v>
      </c>
    </row>
    <row r="91" spans="2:7" x14ac:dyDescent="0.25">
      <c r="B91" s="33" t="s">
        <v>60</v>
      </c>
      <c r="F91" s="11">
        <f>SUM(F58:F90)+F55</f>
        <v>205935000</v>
      </c>
    </row>
    <row r="92" spans="2:7" x14ac:dyDescent="0.25">
      <c r="B92" s="10" t="s">
        <v>94</v>
      </c>
      <c r="F92" s="44">
        <v>10000000</v>
      </c>
    </row>
    <row r="95" spans="2:7" s="45" customFormat="1" ht="15.6" x14ac:dyDescent="0.3">
      <c r="B95" s="45" t="s">
        <v>39</v>
      </c>
      <c r="C95" s="46"/>
      <c r="D95" s="46"/>
      <c r="E95" s="46"/>
      <c r="F95" s="46">
        <f>F91+F92+F93+F94</f>
        <v>215935000</v>
      </c>
      <c r="G95" s="47">
        <f>F95/(3758832919*1.19*1.12)*100</f>
        <v>4.3102755539789133</v>
      </c>
    </row>
  </sheetData>
  <hyperlinks>
    <hyperlink ref="G7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F15"/>
  <sheetViews>
    <sheetView workbookViewId="0">
      <selection activeCell="C19" sqref="C19"/>
    </sheetView>
  </sheetViews>
  <sheetFormatPr defaultRowHeight="14.4" x14ac:dyDescent="0.3"/>
  <cols>
    <col min="3" max="3" width="57.44140625" customWidth="1"/>
    <col min="4" max="4" width="13.88671875" customWidth="1"/>
    <col min="5" max="5" width="15.44140625" customWidth="1"/>
  </cols>
  <sheetData>
    <row r="2" spans="3:6" x14ac:dyDescent="0.3">
      <c r="D2" t="s">
        <v>3</v>
      </c>
      <c r="E2" t="s">
        <v>129</v>
      </c>
      <c r="F2" s="49">
        <v>0.16070000000000001</v>
      </c>
    </row>
    <row r="3" spans="3:6" x14ac:dyDescent="0.3">
      <c r="E3" t="s">
        <v>130</v>
      </c>
    </row>
    <row r="4" spans="3:6" x14ac:dyDescent="0.3">
      <c r="C4" s="1" t="s">
        <v>101</v>
      </c>
      <c r="D4" s="4">
        <v>5250</v>
      </c>
      <c r="E4" s="50">
        <f>D4*(1-$F$2)</f>
        <v>4406.3249999999998</v>
      </c>
    </row>
    <row r="5" spans="3:6" ht="28.2" x14ac:dyDescent="0.3">
      <c r="C5" s="1" t="s">
        <v>102</v>
      </c>
      <c r="D5" s="4">
        <v>5402</v>
      </c>
      <c r="E5" s="50">
        <f t="shared" ref="E5:E15" si="0">D5*(1-$F$2)</f>
        <v>4533.8985999999995</v>
      </c>
    </row>
    <row r="6" spans="3:6" x14ac:dyDescent="0.3">
      <c r="C6" s="1" t="s">
        <v>103</v>
      </c>
      <c r="D6" s="4">
        <v>71656</v>
      </c>
      <c r="E6" s="50">
        <f t="shared" si="0"/>
        <v>60140.880799999992</v>
      </c>
    </row>
    <row r="7" spans="3:6" x14ac:dyDescent="0.3">
      <c r="C7" s="9" t="s">
        <v>104</v>
      </c>
      <c r="D7" s="4">
        <v>3700</v>
      </c>
      <c r="E7" s="50">
        <f t="shared" si="0"/>
        <v>3105.41</v>
      </c>
    </row>
    <row r="8" spans="3:6" x14ac:dyDescent="0.3">
      <c r="C8" s="1" t="s">
        <v>105</v>
      </c>
      <c r="D8" s="4">
        <v>81</v>
      </c>
      <c r="E8" s="50">
        <f t="shared" si="0"/>
        <v>67.9833</v>
      </c>
    </row>
    <row r="9" spans="3:6" x14ac:dyDescent="0.3">
      <c r="C9" s="1" t="s">
        <v>106</v>
      </c>
      <c r="D9" s="4">
        <v>380</v>
      </c>
      <c r="E9" s="50">
        <f t="shared" si="0"/>
        <v>318.93399999999997</v>
      </c>
    </row>
    <row r="10" spans="3:6" x14ac:dyDescent="0.3">
      <c r="C10" s="1" t="s">
        <v>107</v>
      </c>
      <c r="D10" s="4">
        <v>15000</v>
      </c>
      <c r="E10" s="50">
        <f t="shared" si="0"/>
        <v>12589.499999999998</v>
      </c>
    </row>
    <row r="11" spans="3:6" ht="28.2" x14ac:dyDescent="0.3">
      <c r="C11" s="1" t="s">
        <v>108</v>
      </c>
      <c r="D11" s="4">
        <v>50000</v>
      </c>
      <c r="E11" s="50">
        <f t="shared" si="0"/>
        <v>41965</v>
      </c>
    </row>
    <row r="12" spans="3:6" x14ac:dyDescent="0.3">
      <c r="C12" s="1" t="s">
        <v>109</v>
      </c>
      <c r="D12" s="4">
        <v>6</v>
      </c>
      <c r="E12" s="50">
        <f t="shared" si="0"/>
        <v>5.0358000000000001</v>
      </c>
    </row>
    <row r="13" spans="3:6" x14ac:dyDescent="0.3">
      <c r="C13" s="1" t="s">
        <v>110</v>
      </c>
      <c r="D13" s="4">
        <v>6</v>
      </c>
      <c r="E13" s="50">
        <f t="shared" si="0"/>
        <v>5.0358000000000001</v>
      </c>
    </row>
    <row r="14" spans="3:6" x14ac:dyDescent="0.3">
      <c r="C14" s="1" t="s">
        <v>111</v>
      </c>
      <c r="D14" s="4">
        <v>1150</v>
      </c>
      <c r="E14" s="50">
        <f t="shared" si="0"/>
        <v>965.19499999999994</v>
      </c>
    </row>
    <row r="15" spans="3:6" x14ac:dyDescent="0.3">
      <c r="C15" s="1" t="s">
        <v>112</v>
      </c>
      <c r="D15" s="4">
        <v>1150</v>
      </c>
      <c r="E15" s="50">
        <f t="shared" si="0"/>
        <v>965.19499999999994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Factor</vt:lpstr>
      <vt:lpstr>Schedule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Bhola Singh</dc:creator>
  <cp:lastModifiedBy>suraj shiraskar</cp:lastModifiedBy>
  <cp:lastPrinted>2023-08-12T06:04:33Z</cp:lastPrinted>
  <dcterms:created xsi:type="dcterms:W3CDTF">2023-08-09T02:52:30Z</dcterms:created>
  <dcterms:modified xsi:type="dcterms:W3CDTF">2023-10-19T10:41:42Z</dcterms:modified>
</cp:coreProperties>
</file>