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drawings/drawing6.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MyFiles\IU_Related\FullTime\Files\General DS Application\"/>
    </mc:Choice>
  </mc:AlternateContent>
  <xr:revisionPtr revIDLastSave="0" documentId="13_ncr:1_{F3EE50B9-6385-4062-B38E-0CC6387CB813}" xr6:coauthVersionLast="47" xr6:coauthVersionMax="47" xr10:uidLastSave="{00000000-0000-0000-0000-000000000000}"/>
  <bookViews>
    <workbookView xWindow="20" yWindow="20" windowWidth="19180" windowHeight="11260" firstSheet="4" activeTab="10" xr2:uid="{5E5221D6-5DF7-4FD6-9A1B-B30BA935CB77}"/>
  </bookViews>
  <sheets>
    <sheet name="Dashboard" sheetId="20" r:id="rId1"/>
    <sheet name="Data" sheetId="11" r:id="rId2"/>
    <sheet name="List" sheetId="1"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definedNames>
    <definedName name="_Order1" hidden="1">255</definedName>
    <definedName name="_xlcn.WorksheetConnection_Dashboard.xlsxDepartments" hidden="1">Departments[]</definedName>
    <definedName name="_xlcn.WorksheetConnection_Dashboard.xlsxMappings" hidden="1">Mappings[]</definedName>
    <definedName name="_xlcn.WorksheetConnection_Dashboard.xlsxPredefined_Dates" hidden="1">Predefined_Dates[]</definedName>
    <definedName name="_xlcn.WorksheetConnection_Dashboard.xlsxTableView" hidden="1">TableView[]</definedName>
    <definedName name="CompanyName">YourCFOGuy</definedName>
    <definedName name="CS" localSheetId="5">CS!$B$4:$AN$53</definedName>
    <definedName name="CS_Budget" localSheetId="9">CS_Budget!$B$4:$AN$53</definedName>
    <definedName name="CurrentMonth">List!$W$3</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7">'G&amp;A_Budget'!$B$4:$AN$53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'R&amp;D'!$B$4:$AN$53</definedName>
    <definedName name="RandD_Budget" localSheetId="8">'R&amp;D_Budget'!$B$4:$AN$53</definedName>
    <definedName name="SandM" localSheetId="6">'S&amp;M'!$B$4:$AN$53</definedName>
    <definedName name="SandM_Budget" localSheetId="10">'S&amp;M_Budget'!$B$4:$AN$53</definedName>
    <definedName name="Slicer_Period">#N/A</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s>
  <extLst>
    <ext xmlns:x14="http://schemas.microsoft.com/office/spreadsheetml/2009/9/main" uri="{876F7934-8845-4945-9796-88D515C7AA90}">
      <x14:pivotCaches>
        <pivotCache cacheId="19"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V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Q50" i="11"/>
  <c r="P50" i="11"/>
  <c r="P54" i="11" s="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Q54" i="11" l="1"/>
  <c r="R54" i="11"/>
  <c r="B24" i="20"/>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T49" i="20"/>
  <c r="AB27" i="20"/>
  <c r="AD21" i="20"/>
  <c r="AD19" i="20"/>
  <c r="U38" i="20"/>
  <c r="AB49" i="20"/>
  <c r="AD43" i="20"/>
  <c r="AD36" i="20"/>
  <c r="AD41" i="20"/>
  <c r="S27" i="20"/>
  <c r="AA38" i="20"/>
  <c r="AD34" i="20"/>
  <c r="AD32" i="20"/>
  <c r="AD30" i="20"/>
  <c r="U49"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E23"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<sst xmlns="http://schemas.openxmlformats.org/spreadsheetml/2006/main" count="1470" uniqueCount="153">
  <si>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</si>
  <si>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</si>
  <si>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</si>
  <si>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</si>
  <si>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</si>
  <si>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</si>
  <si>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</si>
  <si>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</si>
  <si>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</si>
  <si>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</si>
  <si>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</si>
  <si>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</si>
  <si>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</si>
  <si>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</si>
  <si>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</si>
  <si>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</si>
  <si>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</si>
  <si>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</si>
  <si>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</si>
  <si>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</si>
  <si>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</si>
  <si>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</si>
  <si>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</si>
  <si>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</si>
  <si>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</si>
  <si>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</si>
  <si>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</si>
  <si>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</si>
  <si>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</si>
  <si>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</si>
  <si>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</si>
  <si>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</si>
  <si>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</si>
  <si>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</si>
  <si>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</si>
  <si>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</si>
  <si>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</si>
  <si>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</si>
  <si>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</si>
  <si>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</si>
  <si>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Cost of Goods Sold</t>
  </si>
  <si>
    <t>Gross Profit</t>
  </si>
  <si>
    <t>EBITDA</t>
  </si>
  <si>
    <t>Grand Total</t>
  </si>
  <si>
    <t>Advertising &amp; Marketing</t>
  </si>
  <si>
    <t>Conferences &amp; Events</t>
  </si>
  <si>
    <t>Jul-24</t>
  </si>
  <si>
    <t>AvPP: Rev, GP, EBITDA</t>
  </si>
  <si>
    <t>Var to Prior Period ($)</t>
  </si>
  <si>
    <t>Var to Prior Period (%)</t>
  </si>
  <si>
    <t>AvPP: Opex By Dept</t>
  </si>
  <si>
    <t>AvPP: Opex By Cost Type</t>
  </si>
  <si>
    <t>Other Income</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</si>
  <si>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</si>
  <si>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</si>
  <si>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</si>
  <si>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</si>
  <si>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</si>
  <si>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</si>
  <si>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</si>
  <si>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</si>
  <si>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</si>
  <si>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</si>
  <si>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</si>
  <si>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</si>
  <si>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</si>
  <si>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</si>
  <si>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</si>
  <si>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</si>
  <si>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</si>
  <si>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</si>
  <si>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</si>
  <si>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</si>
  <si>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</si>
  <si>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</si>
  <si>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</si>
  <si>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</si>
  <si>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</si>
  <si>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</si>
  <si>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</si>
  <si>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</si>
  <si>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</si>
  <si>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</si>
  <si>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</si>
  <si>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</si>
  <si>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</si>
  <si>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</si>
  <si>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</si>
  <si>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</si>
  <si>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</si>
  <si>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</si>
  <si>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</si>
  <si>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</si>
  <si>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</si>
  <si>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</si>
  <si>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</si>
  <si>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</si>
  <si>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</si>
  <si>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</si>
  <si>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</si>
  <si>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</si>
  <si>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</si>
  <si>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</si>
  <si>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</si>
  <si>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</si>
  <si>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</si>
  <si>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</si>
  <si>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</si>
  <si>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</si>
  <si>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</si>
  <si>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</si>
  <si>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</si>
  <si>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</si>
  <si>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</si>
  <si>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</si>
  <si>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</si>
  <si>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</si>
  <si>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</si>
  <si>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</si>
  <si>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</si>
  <si>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</si>
  <si>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</si>
  <si>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</si>
  <si>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</si>
  <si>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</si>
  <si>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</si>
  <si>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</si>
  <si>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</si>
  <si>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</si>
  <si>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</si>
  <si>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</si>
  <si>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</si>
  <si>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</si>
  <si>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</si>
  <si>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</si>
  <si>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</si>
  <si>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</si>
  <si>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</si>
  <si>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</si>
  <si>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</si>
  <si>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</si>
  <si>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</si>
  <si>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</si>
  <si>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</si>
  <si>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</si>
  <si>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</si>
  <si>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</si>
  <si>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</si>
  <si>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</si>
  <si>
    <t>May-24</t>
  </si>
  <si>
    <t>Jun-24</t>
  </si>
  <si>
    <t>Download Link -&gt;</t>
  </si>
  <si>
    <t>https://github.com/pranav98711/Excel---Finance-Dashboard/blob/main/README.md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</si>
</sst>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 #,##0\ _€"/>
    <numFmt numFmtId="166" formatCode="_(* #,##0_);_(* \(#,##0\);_(* &quot;-&quot;??_);_(@_)"/>
    <numFmt numFmtId="167" formatCode="#,##0.00%;\-#,##0.00%;#,##0.00%"/>
    <numFmt numFmtId="168" formatCode="#,##0%;\-#,##0%;#,##0%"/>
    <numFmt numFmtId="169" formatCode="\+#,##0;\(#,##0\);\-"/>
  </numFmts>
  <fonts count="25"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
      <b/>
      <sz val="24"/>
      <color theme="1"/>
      <name val="Arial"/>
      <family val="2"/>
    </font>
  </fonts>
  <fills count="10">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s>
  <borders count="23">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5" fillId="0" borderId="0"/>
  </cellStyleXfs>
  <cellXfs count="134">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4"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4" fontId="2" fillId="0" borderId="0" xfId="0" applyNumberFormat="1" applyFont="1"/>
    <xf numFmtId="165" fontId="2" fillId="0" borderId="0" xfId="0" applyNumberFormat="1" applyFont="1"/>
    <xf numFmtId="164" fontId="2" fillId="0" borderId="0" xfId="2" quotePrefix="1" applyNumberFormat="1" applyFont="1" applyFill="1" applyBorder="1" applyProtection="1"/>
    <xf numFmtId="164" fontId="0" fillId="0" borderId="0" xfId="0" applyNumberFormat="1"/>
    <xf numFmtId="166" fontId="4" fillId="0" borderId="0" xfId="1" quotePrefix="1" applyNumberFormat="1" applyFont="1" applyFill="1" applyBorder="1" applyProtection="1"/>
    <xf numFmtId="164" fontId="3" fillId="0" borderId="0" xfId="2" quotePrefix="1" applyNumberFormat="1" applyFont="1" applyFill="1" applyBorder="1" applyProtection="1"/>
    <xf numFmtId="164" fontId="1" fillId="0" borderId="0" xfId="2" quotePrefix="1" applyNumberFormat="1" applyFont="1" applyFill="1" applyBorder="1" applyProtection="1"/>
    <xf numFmtId="164" fontId="3" fillId="0" borderId="0" xfId="0" applyNumberFormat="1" applyFont="1"/>
    <xf numFmtId="165" fontId="3" fillId="0" borderId="0" xfId="0" applyNumberFormat="1" applyFont="1"/>
    <xf numFmtId="164" fontId="3" fillId="0" borderId="1" xfId="2" quotePrefix="1" applyNumberFormat="1" applyFont="1" applyFill="1" applyBorder="1" applyProtection="1"/>
    <xf numFmtId="1" fontId="0" fillId="0" borderId="0" xfId="2" applyNumberFormat="1" applyFont="1" applyFill="1" applyProtection="1"/>
    <xf numFmtId="42"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0" fontId="0" fillId="0" borderId="0" xfId="0" pivotButton="1"/>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167"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6" fontId="6" fillId="0" borderId="0" xfId="1" quotePrefix="1" applyNumberFormat="1" applyFont="1" applyFill="1" applyBorder="1" applyProtection="1"/>
    <xf numFmtId="0" fontId="6" fillId="0" borderId="0" xfId="0" applyFont="1" applyAlignment="1">
      <alignment horizontal="left" indent="1"/>
    </xf>
    <xf numFmtId="165" fontId="6" fillId="0" borderId="0" xfId="0" applyNumberFormat="1" applyFont="1"/>
    <xf numFmtId="164" fontId="6" fillId="0" borderId="0" xfId="0" applyNumberFormat="1" applyFont="1"/>
    <xf numFmtId="0" fontId="0" fillId="2" borderId="0" xfId="0" applyFill="1"/>
    <xf numFmtId="0" fontId="0" fillId="2" borderId="0" xfId="0" applyFill="1" applyAlignment="1">
      <alignment vertical="center"/>
    </xf>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2" borderId="6" xfId="0" applyFill="1" applyBorder="1"/>
    <xf numFmtId="0" fontId="0" fillId="6" borderId="6" xfId="0" applyFill="1" applyBorder="1"/>
    <xf numFmtId="0" fontId="0" fillId="6" borderId="7" xfId="0" applyFill="1" applyBorder="1"/>
    <xf numFmtId="0" fontId="0" fillId="4" borderId="2" xfId="0" applyFill="1" applyBorder="1"/>
    <xf numFmtId="0" fontId="15" fillId="4" borderId="0" xfId="0" applyFont="1" applyFill="1" applyAlignment="1">
      <alignment horizontal="center" vertical="center"/>
    </xf>
    <xf numFmtId="168" fontId="0" fillId="0" borderId="0" xfId="0" applyNumberFormat="1"/>
    <xf numFmtId="166" fontId="7" fillId="0" borderId="0" xfId="1" quotePrefix="1" applyNumberFormat="1" applyFont="1" applyFill="1" applyBorder="1" applyProtection="1"/>
    <xf numFmtId="164" fontId="7" fillId="0" borderId="0" xfId="0" applyNumberFormat="1" applyFont="1"/>
    <xf numFmtId="0" fontId="0" fillId="0" borderId="0" xfId="0" pivotButton="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67" fontId="0" fillId="0" borderId="0" xfId="0" applyNumberFormat="1"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3" fontId="0" fillId="0" borderId="0" xfId="0" applyNumberFormat="1" applyAlignment="1">
      <alignment horizontal="right" vertical="center" wrapText="1"/>
    </xf>
    <xf numFmtId="167" fontId="0" fillId="0" borderId="0" xfId="0" applyNumberFormat="1" applyAlignment="1">
      <alignment horizontal="right" vertical="center" wrapText="1"/>
    </xf>
    <xf numFmtId="0" fontId="0" fillId="0" borderId="0" xfId="0" applyAlignment="1">
      <alignment horizontal="left" vertical="center"/>
    </xf>
    <xf numFmtId="0" fontId="15" fillId="4" borderId="7" xfId="0" applyFont="1" applyFill="1" applyBorder="1" applyAlignment="1">
      <alignment horizontal="center"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4" borderId="11" xfId="0" applyFill="1" applyBorder="1"/>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15" fillId="4" borderId="11" xfId="0"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0" fontId="15" fillId="4" borderId="0" xfId="4" applyAlignment="1">
      <alignment horizontal="center" vertical="center"/>
    </xf>
    <xf numFmtId="0" fontId="15" fillId="4" borderId="11" xfId="4" applyBorder="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0" fillId="0" borderId="22" xfId="0" applyBorder="1"/>
    <xf numFmtId="9" fontId="0" fillId="0" borderId="22" xfId="3" applyFont="1" applyBorder="1"/>
    <xf numFmtId="0" fontId="2" fillId="0" borderId="22" xfId="0" applyFont="1" applyBorder="1" applyAlignment="1">
      <alignment horizontal="left"/>
    </xf>
    <xf numFmtId="169" fontId="0" fillId="0" borderId="22" xfId="0" applyNumberFormat="1" applyBorder="1"/>
    <xf numFmtId="0" fontId="24" fillId="3" borderId="0" xfId="0" applyFont="1" applyFill="1"/>
    <xf numFmtId="0" fontId="16" fillId="6" borderId="4" xfId="0" applyFont="1" applyFill="1" applyBorder="1" applyAlignment="1">
      <alignment horizontal="left" vertical="center" indent="2"/>
    </xf>
    <xf numFmtId="0" fontId="16" fillId="6" borderId="2" xfId="0" applyFont="1" applyFill="1" applyBorder="1" applyAlignment="1">
      <alignment horizontal="left" vertical="center" indent="2"/>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0" fontId="13" fillId="2" borderId="0" xfId="0" applyFont="1" applyFill="1" applyAlignment="1">
      <alignment horizontal="left" vertical="center"/>
    </xf>
    <xf numFmtId="0" fontId="14" fillId="2" borderId="0" xfId="0" applyFont="1" applyFill="1" applyAlignment="1">
      <alignment horizontal="left" vertical="center"/>
    </xf>
    <xf numFmtId="0" fontId="0" fillId="2" borderId="0" xfId="0" applyFill="1" applyAlignment="1">
      <alignment horizontal="center" vertical="center"/>
    </xf>
    <xf numFmtId="0" fontId="0" fillId="4" borderId="2" xfId="0" applyFill="1" applyBorder="1" applyAlignment="1">
      <alignment horizontal="center" vertical="center"/>
    </xf>
    <xf numFmtId="0" fontId="19" fillId="4" borderId="3" xfId="0" applyFont="1" applyFill="1" applyBorder="1" applyAlignment="1">
      <alignment horizontal="left" vertical="center" indent="2"/>
    </xf>
    <xf numFmtId="0" fontId="18" fillId="4" borderId="4" xfId="0" applyFont="1" applyFill="1" applyBorder="1" applyAlignment="1">
      <alignment horizontal="left" vertical="center" indent="2"/>
    </xf>
    <xf numFmtId="0" fontId="16" fillId="4" borderId="4" xfId="4" applyFont="1" applyBorder="1" applyAlignment="1">
      <alignment horizontal="left" vertical="center" indent="2"/>
    </xf>
    <xf numFmtId="0" fontId="19" fillId="4" borderId="2" xfId="0" applyFont="1" applyFill="1" applyBorder="1" applyAlignment="1">
      <alignment horizontal="left" vertical="center" indent="1"/>
    </xf>
    <xf numFmtId="0" fontId="19" fillId="4" borderId="11" xfId="0" applyFont="1" applyFill="1" applyBorder="1" applyAlignment="1">
      <alignment horizontal="left" vertical="center" indent="1"/>
    </xf>
    <xf numFmtId="0" fontId="19" fillId="4" borderId="7" xfId="0" applyFont="1" applyFill="1" applyBorder="1" applyAlignment="1">
      <alignment horizontal="left" vertical="center" indent="1"/>
    </xf>
    <xf numFmtId="10" fontId="16" fillId="6" borderId="8" xfId="3" applyNumberFormat="1" applyFont="1" applyFill="1" applyBorder="1" applyAlignment="1">
      <alignment horizontal="center" vertical="center"/>
    </xf>
    <xf numFmtId="10" fontId="16" fillId="6" borderId="7"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0" fontId="16" fillId="6" borderId="19" xfId="0" applyFont="1" applyFill="1" applyBorder="1" applyAlignment="1">
      <alignment horizontal="left" vertical="center" indent="2"/>
    </xf>
    <xf numFmtId="0" fontId="16" fillId="6" borderId="20" xfId="0" applyFont="1" applyFill="1" applyBorder="1" applyAlignment="1">
      <alignment horizontal="left" vertical="center" indent="2"/>
    </xf>
    <xf numFmtId="0" fontId="2" fillId="6" borderId="0" xfId="0" applyFont="1" applyFill="1" applyAlignment="1">
      <alignment horizontal="left" indent="2"/>
    </xf>
    <xf numFmtId="37" fontId="23" fillId="6" borderId="0" xfId="0" applyNumberFormat="1" applyFont="1" applyFill="1" applyAlignment="1">
      <alignment horizontal="left" indent="1"/>
    </xf>
    <xf numFmtId="0" fontId="2" fillId="6" borderId="0" xfId="0" applyFont="1" applyFill="1" applyAlignment="1">
      <alignment horizontal="left" vertical="center"/>
    </xf>
    <xf numFmtId="37" fontId="20" fillId="6" borderId="0" xfId="0" applyNumberFormat="1" applyFont="1" applyFill="1" applyAlignment="1">
      <alignment horizontal="left"/>
    </xf>
  </cellXfs>
  <cellStyles count="12">
    <cellStyle name="Accent3" xfId="10" builtinId="37" customBuiltin="1"/>
    <cellStyle name="Bad" xfId="5" builtinId="27" customBuiltin="1"/>
    <cellStyle name="Calculation" xfId="7" builtinId="22" customBuiltin="1"/>
    <cellStyle name="Comma" xfId="1" builtinId="3"/>
    <cellStyle name="Currency" xfId="2" builtinId="4"/>
    <cellStyle name="Input" xfId="6" builtinId="20" customBuiltin="1"/>
    <cellStyle name="Linked Cell" xfId="8" builtinId="24" customBuiltin="1"/>
    <cellStyle name="Normal" xfId="0" builtinId="0"/>
    <cellStyle name="Normal 2 3" xfId="11" xr:uid="{0C5D9347-97B6-4E30-93DA-71E0934428BB}"/>
    <cellStyle name="Percent" xfId="3" builtinId="5"/>
    <cellStyle name="Title" xfId="4" builtinId="15" customBuiltin="1"/>
    <cellStyle name="Total" xfId="9" builtinId="25" customBuiltin="1"/>
  </cellStyles>
  <dxfs count="104">
    <dxf>
      <alignment horizontal="left"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vertical="center" wrapText="1"/>
    </dxf>
    <dxf>
      <alignment vertical="center"/>
    </dxf>
    <dxf>
      <alignment horizontal="center"/>
    </dxf>
    <dxf>
      <alignment wrapText="1"/>
    </dxf>
    <dxf>
      <alignment horizontal="center" vertical="center" wrapText="1"/>
    </dxf>
    <dxf>
      <alignment wrapText="0"/>
    </dxf>
    <dxf>
      <alignment wrapText="0"/>
    </dxf>
    <dxf>
      <alignment wrapText="0"/>
    </dxf>
    <dxf>
      <alignment horizontal="center"/>
    </dxf>
    <dxf>
      <alignment horizontal="center"/>
    </dxf>
    <dxf>
      <alignment vertical="center"/>
    </dxf>
    <dxf>
      <alignment vertical="center"/>
    </dxf>
    <dxf>
      <alignment wrapText="1"/>
    </dxf>
    <dxf>
      <alignment wrapText="1"/>
    </dxf>
    <dxf>
      <alignment horizontal="left"/>
    </dxf>
    <dxf>
      <alignment wrapText="0"/>
    </dxf>
    <dxf>
      <alignment wrapText="0"/>
    </dxf>
    <dxf>
      <alignment wrapText="0"/>
    </dxf>
    <dxf>
      <alignment wrapText="0"/>
    </dxf>
    <dxf>
      <alignment wrapText="0"/>
    </dxf>
    <dxf>
      <alignment horizontal="center" vertical="center" wrapText="1"/>
    </dxf>
    <dxf>
      <alignment horizontal="center"/>
    </dxf>
    <dxf>
      <alignment horizontal="center"/>
    </dxf>
    <dxf>
      <alignment vertical="center"/>
    </dxf>
    <dxf>
      <alignment vertical="center"/>
    </dxf>
    <dxf>
      <alignment wrapText="1"/>
    </dxf>
    <dxf>
      <alignment wrapText="1"/>
    </dxf>
    <dxf>
      <alignment wrapText="0"/>
    </dxf>
    <dxf>
      <alignment wrapText="0"/>
    </dxf>
    <dxf>
      <alignment wrapText="0"/>
    </dxf>
    <dxf>
      <alignment horizontal="center" vertical="center" wrapText="1"/>
    </dxf>
    <dxf>
      <alignment horizontal="left"/>
    </dxf>
    <dxf>
      <alignment wrapText="0"/>
    </dxf>
    <dxf>
      <alignment wrapText="0"/>
    </dxf>
    <dxf>
      <alignment wrapText="0"/>
    </dxf>
    <dxf>
      <alignment wrapText="0"/>
    </dxf>
    <dxf>
      <alignment wrapText="0"/>
    </dxf>
    <dxf>
      <alignment horizontal="center" vertical="center"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wrapText="1"/>
    </dxf>
    <dxf>
      <alignment wrapText="1"/>
    </dxf>
    <dxf>
      <alignment horizontal="left"/>
    </dxf>
    <dxf>
      <alignment horizontal="right"/>
    </dxf>
    <dxf>
      <alignment horizontal="center" vertical="center" wrapText="1"/>
    </dxf>
    <dxf>
      <alignment horizontal="center" vertical="center"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03"/>
    </tableStyle>
    <tableStyle name="Slicer Style 2" pivot="0" table="0" count="0" xr9:uid="{9F175CA9-D9FF-4933-9691-71D3C999565D}"/>
    <tableStyle name="Slicer Style 3" pivot="0" table="0" count="1" xr9:uid="{FAC9B109-D018-4BB3-B314-FD48429B58E0}">
      <tableStyleElement type="wholeTable" dxfId="102"/>
    </tableStyle>
    <tableStyle name="Slicer Style 4" pivot="0" table="0" count="1" xr9:uid="{2E614238-AAE7-4472-B018-CE878F5923DD}"/>
    <tableStyle name="SlicerStyleLight1 2" pivot="0" table="0" count="10" xr9:uid="{F5A93412-DD9C-4FA1-BC34-2A18CD5E0447}">
      <tableStyleElement type="wholeTable" dxfId="101"/>
      <tableStyleElement type="headerRow" dxfId="100"/>
    </tableStyle>
  </tableStyles>
  <colors>
    <mruColors>
      <color rgb="FF38434D"/>
      <color rgb="FFA8A788"/>
      <color rgb="FFEAE9CB"/>
      <color rgb="FFFDFCED"/>
      <color rgb="FFFFD9DE"/>
      <color rgb="FFFBFBFB"/>
      <color rgb="FFF9F8E7"/>
      <color rgb="FF718597"/>
      <color rgb="FFF7F6DE"/>
      <color rgb="FFABAEA4"/>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8.xml"/><Relationship Id="rId21" Type="http://schemas.openxmlformats.org/officeDocument/2006/relationships/pivotCacheDefinition" Target="pivotCache/pivotCacheDefinition10.xml"/><Relationship Id="rId42" Type="http://schemas.openxmlformats.org/officeDocument/2006/relationships/customXml" Target="../customXml/item3.xml"/><Relationship Id="rId63" Type="http://schemas.openxmlformats.org/officeDocument/2006/relationships/customXml" Target="../customXml/item24.xml"/><Relationship Id="rId84" Type="http://schemas.openxmlformats.org/officeDocument/2006/relationships/customXml" Target="../customXml/item45.xml"/><Relationship Id="rId138" Type="http://schemas.openxmlformats.org/officeDocument/2006/relationships/customXml" Target="../customXml/item99.xml"/><Relationship Id="rId159" Type="http://schemas.openxmlformats.org/officeDocument/2006/relationships/customXml" Target="../customXml/item120.xml"/><Relationship Id="rId170" Type="http://schemas.openxmlformats.org/officeDocument/2006/relationships/customXml" Target="../customXml/item131.xml"/><Relationship Id="rId191" Type="http://schemas.openxmlformats.org/officeDocument/2006/relationships/customXml" Target="../customXml/item152.xml"/><Relationship Id="rId205" Type="http://schemas.openxmlformats.org/officeDocument/2006/relationships/customXml" Target="../customXml/item166.xml"/><Relationship Id="rId226" Type="http://schemas.openxmlformats.org/officeDocument/2006/relationships/customXml" Target="../customXml/item187.xml"/><Relationship Id="rId107" Type="http://schemas.openxmlformats.org/officeDocument/2006/relationships/customXml" Target="../customXml/item68.xml"/><Relationship Id="rId11" Type="http://schemas.openxmlformats.org/officeDocument/2006/relationships/worksheet" Target="worksheets/sheet11.xml"/><Relationship Id="rId32" Type="http://schemas.microsoft.com/office/2007/relationships/slicerCache" Target="slicerCaches/slicerCache1.xml"/><Relationship Id="rId53" Type="http://schemas.openxmlformats.org/officeDocument/2006/relationships/customXml" Target="../customXml/item14.xml"/><Relationship Id="rId74" Type="http://schemas.openxmlformats.org/officeDocument/2006/relationships/customXml" Target="../customXml/item35.xml"/><Relationship Id="rId128" Type="http://schemas.openxmlformats.org/officeDocument/2006/relationships/customXml" Target="../customXml/item89.xml"/><Relationship Id="rId149" Type="http://schemas.openxmlformats.org/officeDocument/2006/relationships/customXml" Target="../customXml/item110.xml"/><Relationship Id="rId5" Type="http://schemas.openxmlformats.org/officeDocument/2006/relationships/worksheet" Target="worksheets/sheet5.xml"/><Relationship Id="rId95" Type="http://schemas.openxmlformats.org/officeDocument/2006/relationships/customXml" Target="../customXml/item56.xml"/><Relationship Id="rId160" Type="http://schemas.openxmlformats.org/officeDocument/2006/relationships/customXml" Target="../customXml/item121.xml"/><Relationship Id="rId181" Type="http://schemas.openxmlformats.org/officeDocument/2006/relationships/customXml" Target="../customXml/item142.xml"/><Relationship Id="rId216" Type="http://schemas.openxmlformats.org/officeDocument/2006/relationships/customXml" Target="../customXml/item177.xml"/><Relationship Id="rId22" Type="http://schemas.openxmlformats.org/officeDocument/2006/relationships/pivotCacheDefinition" Target="pivotCache/pivotCacheDefinition11.xml"/><Relationship Id="rId43" Type="http://schemas.openxmlformats.org/officeDocument/2006/relationships/customXml" Target="../customXml/item4.xml"/><Relationship Id="rId64" Type="http://schemas.openxmlformats.org/officeDocument/2006/relationships/customXml" Target="../customXml/item25.xml"/><Relationship Id="rId118" Type="http://schemas.openxmlformats.org/officeDocument/2006/relationships/customXml" Target="../customXml/item79.xml"/><Relationship Id="rId139" Type="http://schemas.openxmlformats.org/officeDocument/2006/relationships/customXml" Target="../customXml/item100.xml"/><Relationship Id="rId85" Type="http://schemas.openxmlformats.org/officeDocument/2006/relationships/customXml" Target="../customXml/item46.xml"/><Relationship Id="rId150" Type="http://schemas.openxmlformats.org/officeDocument/2006/relationships/customXml" Target="../customXml/item111.xml"/><Relationship Id="rId171" Type="http://schemas.openxmlformats.org/officeDocument/2006/relationships/customXml" Target="../customXml/item132.xml"/><Relationship Id="rId192" Type="http://schemas.openxmlformats.org/officeDocument/2006/relationships/customXml" Target="../customXml/item153.xml"/><Relationship Id="rId206" Type="http://schemas.openxmlformats.org/officeDocument/2006/relationships/customXml" Target="../customXml/item167.xml"/><Relationship Id="rId227" Type="http://schemas.openxmlformats.org/officeDocument/2006/relationships/customXml" Target="../customXml/item188.xml"/><Relationship Id="rId12" Type="http://schemas.openxmlformats.org/officeDocument/2006/relationships/pivotCacheDefinition" Target="pivotCache/pivotCacheDefinition1.xml"/><Relationship Id="rId33" Type="http://schemas.openxmlformats.org/officeDocument/2006/relationships/theme" Target="theme/theme1.xml"/><Relationship Id="rId108" Type="http://schemas.openxmlformats.org/officeDocument/2006/relationships/customXml" Target="../customXml/item69.xml"/><Relationship Id="rId129" Type="http://schemas.openxmlformats.org/officeDocument/2006/relationships/customXml" Target="../customXml/item90.xml"/><Relationship Id="rId54" Type="http://schemas.openxmlformats.org/officeDocument/2006/relationships/customXml" Target="../customXml/item15.xml"/><Relationship Id="rId75" Type="http://schemas.openxmlformats.org/officeDocument/2006/relationships/customXml" Target="../customXml/item36.xml"/><Relationship Id="rId96" Type="http://schemas.openxmlformats.org/officeDocument/2006/relationships/customXml" Target="../customXml/item57.xml"/><Relationship Id="rId140" Type="http://schemas.openxmlformats.org/officeDocument/2006/relationships/customXml" Target="../customXml/item101.xml"/><Relationship Id="rId161" Type="http://schemas.openxmlformats.org/officeDocument/2006/relationships/customXml" Target="../customXml/item122.xml"/><Relationship Id="rId182" Type="http://schemas.openxmlformats.org/officeDocument/2006/relationships/customXml" Target="../customXml/item143.xml"/><Relationship Id="rId217" Type="http://schemas.openxmlformats.org/officeDocument/2006/relationships/customXml" Target="../customXml/item178.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119" Type="http://schemas.openxmlformats.org/officeDocument/2006/relationships/customXml" Target="../customXml/item80.xml"/><Relationship Id="rId44" Type="http://schemas.openxmlformats.org/officeDocument/2006/relationships/customXml" Target="../customXml/item5.xml"/><Relationship Id="rId65" Type="http://schemas.openxmlformats.org/officeDocument/2006/relationships/customXml" Target="../customXml/item26.xml"/><Relationship Id="rId86" Type="http://schemas.openxmlformats.org/officeDocument/2006/relationships/customXml" Target="../customXml/item47.xml"/><Relationship Id="rId130" Type="http://schemas.openxmlformats.org/officeDocument/2006/relationships/customXml" Target="../customXml/item91.xml"/><Relationship Id="rId151" Type="http://schemas.openxmlformats.org/officeDocument/2006/relationships/customXml" Target="../customXml/item112.xml"/><Relationship Id="rId172" Type="http://schemas.openxmlformats.org/officeDocument/2006/relationships/customXml" Target="../customXml/item133.xml"/><Relationship Id="rId193" Type="http://schemas.openxmlformats.org/officeDocument/2006/relationships/customXml" Target="../customXml/item154.xml"/><Relationship Id="rId207" Type="http://schemas.openxmlformats.org/officeDocument/2006/relationships/customXml" Target="../customXml/item168.xml"/><Relationship Id="rId228" Type="http://schemas.openxmlformats.org/officeDocument/2006/relationships/customXml" Target="../customXml/item189.xml"/><Relationship Id="rId13" Type="http://schemas.openxmlformats.org/officeDocument/2006/relationships/pivotCacheDefinition" Target="pivotCache/pivotCacheDefinition2.xml"/><Relationship Id="rId109" Type="http://schemas.openxmlformats.org/officeDocument/2006/relationships/customXml" Target="../customXml/item70.xml"/><Relationship Id="rId34" Type="http://schemas.openxmlformats.org/officeDocument/2006/relationships/connections" Target="connections.xml"/><Relationship Id="rId55" Type="http://schemas.openxmlformats.org/officeDocument/2006/relationships/customXml" Target="../customXml/item16.xml"/><Relationship Id="rId76" Type="http://schemas.openxmlformats.org/officeDocument/2006/relationships/customXml" Target="../customXml/item37.xml"/><Relationship Id="rId97" Type="http://schemas.openxmlformats.org/officeDocument/2006/relationships/customXml" Target="../customXml/item58.xml"/><Relationship Id="rId120" Type="http://schemas.openxmlformats.org/officeDocument/2006/relationships/customXml" Target="../customXml/item81.xml"/><Relationship Id="rId141" Type="http://schemas.openxmlformats.org/officeDocument/2006/relationships/customXml" Target="../customXml/item102.xml"/><Relationship Id="rId7" Type="http://schemas.openxmlformats.org/officeDocument/2006/relationships/worksheet" Target="worksheets/sheet7.xml"/><Relationship Id="rId162" Type="http://schemas.openxmlformats.org/officeDocument/2006/relationships/customXml" Target="../customXml/item123.xml"/><Relationship Id="rId183" Type="http://schemas.openxmlformats.org/officeDocument/2006/relationships/customXml" Target="../customXml/item144.xml"/><Relationship Id="rId218" Type="http://schemas.openxmlformats.org/officeDocument/2006/relationships/customXml" Target="../customXml/item179.xml"/><Relationship Id="rId24" Type="http://schemas.openxmlformats.org/officeDocument/2006/relationships/pivotCacheDefinition" Target="pivotCache/pivotCacheDefinition13.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110" Type="http://schemas.openxmlformats.org/officeDocument/2006/relationships/customXml" Target="../customXml/item71.xml"/><Relationship Id="rId131" Type="http://schemas.openxmlformats.org/officeDocument/2006/relationships/customXml" Target="../customXml/item92.xml"/><Relationship Id="rId152" Type="http://schemas.openxmlformats.org/officeDocument/2006/relationships/customXml" Target="../customXml/item113.xml"/><Relationship Id="rId173" Type="http://schemas.openxmlformats.org/officeDocument/2006/relationships/customXml" Target="../customXml/item134.xml"/><Relationship Id="rId194" Type="http://schemas.openxmlformats.org/officeDocument/2006/relationships/customXml" Target="../customXml/item155.xml"/><Relationship Id="rId208" Type="http://schemas.openxmlformats.org/officeDocument/2006/relationships/customXml" Target="../customXml/item169.xml"/><Relationship Id="rId229" Type="http://schemas.openxmlformats.org/officeDocument/2006/relationships/customXml" Target="../customXml/item190.xml"/><Relationship Id="rId14" Type="http://schemas.openxmlformats.org/officeDocument/2006/relationships/pivotCacheDefinition" Target="pivotCache/pivotCacheDefinition3.xml"/><Relationship Id="rId35" Type="http://schemas.openxmlformats.org/officeDocument/2006/relationships/styles" Target="styles.xml"/><Relationship Id="rId56" Type="http://schemas.openxmlformats.org/officeDocument/2006/relationships/customXml" Target="../customXml/item17.xml"/><Relationship Id="rId77" Type="http://schemas.openxmlformats.org/officeDocument/2006/relationships/customXml" Target="../customXml/item38.xml"/><Relationship Id="rId100" Type="http://schemas.openxmlformats.org/officeDocument/2006/relationships/customXml" Target="../customXml/item61.xml"/><Relationship Id="rId8" Type="http://schemas.openxmlformats.org/officeDocument/2006/relationships/worksheet" Target="worksheets/sheet8.xml"/><Relationship Id="rId98" Type="http://schemas.openxmlformats.org/officeDocument/2006/relationships/customXml" Target="../customXml/item59.xml"/><Relationship Id="rId121" Type="http://schemas.openxmlformats.org/officeDocument/2006/relationships/customXml" Target="../customXml/item82.xml"/><Relationship Id="rId142" Type="http://schemas.openxmlformats.org/officeDocument/2006/relationships/customXml" Target="../customXml/item103.xml"/><Relationship Id="rId163" Type="http://schemas.openxmlformats.org/officeDocument/2006/relationships/customXml" Target="../customXml/item124.xml"/><Relationship Id="rId184" Type="http://schemas.openxmlformats.org/officeDocument/2006/relationships/customXml" Target="../customXml/item145.xml"/><Relationship Id="rId219" Type="http://schemas.openxmlformats.org/officeDocument/2006/relationships/customXml" Target="../customXml/item180.xml"/><Relationship Id="rId230" Type="http://schemas.openxmlformats.org/officeDocument/2006/relationships/customXml" Target="../customXml/item191.xml"/><Relationship Id="rId25" Type="http://schemas.openxmlformats.org/officeDocument/2006/relationships/pivotCacheDefinition" Target="pivotCache/pivotCacheDefinition14.xml"/><Relationship Id="rId46" Type="http://schemas.openxmlformats.org/officeDocument/2006/relationships/customXml" Target="../customXml/item7.xml"/><Relationship Id="rId67" Type="http://schemas.openxmlformats.org/officeDocument/2006/relationships/customXml" Target="../customXml/item28.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62" Type="http://schemas.openxmlformats.org/officeDocument/2006/relationships/customXml" Target="../customXml/item23.xml"/><Relationship Id="rId83" Type="http://schemas.openxmlformats.org/officeDocument/2006/relationships/customXml" Target="../customXml/item44.xml"/><Relationship Id="rId88" Type="http://schemas.openxmlformats.org/officeDocument/2006/relationships/customXml" Target="../customXml/item49.xml"/><Relationship Id="rId111" Type="http://schemas.openxmlformats.org/officeDocument/2006/relationships/customXml" Target="../customXml/item72.xml"/><Relationship Id="rId132" Type="http://schemas.openxmlformats.org/officeDocument/2006/relationships/customXml" Target="../customXml/item93.xml"/><Relationship Id="rId153" Type="http://schemas.openxmlformats.org/officeDocument/2006/relationships/customXml" Target="../customXml/item114.xml"/><Relationship Id="rId174" Type="http://schemas.openxmlformats.org/officeDocument/2006/relationships/customXml" Target="../customXml/item135.xml"/><Relationship Id="rId179" Type="http://schemas.openxmlformats.org/officeDocument/2006/relationships/customXml" Target="../customXml/item140.xml"/><Relationship Id="rId195" Type="http://schemas.openxmlformats.org/officeDocument/2006/relationships/customXml" Target="../customXml/item156.xml"/><Relationship Id="rId209" Type="http://schemas.openxmlformats.org/officeDocument/2006/relationships/customXml" Target="../customXml/item170.xml"/><Relationship Id="rId190" Type="http://schemas.openxmlformats.org/officeDocument/2006/relationships/customXml" Target="../customXml/item151.xml"/><Relationship Id="rId204" Type="http://schemas.openxmlformats.org/officeDocument/2006/relationships/customXml" Target="../customXml/item165.xml"/><Relationship Id="rId220" Type="http://schemas.openxmlformats.org/officeDocument/2006/relationships/customXml" Target="../customXml/item181.xml"/><Relationship Id="rId225" Type="http://schemas.openxmlformats.org/officeDocument/2006/relationships/customXml" Target="../customXml/item186.xml"/><Relationship Id="rId15" Type="http://schemas.openxmlformats.org/officeDocument/2006/relationships/pivotCacheDefinition" Target="pivotCache/pivotCacheDefinition4.xml"/><Relationship Id="rId36" Type="http://schemas.openxmlformats.org/officeDocument/2006/relationships/sharedStrings" Target="sharedStrings.xml"/><Relationship Id="rId57" Type="http://schemas.openxmlformats.org/officeDocument/2006/relationships/customXml" Target="../customXml/item18.xml"/><Relationship Id="rId106" Type="http://schemas.openxmlformats.org/officeDocument/2006/relationships/customXml" Target="../customXml/item67.xml"/><Relationship Id="rId127" Type="http://schemas.openxmlformats.org/officeDocument/2006/relationships/customXml" Target="../customXml/item88.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customXml" Target="../customXml/item13.xml"/><Relationship Id="rId73" Type="http://schemas.openxmlformats.org/officeDocument/2006/relationships/customXml" Target="../customXml/item34.xml"/><Relationship Id="rId78" Type="http://schemas.openxmlformats.org/officeDocument/2006/relationships/customXml" Target="../customXml/item39.xml"/><Relationship Id="rId94" Type="http://schemas.openxmlformats.org/officeDocument/2006/relationships/customXml" Target="../customXml/item55.xml"/><Relationship Id="rId99" Type="http://schemas.openxmlformats.org/officeDocument/2006/relationships/customXml" Target="../customXml/item60.xml"/><Relationship Id="rId101" Type="http://schemas.openxmlformats.org/officeDocument/2006/relationships/customXml" Target="../customXml/item62.xml"/><Relationship Id="rId122" Type="http://schemas.openxmlformats.org/officeDocument/2006/relationships/customXml" Target="../customXml/item83.xml"/><Relationship Id="rId143" Type="http://schemas.openxmlformats.org/officeDocument/2006/relationships/customXml" Target="../customXml/item104.xml"/><Relationship Id="rId148" Type="http://schemas.openxmlformats.org/officeDocument/2006/relationships/customXml" Target="../customXml/item109.xml"/><Relationship Id="rId164" Type="http://schemas.openxmlformats.org/officeDocument/2006/relationships/customXml" Target="../customXml/item125.xml"/><Relationship Id="rId169" Type="http://schemas.openxmlformats.org/officeDocument/2006/relationships/customXml" Target="../customXml/item130.xml"/><Relationship Id="rId185" Type="http://schemas.openxmlformats.org/officeDocument/2006/relationships/customXml" Target="../customXml/item14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41.xml"/><Relationship Id="rId210" Type="http://schemas.openxmlformats.org/officeDocument/2006/relationships/customXml" Target="../customXml/item171.xml"/><Relationship Id="rId215" Type="http://schemas.openxmlformats.org/officeDocument/2006/relationships/customXml" Target="../customXml/item176.xml"/><Relationship Id="rId26" Type="http://schemas.openxmlformats.org/officeDocument/2006/relationships/pivotCacheDefinition" Target="pivotCache/pivotCacheDefinition15.xml"/><Relationship Id="rId231" Type="http://schemas.openxmlformats.org/officeDocument/2006/relationships/customXml" Target="../customXml/item192.xml"/><Relationship Id="rId47" Type="http://schemas.openxmlformats.org/officeDocument/2006/relationships/customXml" Target="../customXml/item8.xml"/><Relationship Id="rId68" Type="http://schemas.openxmlformats.org/officeDocument/2006/relationships/customXml" Target="../customXml/item29.xml"/><Relationship Id="rId89" Type="http://schemas.openxmlformats.org/officeDocument/2006/relationships/customXml" Target="../customXml/item50.xml"/><Relationship Id="rId112" Type="http://schemas.openxmlformats.org/officeDocument/2006/relationships/customXml" Target="../customXml/item73.xml"/><Relationship Id="rId133" Type="http://schemas.openxmlformats.org/officeDocument/2006/relationships/customXml" Target="../customXml/item94.xml"/><Relationship Id="rId154" Type="http://schemas.openxmlformats.org/officeDocument/2006/relationships/customXml" Target="../customXml/item115.xml"/><Relationship Id="rId175" Type="http://schemas.openxmlformats.org/officeDocument/2006/relationships/customXml" Target="../customXml/item136.xml"/><Relationship Id="rId196" Type="http://schemas.openxmlformats.org/officeDocument/2006/relationships/customXml" Target="../customXml/item157.xml"/><Relationship Id="rId200" Type="http://schemas.openxmlformats.org/officeDocument/2006/relationships/customXml" Target="../customXml/item161.xml"/><Relationship Id="rId16" Type="http://schemas.openxmlformats.org/officeDocument/2006/relationships/pivotCacheDefinition" Target="pivotCache/pivotCacheDefinition5.xml"/><Relationship Id="rId221" Type="http://schemas.openxmlformats.org/officeDocument/2006/relationships/customXml" Target="../customXml/item182.xml"/><Relationship Id="rId37" Type="http://schemas.openxmlformats.org/officeDocument/2006/relationships/sheetMetadata" Target="metadata.xml"/><Relationship Id="rId58" Type="http://schemas.openxmlformats.org/officeDocument/2006/relationships/customXml" Target="../customXml/item19.xml"/><Relationship Id="rId79" Type="http://schemas.openxmlformats.org/officeDocument/2006/relationships/customXml" Target="../customXml/item40.xml"/><Relationship Id="rId102" Type="http://schemas.openxmlformats.org/officeDocument/2006/relationships/customXml" Target="../customXml/item63.xml"/><Relationship Id="rId123" Type="http://schemas.openxmlformats.org/officeDocument/2006/relationships/customXml" Target="../customXml/item84.xml"/><Relationship Id="rId144" Type="http://schemas.openxmlformats.org/officeDocument/2006/relationships/customXml" Target="../customXml/item105.xml"/><Relationship Id="rId90" Type="http://schemas.openxmlformats.org/officeDocument/2006/relationships/customXml" Target="../customXml/item51.xml"/><Relationship Id="rId165" Type="http://schemas.openxmlformats.org/officeDocument/2006/relationships/customXml" Target="../customXml/item126.xml"/><Relationship Id="rId186" Type="http://schemas.openxmlformats.org/officeDocument/2006/relationships/customXml" Target="../customXml/item147.xml"/><Relationship Id="rId211" Type="http://schemas.openxmlformats.org/officeDocument/2006/relationships/customXml" Target="../customXml/item172.xml"/><Relationship Id="rId232" Type="http://schemas.openxmlformats.org/officeDocument/2006/relationships/customXml" Target="../customXml/item193.xml"/><Relationship Id="rId27" Type="http://schemas.openxmlformats.org/officeDocument/2006/relationships/pivotCacheDefinition" Target="pivotCache/pivotCacheDefinition16.xml"/><Relationship Id="rId48" Type="http://schemas.openxmlformats.org/officeDocument/2006/relationships/customXml" Target="../customXml/item9.xml"/><Relationship Id="rId69" Type="http://schemas.openxmlformats.org/officeDocument/2006/relationships/customXml" Target="../customXml/item30.xml"/><Relationship Id="rId113" Type="http://schemas.openxmlformats.org/officeDocument/2006/relationships/customXml" Target="../customXml/item74.xml"/><Relationship Id="rId134" Type="http://schemas.openxmlformats.org/officeDocument/2006/relationships/customXml" Target="../customXml/item95.xml"/><Relationship Id="rId80" Type="http://schemas.openxmlformats.org/officeDocument/2006/relationships/customXml" Target="../customXml/item41.xml"/><Relationship Id="rId155" Type="http://schemas.openxmlformats.org/officeDocument/2006/relationships/customXml" Target="../customXml/item116.xml"/><Relationship Id="rId176" Type="http://schemas.openxmlformats.org/officeDocument/2006/relationships/customXml" Target="../customXml/item137.xml"/><Relationship Id="rId197" Type="http://schemas.openxmlformats.org/officeDocument/2006/relationships/customXml" Target="../customXml/item158.xml"/><Relationship Id="rId201" Type="http://schemas.openxmlformats.org/officeDocument/2006/relationships/customXml" Target="../customXml/item162.xml"/><Relationship Id="rId222" Type="http://schemas.openxmlformats.org/officeDocument/2006/relationships/customXml" Target="../customXml/item183.xml"/><Relationship Id="rId17" Type="http://schemas.openxmlformats.org/officeDocument/2006/relationships/pivotCacheDefinition" Target="pivotCache/pivotCacheDefinition6.xml"/><Relationship Id="rId38" Type="http://schemas.openxmlformats.org/officeDocument/2006/relationships/powerPivotData" Target="model/item.data"/><Relationship Id="rId59" Type="http://schemas.openxmlformats.org/officeDocument/2006/relationships/customXml" Target="../customXml/item20.xml"/><Relationship Id="rId103" Type="http://schemas.openxmlformats.org/officeDocument/2006/relationships/customXml" Target="../customXml/item64.xml"/><Relationship Id="rId124" Type="http://schemas.openxmlformats.org/officeDocument/2006/relationships/customXml" Target="../customXml/item85.xml"/><Relationship Id="rId70" Type="http://schemas.openxmlformats.org/officeDocument/2006/relationships/customXml" Target="../customXml/item31.xml"/><Relationship Id="rId91" Type="http://schemas.openxmlformats.org/officeDocument/2006/relationships/customXml" Target="../customXml/item52.xml"/><Relationship Id="rId145" Type="http://schemas.openxmlformats.org/officeDocument/2006/relationships/customXml" Target="../customXml/item106.xml"/><Relationship Id="rId166" Type="http://schemas.openxmlformats.org/officeDocument/2006/relationships/customXml" Target="../customXml/item127.xml"/><Relationship Id="rId187" Type="http://schemas.openxmlformats.org/officeDocument/2006/relationships/customXml" Target="../customXml/item148.xml"/><Relationship Id="rId1" Type="http://schemas.openxmlformats.org/officeDocument/2006/relationships/worksheet" Target="worksheets/sheet1.xml"/><Relationship Id="rId212" Type="http://schemas.openxmlformats.org/officeDocument/2006/relationships/customXml" Target="../customXml/item173.xml"/><Relationship Id="rId233" Type="http://schemas.openxmlformats.org/officeDocument/2006/relationships/customXml" Target="../customXml/item194.xml"/><Relationship Id="rId28" Type="http://schemas.openxmlformats.org/officeDocument/2006/relationships/pivotCacheDefinition" Target="pivotCache/pivotCacheDefinition17.xml"/><Relationship Id="rId49" Type="http://schemas.openxmlformats.org/officeDocument/2006/relationships/customXml" Target="../customXml/item10.xml"/><Relationship Id="rId114" Type="http://schemas.openxmlformats.org/officeDocument/2006/relationships/customXml" Target="../customXml/item75.xml"/><Relationship Id="rId60" Type="http://schemas.openxmlformats.org/officeDocument/2006/relationships/customXml" Target="../customXml/item21.xml"/><Relationship Id="rId81" Type="http://schemas.openxmlformats.org/officeDocument/2006/relationships/customXml" Target="../customXml/item42.xml"/><Relationship Id="rId135" Type="http://schemas.openxmlformats.org/officeDocument/2006/relationships/customXml" Target="../customXml/item96.xml"/><Relationship Id="rId156" Type="http://schemas.openxmlformats.org/officeDocument/2006/relationships/customXml" Target="../customXml/item117.xml"/><Relationship Id="rId177" Type="http://schemas.openxmlformats.org/officeDocument/2006/relationships/customXml" Target="../customXml/item138.xml"/><Relationship Id="rId198" Type="http://schemas.openxmlformats.org/officeDocument/2006/relationships/customXml" Target="../customXml/item159.xml"/><Relationship Id="rId202" Type="http://schemas.openxmlformats.org/officeDocument/2006/relationships/customXml" Target="../customXml/item163.xml"/><Relationship Id="rId223" Type="http://schemas.openxmlformats.org/officeDocument/2006/relationships/customXml" Target="../customXml/item184.xml"/><Relationship Id="rId18" Type="http://schemas.openxmlformats.org/officeDocument/2006/relationships/pivotCacheDefinition" Target="pivotCache/pivotCacheDefinition7.xml"/><Relationship Id="rId39" Type="http://schemas.openxmlformats.org/officeDocument/2006/relationships/calcChain" Target="calcChain.xml"/><Relationship Id="rId50" Type="http://schemas.openxmlformats.org/officeDocument/2006/relationships/customXml" Target="../customXml/item11.xml"/><Relationship Id="rId104" Type="http://schemas.openxmlformats.org/officeDocument/2006/relationships/customXml" Target="../customXml/item65.xml"/><Relationship Id="rId125" Type="http://schemas.openxmlformats.org/officeDocument/2006/relationships/customXml" Target="../customXml/item86.xml"/><Relationship Id="rId146" Type="http://schemas.openxmlformats.org/officeDocument/2006/relationships/customXml" Target="../customXml/item107.xml"/><Relationship Id="rId167" Type="http://schemas.openxmlformats.org/officeDocument/2006/relationships/customXml" Target="../customXml/item128.xml"/><Relationship Id="rId188" Type="http://schemas.openxmlformats.org/officeDocument/2006/relationships/customXml" Target="../customXml/item149.xml"/><Relationship Id="rId71" Type="http://schemas.openxmlformats.org/officeDocument/2006/relationships/customXml" Target="../customXml/item32.xml"/><Relationship Id="rId92" Type="http://schemas.openxmlformats.org/officeDocument/2006/relationships/customXml" Target="../customXml/item53.xml"/><Relationship Id="rId213" Type="http://schemas.openxmlformats.org/officeDocument/2006/relationships/customXml" Target="../customXml/item174.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40" Type="http://schemas.openxmlformats.org/officeDocument/2006/relationships/customXml" Target="../customXml/item1.xml"/><Relationship Id="rId115" Type="http://schemas.openxmlformats.org/officeDocument/2006/relationships/customXml" Target="../customXml/item76.xml"/><Relationship Id="rId136" Type="http://schemas.openxmlformats.org/officeDocument/2006/relationships/customXml" Target="../customXml/item97.xml"/><Relationship Id="rId157" Type="http://schemas.openxmlformats.org/officeDocument/2006/relationships/customXml" Target="../customXml/item118.xml"/><Relationship Id="rId178" Type="http://schemas.openxmlformats.org/officeDocument/2006/relationships/customXml" Target="../customXml/item139.xml"/><Relationship Id="rId61" Type="http://schemas.openxmlformats.org/officeDocument/2006/relationships/customXml" Target="../customXml/item22.xml"/><Relationship Id="rId82" Type="http://schemas.openxmlformats.org/officeDocument/2006/relationships/customXml" Target="../customXml/item43.xml"/><Relationship Id="rId199" Type="http://schemas.openxmlformats.org/officeDocument/2006/relationships/customXml" Target="../customXml/item160.xml"/><Relationship Id="rId203" Type="http://schemas.openxmlformats.org/officeDocument/2006/relationships/customXml" Target="../customXml/item164.xml"/><Relationship Id="rId19" Type="http://schemas.openxmlformats.org/officeDocument/2006/relationships/pivotCacheDefinition" Target="pivotCache/pivotCacheDefinition8.xml"/><Relationship Id="rId224" Type="http://schemas.openxmlformats.org/officeDocument/2006/relationships/customXml" Target="../customXml/item185.xml"/><Relationship Id="rId30" Type="http://schemas.openxmlformats.org/officeDocument/2006/relationships/pivotCacheDefinition" Target="pivotCache/pivotCacheDefinition19.xml"/><Relationship Id="rId105" Type="http://schemas.openxmlformats.org/officeDocument/2006/relationships/customXml" Target="../customXml/item66.xml"/><Relationship Id="rId126" Type="http://schemas.openxmlformats.org/officeDocument/2006/relationships/customXml" Target="../customXml/item87.xml"/><Relationship Id="rId147" Type="http://schemas.openxmlformats.org/officeDocument/2006/relationships/customXml" Target="../customXml/item108.xml"/><Relationship Id="rId168" Type="http://schemas.openxmlformats.org/officeDocument/2006/relationships/customXml" Target="../customXml/item129.xml"/><Relationship Id="rId51" Type="http://schemas.openxmlformats.org/officeDocument/2006/relationships/customXml" Target="../customXml/item12.xml"/><Relationship Id="rId72" Type="http://schemas.openxmlformats.org/officeDocument/2006/relationships/customXml" Target="../customXml/item33.xml"/><Relationship Id="rId93" Type="http://schemas.openxmlformats.org/officeDocument/2006/relationships/customXml" Target="../customXml/item54.xml"/><Relationship Id="rId189" Type="http://schemas.openxmlformats.org/officeDocument/2006/relationships/customXml" Target="../customXml/item150.xml"/><Relationship Id="rId3" Type="http://schemas.openxmlformats.org/officeDocument/2006/relationships/worksheet" Target="worksheets/sheet3.xml"/><Relationship Id="rId214" Type="http://schemas.openxmlformats.org/officeDocument/2006/relationships/customXml" Target="../customXml/item175.xml"/><Relationship Id="rId116" Type="http://schemas.openxmlformats.org/officeDocument/2006/relationships/customXml" Target="../customXml/item77.xml"/><Relationship Id="rId137" Type="http://schemas.openxmlformats.org/officeDocument/2006/relationships/customXml" Target="../customXml/item98.xml"/><Relationship Id="rId158" Type="http://schemas.openxmlformats.org/officeDocument/2006/relationships/customXml" Target="../customXml/item119.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6.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0</c:v>
                </c:pt>
                <c:pt idx="1">
                  <c:v>0</c:v>
                </c:pt>
                <c:pt idx="2">
                  <c:v>2.7667403182132243E-2</c:v>
                </c:pt>
                <c:pt idx="3">
                  <c:v>0.97233259681786777</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rgbClr val="38434D"/>
            </a:solidFill>
            <a:ln>
              <a:noFill/>
            </a:ln>
            <a:effectLst/>
          </c:spPr>
          <c:invertIfNegative val="0"/>
          <c:cat>
            <c:strRef>
              <c:f>Data!$AG$28:$AG$30</c:f>
              <c:strCache>
                <c:ptCount val="3"/>
                <c:pt idx="0">
                  <c:v>May-24</c:v>
                </c:pt>
                <c:pt idx="1">
                  <c:v>Jun-24</c:v>
                </c:pt>
                <c:pt idx="2">
                  <c:v>Jul-24</c:v>
                </c:pt>
              </c:strCache>
            </c:strRef>
          </c:cat>
          <c:val>
            <c:numRef>
              <c:f>Data!$AH$28:$AH$30</c:f>
              <c:numCache>
                <c:formatCode>#,##0</c:formatCode>
                <c:ptCount val="3"/>
                <c:pt idx="0">
                  <c:v>18029.407205686242</c:v>
                </c:pt>
                <c:pt idx="1">
                  <c:v>16401.450126074356</c:v>
                </c:pt>
                <c:pt idx="2">
                  <c:v>16822.569064192194</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rgbClr val="ABAEA4"/>
            </a:solidFill>
            <a:ln>
              <a:noFill/>
            </a:ln>
            <a:effectLst/>
          </c:spPr>
          <c:invertIfNegative val="0"/>
          <c:cat>
            <c:strRef>
              <c:f>Data!$AG$28:$AG$30</c:f>
              <c:strCache>
                <c:ptCount val="3"/>
                <c:pt idx="0">
                  <c:v>May-24</c:v>
                </c:pt>
                <c:pt idx="1">
                  <c:v>Jun-24</c:v>
                </c:pt>
                <c:pt idx="2">
                  <c:v>Jul-24</c:v>
                </c:pt>
              </c:strCache>
            </c:strRef>
          </c:cat>
          <c:val>
            <c:numRef>
              <c:f>Data!$AI$28:$AI$30</c:f>
              <c:numCache>
                <c:formatCode>#,##0</c:formatCode>
                <c:ptCount val="3"/>
                <c:pt idx="0">
                  <c:v>31227.748491222792</c:v>
                </c:pt>
                <c:pt idx="1">
                  <c:v>31067.125406550505</c:v>
                </c:pt>
                <c:pt idx="2">
                  <c:v>32172.833540030737</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rgbClr val="EAE9CB"/>
            </a:solidFill>
            <a:ln>
              <a:noFill/>
            </a:ln>
            <a:effectLst/>
          </c:spPr>
          <c:invertIfNegative val="0"/>
          <c:cat>
            <c:strRef>
              <c:f>Data!$AG$28:$AG$30</c:f>
              <c:strCache>
                <c:ptCount val="3"/>
                <c:pt idx="0">
                  <c:v>May-24</c:v>
                </c:pt>
                <c:pt idx="1">
                  <c:v>Jun-24</c:v>
                </c:pt>
                <c:pt idx="2">
                  <c:v>Jul-24</c:v>
                </c:pt>
              </c:strCache>
            </c:strRef>
          </c:cat>
          <c:val>
            <c:numRef>
              <c:f>Data!$AJ$28:$AJ$30</c:f>
              <c:numCache>
                <c:formatCode>#,##0</c:formatCode>
                <c:ptCount val="3"/>
                <c:pt idx="0">
                  <c:v>38614.425100643202</c:v>
                </c:pt>
                <c:pt idx="1">
                  <c:v>39060.712424119301</c:v>
                </c:pt>
                <c:pt idx="2">
                  <c:v>37857.273268431563</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rgbClr val="718597"/>
            </a:solidFill>
            <a:ln>
              <a:noFill/>
            </a:ln>
            <a:effectLst/>
          </c:spPr>
          <c:invertIfNegative val="0"/>
          <c:cat>
            <c:strRef>
              <c:f>Data!$AG$28:$AG$30</c:f>
              <c:strCache>
                <c:ptCount val="3"/>
                <c:pt idx="0">
                  <c:v>May-24</c:v>
                </c:pt>
                <c:pt idx="1">
                  <c:v>Jun-24</c:v>
                </c:pt>
                <c:pt idx="2">
                  <c:v>Jul-24</c:v>
                </c:pt>
              </c:strCache>
            </c:strRef>
          </c:cat>
          <c:val>
            <c:numRef>
              <c:f>Data!$AK$28:$AK$30</c:f>
              <c:numCache>
                <c:formatCode>#,##0</c:formatCode>
                <c:ptCount val="3"/>
                <c:pt idx="0">
                  <c:v>15515.976736702187</c:v>
                </c:pt>
                <c:pt idx="1">
                  <c:v>15528.443812538881</c:v>
                </c:pt>
                <c:pt idx="2">
                  <c:v>15982.833225580287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Dashboard.xlsx]Data!PivotTable1</c:name>
    <c:fmtId val="1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rgbClr val="A8A788"/>
            </a:solidFill>
            <a:ln>
              <a:noFill/>
            </a:ln>
            <a:effectLst/>
          </c:spPr>
          <c:invertIfNegative val="0"/>
          <c:dPt>
            <c:idx val="4"/>
            <c:invertIfNegative val="0"/>
            <c:bubble3D val="0"/>
            <c:extLst>
              <c:ext xmlns:c16="http://schemas.microsoft.com/office/drawing/2014/chart" uri="{C3380CC4-5D6E-409C-BE32-E72D297353CC}">
                <c16:uniqueId val="{00000000-444B-4601-A534-2F571AD9FEED}"/>
              </c:ext>
            </c:extLst>
          </c:dPt>
          <c:cat>
            <c:strRef>
              <c:f>Data!$B$10:$B$12</c:f>
              <c:strCache>
                <c:ptCount val="3"/>
                <c:pt idx="0">
                  <c:v>May-24</c:v>
                </c:pt>
                <c:pt idx="1">
                  <c:v>Jun-24</c:v>
                </c:pt>
                <c:pt idx="2">
                  <c:v>Jul-24</c:v>
                </c:pt>
              </c:strCache>
            </c:strRef>
          </c:cat>
          <c:val>
            <c:numRef>
              <c:f>Data!$C$10:$C$12</c:f>
              <c:numCache>
                <c:formatCode>#,##0</c:formatCode>
                <c:ptCount val="3"/>
                <c:pt idx="0">
                  <c:v>111944.47209591963</c:v>
                </c:pt>
                <c:pt idx="1">
                  <c:v>115302.80625879722</c:v>
                </c:pt>
                <c:pt idx="2">
                  <c:v>118761.89044656114</c:v>
                </c:pt>
              </c:numCache>
            </c:numRef>
          </c:val>
          <c:extLst>
            <c:ext xmlns:c16="http://schemas.microsoft.com/office/drawing/2014/chart" uri="{C3380CC4-5D6E-409C-BE32-E72D297353CC}">
              <c16:uniqueId val="{00000001-444B-4601-A534-2F571AD9FEED}"/>
            </c:ext>
          </c:extLst>
        </c:ser>
        <c:dLbls>
          <c:showLegendKey val="0"/>
          <c:showVal val="0"/>
          <c:showCatName val="0"/>
          <c:showSerName val="0"/>
          <c:showPercent val="0"/>
          <c:showBubbleSize val="0"/>
        </c:dLbls>
        <c:gapWidth val="219"/>
        <c:overlap val="-27"/>
        <c:axId val="1558826863"/>
        <c:axId val="1558823983"/>
      </c:barChart>
      <c:lineChart>
        <c:grouping val="standard"/>
        <c:varyColors val="0"/>
        <c:ser>
          <c:idx val="1"/>
          <c:order val="1"/>
          <c:tx>
            <c:strRef>
              <c:f>Data!$D$9</c:f>
              <c:strCache>
                <c:ptCount val="1"/>
                <c:pt idx="0">
                  <c:v>Gross margin</c:v>
                </c:pt>
              </c:strCache>
            </c:strRef>
          </c:tx>
          <c:spPr>
            <a:ln w="28575" cap="rnd">
              <a:solidFill>
                <a:srgbClr val="38434D"/>
              </a:solidFill>
              <a:round/>
            </a:ln>
            <a:effectLst>
              <a:softEdge rad="0"/>
            </a:effectLst>
          </c:spPr>
          <c:marker>
            <c:symbol val="none"/>
          </c:marker>
          <c:cat>
            <c:strRef>
              <c:f>Data!$B$10:$B$12</c:f>
              <c:strCache>
                <c:ptCount val="3"/>
                <c:pt idx="0">
                  <c:v>May-24</c:v>
                </c:pt>
                <c:pt idx="1">
                  <c:v>Jun-24</c:v>
                </c:pt>
                <c:pt idx="2">
                  <c:v>Jul-24</c:v>
                </c:pt>
              </c:strCache>
            </c:strRef>
          </c:cat>
          <c:val>
            <c:numRef>
              <c:f>Data!$D$10:$D$12</c:f>
              <c:numCache>
                <c:formatCode>#,##0.00%;\-#,##0.00%;#,##0.00%</c:formatCode>
                <c:ptCount val="3"/>
                <c:pt idx="0">
                  <c:v>0.81973827632481056</c:v>
                </c:pt>
                <c:pt idx="1">
                  <c:v>0.79904087757595799</c:v>
                </c:pt>
                <c:pt idx="2">
                  <c:v>0.85829608316875317</c:v>
                </c:pt>
              </c:numCache>
            </c:numRef>
          </c:val>
          <c:smooth val="1"/>
          <c:extLst>
            <c:ext xmlns:c16="http://schemas.microsoft.com/office/drawing/2014/chart" uri="{C3380CC4-5D6E-409C-BE32-E72D297353CC}">
              <c16:uniqueId val="{00000002-444B-4601-A534-2F571AD9FEED}"/>
            </c:ext>
          </c:extLst>
        </c:ser>
        <c:dLbls>
          <c:showLegendKey val="0"/>
          <c:showVal val="0"/>
          <c:showCatName val="0"/>
          <c:showSerName val="0"/>
          <c:showPercent val="0"/>
          <c:showBubbleSize val="0"/>
        </c:dLbls>
        <c:marker val="1"/>
        <c:smooth val="0"/>
        <c:axId val="1555755647"/>
        <c:axId val="1555733487"/>
      </c:line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valAx>
        <c:axId val="1555733487"/>
        <c:scaling>
          <c:orientation val="minMax"/>
          <c:max val="1"/>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55647"/>
        <c:crosses val="max"/>
        <c:crossBetween val="between"/>
      </c:valAx>
      <c:catAx>
        <c:axId val="1555755647"/>
        <c:scaling>
          <c:orientation val="minMax"/>
        </c:scaling>
        <c:delete val="1"/>
        <c:axPos val="t"/>
        <c:numFmt formatCode="General" sourceLinked="1"/>
        <c:majorTickMark val="out"/>
        <c:minorTickMark val="none"/>
        <c:tickLblPos val="nextTo"/>
        <c:crossAx val="1555733487"/>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Dashboard.xlsx]Data!Opex by Dept and Month</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E9CB"/>
          </a:solidFill>
          <a:ln>
            <a:noFill/>
          </a:ln>
          <a:effectLst/>
        </c:spPr>
      </c:pivotFmt>
      <c:pivotFmt>
        <c:idx val="13"/>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rgbClr val="38434D"/>
            </a:solidFill>
            <a:ln>
              <a:noFill/>
            </a:ln>
            <a:effectLst/>
          </c:spPr>
          <c:invertIfNegative val="0"/>
          <c:cat>
            <c:strRef>
              <c:f>Data!$AG$10:$AG$12</c:f>
              <c:strCache>
                <c:ptCount val="3"/>
                <c:pt idx="0">
                  <c:v>May-24</c:v>
                </c:pt>
                <c:pt idx="1">
                  <c:v>Jun-24</c:v>
                </c:pt>
                <c:pt idx="2">
                  <c:v>Jul-24</c:v>
                </c:pt>
              </c:strCache>
            </c:strRef>
          </c:cat>
          <c:val>
            <c:numRef>
              <c:f>Data!$AH$10:$AH$12</c:f>
              <c:numCache>
                <c:formatCode>#,##0</c:formatCode>
                <c:ptCount val="3"/>
                <c:pt idx="0">
                  <c:v>12189.626999134529</c:v>
                </c:pt>
                <c:pt idx="1">
                  <c:v>12023.518620775505</c:v>
                </c:pt>
                <c:pt idx="2">
                  <c:v>11894.970766132357</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rgbClr val="718597"/>
            </a:solidFill>
            <a:ln>
              <a:noFill/>
            </a:ln>
            <a:effectLst/>
          </c:spPr>
          <c:invertIfNegative val="0"/>
          <c:cat>
            <c:strRef>
              <c:f>Data!$AG$10:$AG$12</c:f>
              <c:strCache>
                <c:ptCount val="3"/>
                <c:pt idx="0">
                  <c:v>May-24</c:v>
                </c:pt>
                <c:pt idx="1">
                  <c:v>Jun-24</c:v>
                </c:pt>
                <c:pt idx="2">
                  <c:v>Jul-24</c:v>
                </c:pt>
              </c:strCache>
            </c:strRef>
          </c:cat>
          <c:val>
            <c:numRef>
              <c:f>Data!$AI$10:$AI$12</c:f>
              <c:numCache>
                <c:formatCode>#,##0</c:formatCode>
                <c:ptCount val="3"/>
                <c:pt idx="0">
                  <c:v>32277.813474329087</c:v>
                </c:pt>
                <c:pt idx="1">
                  <c:v>31632.257204842495</c:v>
                </c:pt>
                <c:pt idx="2">
                  <c:v>32838.838861917866</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rgbClr val="ABAEA4"/>
            </a:solidFill>
            <a:ln>
              <a:noFill/>
            </a:ln>
            <a:effectLst/>
          </c:spPr>
          <c:invertIfNegative val="0"/>
          <c:cat>
            <c:strRef>
              <c:f>Data!$AG$10:$AG$12</c:f>
              <c:strCache>
                <c:ptCount val="3"/>
                <c:pt idx="0">
                  <c:v>May-24</c:v>
                </c:pt>
                <c:pt idx="1">
                  <c:v>Jun-24</c:v>
                </c:pt>
                <c:pt idx="2">
                  <c:v>Jul-24</c:v>
                </c:pt>
              </c:strCache>
            </c:strRef>
          </c:cat>
          <c:val>
            <c:numRef>
              <c:f>Data!$AJ$10:$AJ$12</c:f>
              <c:numCache>
                <c:formatCode>#,##0</c:formatCode>
                <c:ptCount val="3"/>
                <c:pt idx="0">
                  <c:v>22722.700923026958</c:v>
                </c:pt>
                <c:pt idx="1">
                  <c:v>23128.108775404224</c:v>
                </c:pt>
                <c:pt idx="2">
                  <c:v>21769.636886875916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rgbClr val="EAE9CB"/>
            </a:solidFill>
            <a:ln>
              <a:noFill/>
            </a:ln>
            <a:effectLst/>
          </c:spPr>
          <c:invertIfNegative val="0"/>
          <c:cat>
            <c:strRef>
              <c:f>Data!$AG$10:$AG$12</c:f>
              <c:strCache>
                <c:ptCount val="3"/>
                <c:pt idx="0">
                  <c:v>May-24</c:v>
                </c:pt>
                <c:pt idx="1">
                  <c:v>Jun-24</c:v>
                </c:pt>
                <c:pt idx="2">
                  <c:v>Jul-24</c:v>
                </c:pt>
              </c:strCache>
            </c:strRef>
          </c:cat>
          <c:val>
            <c:numRef>
              <c:f>Data!$AK$10:$AK$12</c:f>
              <c:numCache>
                <c:formatCode>#,##0</c:formatCode>
                <c:ptCount val="3"/>
                <c:pt idx="0">
                  <c:v>36197.416137763859</c:v>
                </c:pt>
                <c:pt idx="1">
                  <c:v>35273.847168260814</c:v>
                </c:pt>
                <c:pt idx="2">
                  <c:v>36332.062583308631</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317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Dashboard.xlsx]Data!Opex by Dept_No period</c:name>
    <c:fmtId val="2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434D"/>
          </a:solidFill>
          <a:ln w="19050">
            <a:noFill/>
          </a:ln>
          <a:effectLst/>
        </c:spPr>
      </c:pivotFmt>
      <c:pivotFmt>
        <c:idx val="2"/>
        <c:spPr>
          <a:solidFill>
            <a:srgbClr val="718597"/>
          </a:solidFill>
          <a:ln w="19050">
            <a:noFill/>
          </a:ln>
          <a:effectLst/>
        </c:spPr>
      </c:pivotFmt>
      <c:pivotFmt>
        <c:idx val="3"/>
        <c:spPr>
          <a:solidFill>
            <a:srgbClr val="ABAEA4"/>
          </a:solidFill>
          <a:ln w="19050">
            <a:noFill/>
          </a:ln>
          <a:effectLst/>
        </c:spPr>
      </c:pivotFmt>
      <c:pivotFmt>
        <c:idx val="4"/>
        <c:spPr>
          <a:solidFill>
            <a:srgbClr val="F7F6DE"/>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718597"/>
          </a:solidFill>
          <a:ln w="19050">
            <a:noFill/>
          </a:ln>
          <a:effectLst/>
        </c:spPr>
      </c:pivotFmt>
      <c:pivotFmt>
        <c:idx val="8"/>
        <c:spPr>
          <a:solidFill>
            <a:srgbClr val="ABAEA4"/>
          </a:solidFill>
          <a:ln w="19050">
            <a:noFill/>
          </a:ln>
          <a:effectLst/>
        </c:spPr>
      </c:pivotFmt>
      <c:pivotFmt>
        <c:idx val="9"/>
        <c:spPr>
          <a:solidFill>
            <a:srgbClr val="F7F6DE"/>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718597"/>
          </a:solidFill>
          <a:ln w="19050">
            <a:noFill/>
          </a:ln>
          <a:effectLst/>
        </c:spPr>
      </c:pivotFmt>
      <c:pivotFmt>
        <c:idx val="13"/>
        <c:spPr>
          <a:solidFill>
            <a:srgbClr val="ABAEA4"/>
          </a:solidFill>
          <a:ln w="19050">
            <a:noFill/>
          </a:ln>
          <a:effectLst/>
        </c:spPr>
      </c:pivotFmt>
      <c:pivotFmt>
        <c:idx val="14"/>
        <c:spPr>
          <a:solidFill>
            <a:srgbClr val="F7F6DE"/>
          </a:solidFill>
          <a:ln w="19050">
            <a:no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718597"/>
          </a:solidFill>
          <a:ln w="19050">
            <a:noFill/>
          </a:ln>
          <a:effectLst/>
        </c:spPr>
      </c:pivotFmt>
      <c:pivotFmt>
        <c:idx val="18"/>
        <c:spPr>
          <a:solidFill>
            <a:srgbClr val="ABAEA4"/>
          </a:solidFill>
          <a:ln w="19050">
            <a:noFill/>
          </a:ln>
          <a:effectLst/>
        </c:spPr>
      </c:pivotFmt>
      <c:pivotFmt>
        <c:idx val="19"/>
        <c:spPr>
          <a:solidFill>
            <a:srgbClr val="F7F6DE"/>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718597"/>
          </a:solidFill>
          <a:ln w="19050">
            <a:noFill/>
          </a:ln>
          <a:effectLst/>
        </c:spPr>
      </c:pivotFmt>
      <c:pivotFmt>
        <c:idx val="23"/>
        <c:spPr>
          <a:solidFill>
            <a:srgbClr val="ABAEA4"/>
          </a:solidFill>
          <a:ln w="19050">
            <a:noFill/>
          </a:ln>
          <a:effectLst/>
        </c:spPr>
      </c:pivotFmt>
      <c:pivotFmt>
        <c:idx val="24"/>
        <c:spPr>
          <a:solidFill>
            <a:srgbClr val="F7F6DE"/>
          </a:solidFill>
          <a:ln w="19050">
            <a:noFill/>
          </a:ln>
          <a:effectLst/>
        </c:spPr>
      </c:pivotFmt>
    </c:pivotFmts>
    <c:plotArea>
      <c:layout/>
      <c:pieChart>
        <c:varyColors val="1"/>
        <c:ser>
          <c:idx val="0"/>
          <c:order val="0"/>
          <c:tx>
            <c:strRef>
              <c:f>Data!$AN$11</c:f>
              <c:strCache>
                <c:ptCount val="1"/>
                <c:pt idx="0">
                  <c:v>Total</c:v>
                </c:pt>
              </c:strCache>
            </c:strRef>
          </c:tx>
          <c:spPr>
            <a:ln>
              <a:noFill/>
            </a:ln>
          </c:spPr>
          <c:dPt>
            <c:idx val="0"/>
            <c:bubble3D val="0"/>
            <c:spPr>
              <a:solidFill>
                <a:srgbClr val="38434D"/>
              </a:solidFill>
              <a:ln w="19050">
                <a:noFill/>
              </a:ln>
              <a:effectLst/>
            </c:spPr>
            <c:extLst>
              <c:ext xmlns:c16="http://schemas.microsoft.com/office/drawing/2014/chart" uri="{C3380CC4-5D6E-409C-BE32-E72D297353CC}">
                <c16:uniqueId val="{00000001-C046-4F06-B507-9D47D69B6F22}"/>
              </c:ext>
            </c:extLst>
          </c:dPt>
          <c:dPt>
            <c:idx val="1"/>
            <c:bubble3D val="0"/>
            <c:spPr>
              <a:solidFill>
                <a:srgbClr val="718597"/>
              </a:solidFill>
              <a:ln w="19050">
                <a:noFill/>
              </a:ln>
              <a:effectLst/>
            </c:spPr>
            <c:extLst>
              <c:ext xmlns:c16="http://schemas.microsoft.com/office/drawing/2014/chart" uri="{C3380CC4-5D6E-409C-BE32-E72D297353CC}">
                <c16:uniqueId val="{00000003-C046-4F06-B507-9D47D69B6F22}"/>
              </c:ext>
            </c:extLst>
          </c:dPt>
          <c:dPt>
            <c:idx val="2"/>
            <c:bubble3D val="0"/>
            <c:spPr>
              <a:solidFill>
                <a:srgbClr val="ABAEA4"/>
              </a:solidFill>
              <a:ln w="19050">
                <a:noFill/>
              </a:ln>
              <a:effectLst/>
            </c:spPr>
            <c:extLst>
              <c:ext xmlns:c16="http://schemas.microsoft.com/office/drawing/2014/chart" uri="{C3380CC4-5D6E-409C-BE32-E72D297353CC}">
                <c16:uniqueId val="{00000005-C046-4F06-B507-9D47D69B6F22}"/>
              </c:ext>
            </c:extLst>
          </c:dPt>
          <c:dPt>
            <c:idx val="3"/>
            <c:bubble3D val="0"/>
            <c:spPr>
              <a:solidFill>
                <a:srgbClr val="F7F6DE"/>
              </a:solidFill>
              <a:ln w="19050">
                <a:no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36108.116386042399</c:v>
                </c:pt>
                <c:pt idx="1">
                  <c:v>96748.909541089422</c:v>
                </c:pt>
                <c:pt idx="2">
                  <c:v>67620.446585307087</c:v>
                </c:pt>
                <c:pt idx="3">
                  <c:v>107803.32588933336</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Dashboard.xlsx]Data!PivotTable5</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38434D"/>
          </a:solidFill>
          <a:ln w="19050">
            <a:noFill/>
          </a:ln>
          <a:effectLst/>
        </c:spPr>
      </c:pivotFmt>
      <c:pivotFmt>
        <c:idx val="2"/>
        <c:spPr>
          <a:solidFill>
            <a:srgbClr val="ABAEA4"/>
          </a:solidFill>
          <a:ln w="19050">
            <a:noFill/>
          </a:ln>
          <a:effectLst/>
        </c:spPr>
      </c:pivotFmt>
      <c:pivotFmt>
        <c:idx val="3"/>
        <c:spPr>
          <a:solidFill>
            <a:schemeClr val="accent1"/>
          </a:solidFill>
          <a:ln w="19050">
            <a:noFill/>
          </a:ln>
          <a:effectLst/>
        </c:spPr>
      </c:pivotFmt>
      <c:pivotFmt>
        <c:idx val="4"/>
        <c:spPr>
          <a:solidFill>
            <a:srgbClr val="718597"/>
          </a:solidFill>
          <a:ln w="19050">
            <a:no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ABAEA4"/>
          </a:solidFill>
          <a:ln w="19050">
            <a:noFill/>
          </a:ln>
          <a:effectLst/>
        </c:spPr>
      </c:pivotFmt>
      <c:pivotFmt>
        <c:idx val="8"/>
        <c:spPr>
          <a:solidFill>
            <a:schemeClr val="accent1"/>
          </a:solidFill>
          <a:ln w="19050">
            <a:noFill/>
          </a:ln>
          <a:effectLst/>
        </c:spPr>
      </c:pivotFmt>
      <c:pivotFmt>
        <c:idx val="9"/>
        <c:spPr>
          <a:solidFill>
            <a:srgbClr val="718597"/>
          </a:solidFill>
          <a:ln w="19050">
            <a:no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ABAEA4"/>
          </a:solidFill>
          <a:ln w="19050">
            <a:noFill/>
          </a:ln>
          <a:effectLst/>
        </c:spPr>
      </c:pivotFmt>
      <c:pivotFmt>
        <c:idx val="13"/>
        <c:spPr>
          <a:solidFill>
            <a:schemeClr val="accent3"/>
          </a:solidFill>
          <a:ln w="19050">
            <a:noFill/>
          </a:ln>
          <a:effectLst/>
        </c:spPr>
      </c:pivotFmt>
      <c:pivotFmt>
        <c:idx val="14"/>
        <c:spPr>
          <a:solidFill>
            <a:srgbClr val="718597"/>
          </a:solidFill>
          <a:ln w="19050">
            <a:no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ABAEA4"/>
          </a:solidFill>
          <a:ln w="19050">
            <a:noFill/>
          </a:ln>
          <a:effectLst/>
        </c:spPr>
      </c:pivotFmt>
      <c:pivotFmt>
        <c:idx val="18"/>
        <c:spPr>
          <a:solidFill>
            <a:schemeClr val="accent3"/>
          </a:solidFill>
          <a:ln w="19050">
            <a:noFill/>
          </a:ln>
          <a:effectLst/>
        </c:spPr>
      </c:pivotFmt>
      <c:pivotFmt>
        <c:idx val="19"/>
        <c:spPr>
          <a:solidFill>
            <a:srgbClr val="718597"/>
          </a:solidFill>
          <a:ln w="19050">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ABAEA4"/>
          </a:solidFill>
          <a:ln w="19050">
            <a:noFill/>
          </a:ln>
          <a:effectLst/>
        </c:spPr>
      </c:pivotFmt>
      <c:pivotFmt>
        <c:idx val="23"/>
        <c:spPr>
          <a:solidFill>
            <a:schemeClr val="accent3"/>
          </a:solidFill>
          <a:ln w="19050">
            <a:noFill/>
          </a:ln>
          <a:effectLst/>
        </c:spPr>
      </c:pivotFmt>
      <c:pivotFmt>
        <c:idx val="24"/>
        <c:spPr>
          <a:solidFill>
            <a:srgbClr val="718597"/>
          </a:solidFill>
          <a:ln w="19050">
            <a:noFill/>
          </a:ln>
          <a:effectLst/>
        </c:spPr>
      </c:pivotFmt>
    </c:pivotFmts>
    <c:plotArea>
      <c:layout/>
      <c:pieChart>
        <c:varyColors val="1"/>
        <c:ser>
          <c:idx val="0"/>
          <c:order val="0"/>
          <c:tx>
            <c:strRef>
              <c:f>Data!$AN$26</c:f>
              <c:strCache>
                <c:ptCount val="1"/>
                <c:pt idx="0">
                  <c:v>Total</c:v>
                </c:pt>
              </c:strCache>
            </c:strRef>
          </c:tx>
          <c:dPt>
            <c:idx val="0"/>
            <c:bubble3D val="0"/>
            <c:spPr>
              <a:solidFill>
                <a:srgbClr val="38434D"/>
              </a:solidFill>
              <a:ln w="19050">
                <a:noFill/>
              </a:ln>
              <a:effectLst/>
            </c:spPr>
            <c:extLst>
              <c:ext xmlns:c16="http://schemas.microsoft.com/office/drawing/2014/chart" uri="{C3380CC4-5D6E-409C-BE32-E72D297353CC}">
                <c16:uniqueId val="{00000001-F25C-4030-A4E3-3CEA61C3EBFF}"/>
              </c:ext>
            </c:extLst>
          </c:dPt>
          <c:dPt>
            <c:idx val="1"/>
            <c:bubble3D val="0"/>
            <c:spPr>
              <a:solidFill>
                <a:srgbClr val="ABAEA4"/>
              </a:solidFill>
              <a:ln w="19050">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w="19050">
                <a:noFill/>
              </a:ln>
              <a:effectLst/>
            </c:spPr>
            <c:extLst>
              <c:ext xmlns:c16="http://schemas.microsoft.com/office/drawing/2014/chart" uri="{C3380CC4-5D6E-409C-BE32-E72D297353CC}">
                <c16:uniqueId val="{00000005-F25C-4030-A4E3-3CEA61C3EBFF}"/>
              </c:ext>
            </c:extLst>
          </c:dPt>
          <c:dPt>
            <c:idx val="3"/>
            <c:bubble3D val="0"/>
            <c:spPr>
              <a:solidFill>
                <a:srgbClr val="718597"/>
              </a:solidFill>
              <a:ln w="19050">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51253.426395952789</c:v>
                </c:pt>
                <c:pt idx="1">
                  <c:v>94467.707437804027</c:v>
                </c:pt>
                <c:pt idx="2">
                  <c:v>115532.4107931941</c:v>
                </c:pt>
                <c:pt idx="3">
                  <c:v>47027.253774821358</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0.20619363510871402</c:v>
                </c:pt>
                <c:pt idx="3">
                  <c:v>0.79380636489128598</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8.8830434475094342E-3</c:v>
                </c:pt>
                <c:pt idx="1">
                  <c:v>0.99111695655249055</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3.587752570308822E-2</c:v>
                </c:pt>
                <c:pt idx="1">
                  <c:v>0.96412247429691178</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0.1214624449755719</c:v>
                </c:pt>
                <c:pt idx="1">
                  <c:v>0.8785375550244281</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0.13535490367314468</c:v>
                </c:pt>
                <c:pt idx="1">
                  <c:v>0.86464509632685527</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0.20619363510871402</c:v>
                </c:pt>
                <c:pt idx="3">
                  <c:v>0.79380636489128598</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150069</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75768" y="4763410"/>
          <a:ext cx="1603697" cy="1343631"/>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2032000" y="4763410"/>
          <a:ext cx="1711646" cy="1343631"/>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851275" y="4763410"/>
          <a:ext cx="1640888" cy="1343631"/>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400956" y="7250794"/>
          <a:ext cx="1603696" cy="1343631"/>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rgbClr val="38434D"/>
                </a:solidFill>
                <a:latin typeface="Aptos Narrow"/>
                <a:ea typeface="+mn-ea"/>
                <a:cs typeface="+mn-cs"/>
              </a:rPr>
              <a:pPr marL="0" indent="0" algn="l"/>
              <a:t>+3,047</a:t>
            </a:fld>
            <a:endParaRPr lang="en-US" sz="2400" b="1" i="0" u="none" strike="noStrike">
              <a:solidFill>
                <a:srgbClr val="38434D"/>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2070100" y="7250794"/>
          <a:ext cx="1711646" cy="1343631"/>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rgbClr val="38434D"/>
                </a:solidFill>
                <a:latin typeface="Aptos Narrow"/>
                <a:ea typeface="+mn-ea"/>
                <a:cs typeface="+mn-cs"/>
              </a:rPr>
              <a:pPr marL="0" indent="0" algn="l"/>
              <a:t>+9,900</a:t>
            </a:fld>
            <a:endParaRPr lang="en-US" sz="2400" b="1" i="0" u="none" strike="noStrike">
              <a:solidFill>
                <a:srgbClr val="38434D"/>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889375" y="7250794"/>
          <a:ext cx="1640888" cy="1343631"/>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+7,601</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400956" y="9779000"/>
          <a:ext cx="1603696" cy="1276956"/>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rgbClr val="38434D"/>
              </a:solidFill>
              <a:latin typeface="Aptos Narrow"/>
              <a:ea typeface="+mn-ea"/>
              <a:cs typeface="+mn-cs"/>
            </a:rPr>
            <a:pPr marL="0" indent="0" algn="l"/>
            <a:t>+37,475</a:t>
          </a:fld>
          <a:endParaRPr lang="en-US" sz="2400" b="1" i="0" u="none" strike="noStrike">
            <a:solidFill>
              <a:srgbClr val="38434D"/>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2070100" y="9779000"/>
          <a:ext cx="1711646" cy="1276956"/>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rgbClr val="38434D"/>
              </a:solidFill>
              <a:latin typeface="Aptos Narrow"/>
              <a:ea typeface="+mn-ea"/>
              <a:cs typeface="+mn-cs"/>
            </a:rPr>
            <a:pPr marL="0" indent="0" algn="l"/>
            <a:t>+34,076</a:t>
          </a:fld>
          <a:endParaRPr lang="en-US" sz="2400" b="1" i="0" u="none" strike="noStrike">
            <a:solidFill>
              <a:srgbClr val="38434D"/>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889375" y="9779000"/>
          <a:ext cx="1640888" cy="1276956"/>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+12,077</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3% miss</a:t>
          </a:fld>
          <a:endParaRPr lang="en-US" sz="1200" b="0" i="1">
            <a:solidFill>
              <a:srgbClr val="718597"/>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21% miss</a:t>
          </a:fld>
          <a:endParaRPr lang="en-US" sz="1200" b="0" i="1" u="none" strike="noStrike">
            <a:solidFill>
              <a:srgbClr val="718597"/>
            </a:solidFill>
            <a:latin typeface="Aptos Narrow"/>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1% hit</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4% hit</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12% hit</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14% hit</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26</xdr:col>
      <xdr:colOff>1704975</xdr:colOff>
      <xdr:row>41</xdr:row>
      <xdr:rowOff>123825</xdr:rowOff>
    </xdr:from>
    <xdr:to>
      <xdr:col>34</xdr:col>
      <xdr:colOff>257175</xdr:colOff>
      <xdr:row>56</xdr:row>
      <xdr:rowOff>9525</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21%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24999996"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25925928"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3">
        <s v="May-24"/>
        <s v="Jun-24"/>
        <s v="Jul-24"/>
      </sharedItems>
      <extLst>
        <ext xmlns:x15="http://schemas.microsoft.com/office/spreadsheetml/2010/11/main" uri="{4F2E5C28-24EA-4eb8-9CBF-B6C8F9C3D259}">
          <x15:cachedUniqueNames>
            <x15:cachedUniqueName index="0" name="[Calendar].[MMM-YY].&amp;[May-24]"/>
            <x15:cachedUniqueName index="1" name="[Calendar].[MMM-YY].&amp;[Jun-24]"/>
            <x15:cachedUniqueName index="2"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2858796"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31134262"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32523147"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34027779"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35532411"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38078705"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0740738"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3750001"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4560186"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3">
        <s v="May-24"/>
        <s v="Jun-24"/>
        <s v="Jul-24"/>
      </sharedItems>
      <extLst>
        <ext xmlns:x15="http://schemas.microsoft.com/office/spreadsheetml/2010/11/main" uri="{4F2E5C28-24EA-4eb8-9CBF-B6C8F9C3D259}">
          <x15:cachedUniqueNames>
            <x15:cachedUniqueName index="0" name="[Calendar].[MMM-YY].&amp;[May-24]"/>
            <x15:cachedUniqueName index="1" name="[Calendar].[MMM-YY].&amp;[Jun-24]"/>
            <x15:cachedUniqueName index="2"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548611"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3">
        <s v="May-24"/>
        <s v="Jun-24"/>
        <s v="Jul-24"/>
      </sharedItems>
      <extLst>
        <ext xmlns:x15="http://schemas.microsoft.com/office/spreadsheetml/2010/11/main" uri="{4F2E5C28-24EA-4eb8-9CBF-B6C8F9C3D259}">
          <x15:cachedUniqueNames>
            <x15:cachedUniqueName index="0" name="[Calendar].[MMM-YY].&amp;[May-24]"/>
            <x15:cachedUniqueName index="1" name="[Calendar].[MMM-YY].&amp;[Jun-24]"/>
            <x15:cachedUniqueName index="2"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6064818"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7453704"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Revenue" u="1"/>
        <s v="COGS" u="1"/>
        <s v="EBITDA" u="1"/>
        <s v="Gross Profit" u="1"/>
        <s v="Other Expenses" u="1"/>
        <s v="Net Income" u="1"/>
        <s v="Net Other Income" u="1"/>
        <s v="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Revenue]"/>
            <x15:cachedUniqueName index="5" name="[Mappings].[Summary Grouping].&amp;[COGS]"/>
            <x15:cachedUniqueName index="6" name="[Mappings].[Summary Grouping].&amp;[EBITDA]"/>
            <x15:cachedUniqueName index="7" name="[Mappings].[Summary Grouping].&amp;[Gross Profit]"/>
            <x15:cachedUniqueName index="8" name="[Mappings].[Summary Grouping].&amp;[Other Expenses]"/>
            <x15:cachedUniqueName index="9" name="[Mappings].[Summary Grouping].&amp;[Net Income]"/>
            <x15:cachedUniqueName index="10" name="[Mappings].[Summary Grouping].&amp;[Net Other Income]"/>
            <x15:cachedUniqueName index="11" name="[Mappings].[Summary Grouping].&amp;[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7800927"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8263889"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3">
        <s v="May-24"/>
        <s v="Jun-24"/>
        <s v="Jul-24"/>
      </sharedItems>
      <extLst>
        <ext xmlns:x15="http://schemas.microsoft.com/office/spreadsheetml/2010/11/main" uri="{4F2E5C28-24EA-4eb8-9CBF-B6C8F9C3D259}">
          <x15:cachedUniqueNames>
            <x15:cachedUniqueName index="0" name="[Calendar].[MMM-YY].&amp;[May-24]"/>
            <x15:cachedUniqueName index="1" name="[Calendar].[MMM-YY].&amp;[Jun-24]"/>
            <x15:cachedUniqueName index="2"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8611112"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8958335"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3">
        <s v="May-24"/>
        <s v="Jun-24"/>
        <s v="Jul-24"/>
      </sharedItems>
      <extLst>
        <ext xmlns:x15="http://schemas.microsoft.com/office/spreadsheetml/2010/11/main" uri="{4F2E5C28-24EA-4eb8-9CBF-B6C8F9C3D259}">
          <x15:cachedUniqueNames>
            <x15:cachedUniqueName index="0" name="[Calendar].[MMM-YY].&amp;[May-24]"/>
            <x15:cachedUniqueName index="1" name="[Calendar].[MMM-YY].&amp;[Jun-24]"/>
            <x15:cachedUniqueName index="2"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8.396549305558"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8"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17">
      <pivotArea field="0" type="button" dataOnly="0" labelOnly="1" outline="0" axis="axisRow" fieldPosition="0"/>
    </format>
    <format dxfId="16">
      <pivotArea dataOnly="0" labelOnly="1" outline="0" fieldPosition="0">
        <references count="1">
          <reference field="4294967294" count="4">
            <x v="0"/>
            <x v="1"/>
            <x v="2"/>
            <x v="3"/>
          </reference>
        </references>
      </pivotArea>
    </format>
    <format dxfId="15">
      <pivotArea field="0" type="button" dataOnly="0" labelOnly="1" outline="0" axis="axisRow" fieldPosition="0"/>
    </format>
    <format dxfId="14">
      <pivotArea dataOnly="0" labelOnly="1" outline="0" fieldPosition="0">
        <references count="1">
          <reference field="4294967294" count="4">
            <x v="0"/>
            <x v="1"/>
            <x v="2"/>
            <x v="3"/>
          </reference>
        </references>
      </pivotArea>
    </format>
    <format dxfId="13">
      <pivotArea field="0" type="button" dataOnly="0" labelOnly="1" outline="0" axis="axisRow" fieldPosition="0"/>
    </format>
    <format dxfId="1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3"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23">
      <pivotArea field="0" type="button" dataOnly="0" labelOnly="1" outline="0" axis="axisRow" fieldPosition="0"/>
    </format>
    <format dxfId="22">
      <pivotArea dataOnly="0" labelOnly="1" outline="0" fieldPosition="0">
        <references count="1">
          <reference field="4294967294" count="4">
            <x v="0"/>
            <x v="1"/>
            <x v="2"/>
            <x v="3"/>
          </reference>
        </references>
      </pivotArea>
    </format>
    <format dxfId="21">
      <pivotArea field="0" type="button" dataOnly="0" labelOnly="1" outline="0" axis="axisRow" fieldPosition="0"/>
    </format>
    <format dxfId="20">
      <pivotArea dataOnly="0" labelOnly="1" outline="0" fieldPosition="0">
        <references count="1">
          <reference field="4294967294" count="4">
            <x v="0"/>
            <x v="1"/>
            <x v="2"/>
            <x v="3"/>
          </reference>
        </references>
      </pivotArea>
    </format>
    <format dxfId="19">
      <pivotArea field="0" type="button" dataOnly="0" labelOnly="1" outline="0" axis="axisRow" fieldPosition="0"/>
    </format>
    <format dxfId="1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7"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29">
      <pivotArea field="0" type="button" dataOnly="0" labelOnly="1" outline="0" axis="axisRow" fieldPosition="0"/>
    </format>
    <format dxfId="28">
      <pivotArea dataOnly="0" labelOnly="1" outline="0" fieldPosition="0">
        <references count="1">
          <reference field="4294967294" count="4">
            <x v="0"/>
            <x v="1"/>
            <x v="2"/>
            <x v="3"/>
          </reference>
        </references>
      </pivotArea>
    </format>
    <format dxfId="27">
      <pivotArea field="0" type="button" dataOnly="0" labelOnly="1" outline="0" axis="axisRow" fieldPosition="0"/>
    </format>
    <format dxfId="26">
      <pivotArea dataOnly="0" labelOnly="1" outline="0" fieldPosition="0">
        <references count="1">
          <reference field="4294967294" count="4">
            <x v="0"/>
            <x v="1"/>
            <x v="2"/>
            <x v="3"/>
          </reference>
        </references>
      </pivotArea>
    </format>
    <format dxfId="25">
      <pivotArea field="0" type="button" dataOnly="0" labelOnly="1" outline="0" axis="axisRow" fieldPosition="0"/>
    </format>
    <format dxfId="2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1"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1" rowHeaderCaption="Revenue &amp; Gross Margin">
  <location ref="B9:D12"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4">
        <item x="0"/>
        <item x="1"/>
        <item x="2"/>
        <item t="default"/>
      </items>
    </pivotField>
  </pivotFields>
  <rowFields count="1">
    <field x="4"/>
  </rowFields>
  <rowItems count="3">
    <i>
      <x/>
    </i>
    <i>
      <x v="1"/>
    </i>
    <i>
      <x v="2"/>
    </i>
  </rowItems>
  <colFields count="1">
    <field x="-2"/>
  </colFields>
  <colItems count="2">
    <i>
      <x/>
    </i>
    <i i="1">
      <x v="1"/>
    </i>
  </colItems>
  <dataFields count="2">
    <dataField fld="2" subtotal="count" baseField="0" baseItem="0"/>
    <dataField fld="3" subtotal="count" baseField="0" baseItem="0"/>
  </dataFields>
  <formats count="4">
    <format dxfId="33">
      <pivotArea dataOnly="0" labelOnly="1" outline="0" fieldPosition="0">
        <references count="1">
          <reference field="4294967294" count="2">
            <x v="0"/>
            <x v="1"/>
          </reference>
        </references>
      </pivotArea>
    </format>
    <format dxfId="32">
      <pivotArea dataOnly="0" labelOnly="1" outline="0" fieldPosition="0">
        <references count="1">
          <reference field="4294967294" count="2">
            <x v="0"/>
            <x v="1"/>
          </reference>
        </references>
      </pivotArea>
    </format>
    <format dxfId="31">
      <pivotArea dataOnly="0" labelOnly="1" outline="0" fieldPosition="0">
        <references count="1">
          <reference field="4294967294" count="2">
            <x v="0"/>
            <x v="1"/>
          </reference>
        </references>
      </pivotArea>
    </format>
    <format dxfId="30">
      <pivotArea field="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15"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30"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4">
        <item x="0"/>
        <item x="1"/>
        <item x="2"/>
        <item t="default"/>
      </items>
    </pivotField>
  </pivotFields>
  <rowFields count="1">
    <field x="4"/>
  </rowFields>
  <rowItems count="3">
    <i>
      <x/>
    </i>
    <i>
      <x v="1"/>
    </i>
    <i>
      <x v="2"/>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17"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12"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4">
        <item x="0"/>
        <item x="1"/>
        <item x="2"/>
        <item t="default"/>
      </items>
    </pivotField>
  </pivotFields>
  <rowFields count="1">
    <field x="4"/>
  </rowFields>
  <rowItems count="3">
    <i>
      <x/>
    </i>
    <i>
      <x v="1"/>
    </i>
    <i>
      <x v="2"/>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34">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14"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4"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37">
      <pivotArea type="all" dataOnly="0" outline="0" fieldPosition="0"/>
    </format>
    <format dxfId="36">
      <pivotArea outline="0" collapsedLevelsAreSubtotals="1" fieldPosition="0"/>
    </format>
    <format dxfId="35">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4"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43">
      <pivotArea field="6" type="button" dataOnly="0" labelOnly="1" outline="0" axis="axisRow" fieldPosition="0"/>
    </format>
    <format dxfId="42">
      <pivotArea dataOnly="0" labelOnly="1" outline="0" fieldPosition="0">
        <references count="1">
          <reference field="4294967294" count="4">
            <x v="0"/>
            <x v="1"/>
            <x v="2"/>
            <x v="3"/>
          </reference>
        </references>
      </pivotArea>
    </format>
    <format dxfId="41">
      <pivotArea field="6" type="button" dataOnly="0" labelOnly="1" outline="0" axis="axisRow" fieldPosition="0"/>
    </format>
    <format dxfId="40">
      <pivotArea dataOnly="0" labelOnly="1" outline="0" fieldPosition="0">
        <references count="1">
          <reference field="4294967294" count="4">
            <x v="0"/>
            <x v="1"/>
            <x v="2"/>
            <x v="3"/>
          </reference>
        </references>
      </pivotArea>
    </format>
    <format dxfId="39">
      <pivotArea field="6" type="button" dataOnly="0" labelOnly="1" outline="0" axis="axisRow" fieldPosition="0"/>
    </format>
    <format dxfId="3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18"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50">
      <pivotArea dataOnly="0" labelOnly="1" fieldPosition="0">
        <references count="1">
          <reference field="3" count="0"/>
        </references>
      </pivotArea>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outline="0" axis="axisValues" fieldPosition="0"/>
    </format>
    <format dxfId="44">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5"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6">
    <format dxfId="56">
      <pivotArea field="6" type="button" dataOnly="0" labelOnly="1" outline="0" axis="axisRow" fieldPosition="0"/>
    </format>
    <format dxfId="55">
      <pivotArea dataOnly="0" labelOnly="1" outline="0" fieldPosition="0">
        <references count="1">
          <reference field="4294967294" count="4">
            <x v="0"/>
            <x v="1"/>
            <x v="2"/>
            <x v="3"/>
          </reference>
        </references>
      </pivotArea>
    </format>
    <format dxfId="54">
      <pivotArea field="6" type="button" dataOnly="0" labelOnly="1" outline="0" axis="axisRow" fieldPosition="0"/>
    </format>
    <format dxfId="53">
      <pivotArea dataOnly="0" labelOnly="1" outline="0" fieldPosition="0">
        <references count="1">
          <reference field="4294967294" count="4">
            <x v="0"/>
            <x v="1"/>
            <x v="2"/>
            <x v="3"/>
          </reference>
        </references>
      </pivotArea>
    </format>
    <format dxfId="52">
      <pivotArea field="6" type="button" dataOnly="0" labelOnly="1" outline="0" axis="axisRow" fieldPosition="0"/>
    </format>
    <format dxfId="51">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16"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59">
      <pivotArea type="all" dataOnly="0" outline="0" fieldPosition="0"/>
    </format>
    <format dxfId="58">
      <pivotArea outline="0" collapsedLevelsAreSubtotals="1" fieldPosition="0"/>
    </format>
    <format dxfId="57">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10"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25" rowHeaderCaption=" " colHeaderCaption=" ">
  <location ref="AG8:AK12"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4">
        <item x="0"/>
        <item x="1"/>
        <item x="2"/>
        <item t="default"/>
      </items>
    </pivotField>
  </pivotFields>
  <rowFields count="1">
    <field x="4"/>
  </rowFields>
  <rowItems count="3">
    <i>
      <x/>
    </i>
    <i>
      <x v="1"/>
    </i>
    <i>
      <x v="2"/>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60">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12"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0"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67">
      <pivotArea dataOnly="0" labelOnly="1" fieldPosition="0">
        <references count="1">
          <reference field="3" count="0"/>
        </references>
      </pivotArea>
    </format>
    <format dxfId="66">
      <pivotArea type="all" dataOnly="0" outline="0" fieldPosition="0"/>
    </format>
    <format dxfId="65">
      <pivotArea outline="0" collapsedLevelsAreSubtotals="1"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outline="0" axis="axisValues" fieldPosition="0"/>
    </format>
    <format dxfId="61">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11"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AG26:AK30"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4">
        <item x="0"/>
        <item x="1"/>
        <item x="2"/>
        <item t="default"/>
      </items>
    </pivotField>
  </pivotFields>
  <rowFields count="1">
    <field x="4"/>
  </rowFields>
  <rowItems count="3">
    <i>
      <x/>
    </i>
    <i>
      <x v="1"/>
    </i>
    <i>
      <x v="2"/>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6"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73">
      <pivotArea field="6" type="button" dataOnly="0" labelOnly="1" outline="0" axis="axisRow" fieldPosition="0"/>
    </format>
    <format dxfId="72">
      <pivotArea dataOnly="0" labelOnly="1" outline="0" fieldPosition="0">
        <references count="1">
          <reference field="4294967294" count="4">
            <x v="0"/>
            <x v="1"/>
            <x v="2"/>
            <x v="3"/>
          </reference>
        </references>
      </pivotArea>
    </format>
    <format dxfId="71">
      <pivotArea field="6" type="button" dataOnly="0" labelOnly="1" outline="0" axis="axisRow" fieldPosition="0"/>
    </format>
    <format dxfId="70">
      <pivotArea dataOnly="0" labelOnly="1" outline="0" fieldPosition="0">
        <references count="1">
          <reference field="4294967294" count="4">
            <x v="0"/>
            <x v="1"/>
            <x v="2"/>
            <x v="3"/>
          </reference>
        </references>
      </pivotArea>
    </format>
    <format dxfId="69">
      <pivotArea field="6" type="button" dataOnly="0" labelOnly="1" outline="0" axis="axisRow" fieldPosition="0"/>
    </format>
    <format dxfId="6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0"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79">
      <pivotArea field="0" type="button" dataOnly="0" labelOnly="1" outline="0" axis="axisRow" fieldPosition="0"/>
    </format>
    <format dxfId="78">
      <pivotArea dataOnly="0" labelOnly="1" outline="0" fieldPosition="0">
        <references count="1">
          <reference field="4294967294" count="4">
            <x v="0"/>
            <x v="1"/>
            <x v="2"/>
            <x v="3"/>
          </reference>
        </references>
      </pivotArea>
    </format>
    <format dxfId="77">
      <pivotArea field="0" type="button" dataOnly="0" labelOnly="1" outline="0" axis="axisRow" fieldPosition="0"/>
    </format>
    <format dxfId="76">
      <pivotArea dataOnly="0" labelOnly="1" outline="0" fieldPosition="0">
        <references count="1">
          <reference field="4294967294" count="4">
            <x v="0"/>
            <x v="1"/>
            <x v="2"/>
            <x v="3"/>
          </reference>
        </references>
      </pivotArea>
    </format>
    <format dxfId="75">
      <pivotArea field="0" type="button" dataOnly="0" labelOnly="1" outline="0" axis="axisRow" fieldPosition="0"/>
    </format>
    <format dxfId="7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2"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6">
    <format dxfId="85">
      <pivotArea field="0" type="button" dataOnly="0" labelOnly="1" outline="0" axis="axisRow" fieldPosition="0"/>
    </format>
    <format dxfId="84">
      <pivotArea dataOnly="0" labelOnly="1" outline="0" fieldPosition="0">
        <references count="1">
          <reference field="4294967294" count="4">
            <x v="0"/>
            <x v="1"/>
            <x v="2"/>
            <x v="3"/>
          </reference>
        </references>
      </pivotArea>
    </format>
    <format dxfId="83">
      <pivotArea field="0" type="button" dataOnly="0" labelOnly="1" outline="0" axis="axisRow" fieldPosition="0"/>
    </format>
    <format dxfId="82">
      <pivotArea dataOnly="0" labelOnly="1" outline="0" fieldPosition="0">
        <references count="1">
          <reference field="4294967294" count="4">
            <x v="0"/>
            <x v="1"/>
            <x v="2"/>
            <x v="3"/>
          </reference>
        </references>
      </pivotArea>
    </format>
    <format dxfId="81">
      <pivotArea field="0" type="button" dataOnly="0" labelOnly="1" outline="0" axis="axisRow" fieldPosition="0"/>
    </format>
    <format dxfId="80">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13"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5"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e="0"/>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7">
    <i>
      <x/>
    </i>
    <i>
      <x v="1"/>
    </i>
    <i>
      <x v="2"/>
    </i>
    <i>
      <x v="3"/>
    </i>
    <i r="1">
      <x/>
    </i>
    <i r="2">
      <x/>
    </i>
    <i r="2">
      <x v="1"/>
    </i>
    <i r="1">
      <x v="1"/>
    </i>
    <i r="1">
      <x v="2"/>
    </i>
    <i r="1">
      <x v="3"/>
    </i>
    <i>
      <x v="4"/>
    </i>
    <i>
      <x v="5"/>
    </i>
    <i>
      <x v="6"/>
    </i>
    <i>
      <x v="7"/>
    </i>
    <i>
      <x v="8"/>
    </i>
    <i>
      <x v="9"/>
    </i>
    <i t="grand">
      <x/>
    </i>
  </rowItems>
  <colItems count="1">
    <i/>
  </colItems>
  <pageFields count="1">
    <pageField fld="0" hier="14" name="[Departments].[Departments].[All]" cap="All"/>
  </pageFields>
  <dataFields count="1">
    <dataField fld="1" subtotal="count" baseField="0" baseItem="0"/>
  </dataFields>
  <formats count="6">
    <format dxfId="91">
      <pivotArea field="0" type="button" dataOnly="0" labelOnly="1" outline="0" axis="axisPage" fieldPosition="0"/>
    </format>
    <format dxfId="90">
      <pivotArea dataOnly="0" labelOnly="1" outline="0" fieldPosition="0">
        <references count="1">
          <reference field="4294967294" count="1">
            <x v="0"/>
          </reference>
        </references>
      </pivotArea>
    </format>
    <format dxfId="89">
      <pivotArea field="0" type="button" dataOnly="0" labelOnly="1" outline="0" axis="axisPage" fieldPosition="0"/>
    </format>
    <format dxfId="88">
      <pivotArea dataOnly="0" labelOnly="1" outline="0" fieldPosition="0">
        <references count="1">
          <reference field="4294967294" count="1">
            <x v="0"/>
          </reference>
        </references>
      </pivotArea>
    </format>
    <format dxfId="87">
      <pivotArea field="0" type="button" dataOnly="0" labelOnly="1" outline="0" axis="axisPage" fieldPosition="0"/>
    </format>
    <format dxfId="86">
      <pivotArea dataOnly="0" labelOnly="1" outline="0" fieldPosition="0">
        <references count="1">
          <reference field="4294967294"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9"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8">
    <format dxfId="99">
      <pivotArea field="0" type="button" dataOnly="0" labelOnly="1" outline="0" axis="axisRow" fieldPosition="0"/>
    </format>
    <format dxfId="98">
      <pivotArea dataOnly="0" labelOnly="1" outline="0" fieldPosition="0">
        <references count="1">
          <reference field="4294967294" count="4">
            <x v="0"/>
            <x v="1"/>
            <x v="2"/>
            <x v="3"/>
          </reference>
        </references>
      </pivotArea>
    </format>
    <format dxfId="97">
      <pivotArea collapsedLevelsAreSubtotals="1" fieldPosition="0">
        <references count="1">
          <reference field="0" count="1">
            <x v="0"/>
          </reference>
        </references>
      </pivotArea>
    </format>
    <format dxfId="96">
      <pivotArea dataOnly="0" labelOnly="1" fieldPosition="0">
        <references count="1">
          <reference field="0" count="1">
            <x v="0"/>
          </reference>
        </references>
      </pivotArea>
    </format>
    <format dxfId="95">
      <pivotArea collapsedLevelsAreSubtotals="1" fieldPosition="0">
        <references count="1">
          <reference field="0" count="1">
            <x v="0"/>
          </reference>
        </references>
      </pivotArea>
    </format>
    <format dxfId="94">
      <pivotArea dataOnly="0" labelOnly="1" fieldPosition="0">
        <references count="1">
          <reference field="0" count="1">
            <x v="0"/>
          </reference>
        </references>
      </pivotArea>
    </format>
    <format dxfId="93">
      <pivotArea collapsedLevelsAreSubtotals="1" fieldPosition="0">
        <references count="1">
          <reference field="0" count="1">
            <x v="0"/>
          </reference>
        </references>
      </pivotArea>
    </format>
    <format dxfId="92">
      <pivotArea dataOnly="0" labelOnly="1" fieldPosition="0">
        <references count="1">
          <reference field="0"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3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Trailing 3 Month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11" dataDxfId="10">
  <autoFilter ref="L2:L10" xr:uid="{3A28AF3F-F03B-4753-A8E4-6828A631F4B7}"/>
  <tableColumns count="1">
    <tableColumn id="1" xr3:uid="{A1B2C5D1-9A09-4ABE-9EBD-E53B8B007FCF}" name="Period" dataDxf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8"/>
    <tableColumn id="3" xr3:uid="{B5D4D38A-CACD-40D7-9BF9-9209200B6C71}" name="Section" dataDxfId="7"/>
    <tableColumn id="2" xr3:uid="{3ABF6A49-5639-46AE-B6FA-F987F1258C80}" name="Summary Grouping"/>
    <tableColumn id="4" xr3:uid="{E7E58B7C-9308-498E-BC6F-D70DA3A0E80E}" name="Sig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6" dataDxfId="5" tableBorderDxfId="4">
  <autoFilter ref="B2:B6" xr:uid="{9E62B40D-A3CF-44CD-8F69-D8173787B32F}"/>
  <tableColumns count="1">
    <tableColumn id="1" xr3:uid="{8A51CB9F-CAAF-4013-A54C-A8776B5A4C9E}" name="Departments" dataDxfId="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2">
  <autoFilter ref="S2:T38" xr:uid="{E8CAD6F7-37AB-4530-80CD-B09B721DEF66}"/>
  <tableColumns count="2">
    <tableColumn id="1" xr3:uid="{6EE73E42-AA52-4DAD-B08F-D5182A1058B7}" name="Period"/>
    <tableColumn id="2" xr3:uid="{EC40A99C-7E58-47D9-B8C2-D6FA892E2D3B}" name="Date" dataDxfId="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0"/>
    <tableColumn id="2" xr3:uid="{878FE512-E846-41CA-8DCE-52E555A78ECD}" name="Sign"/>
  </tableColumns>
  <tableStyleInfo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2"/>
  <sheetViews>
    <sheetView showGridLines="0" zoomScale="50" zoomScaleNormal="70" workbookViewId="0">
      <selection activeCell="F54" sqref="F54"/>
    </sheetView>
  </sheetViews>
  <sheetFormatPr defaultColWidth="8.81640625" defaultRowHeight="14.5" x14ac:dyDescent="0.35"/>
  <cols>
    <col min="1" max="1" width="3.54296875" style="49" customWidth="1"/>
    <col min="2" max="2" width="8.81640625" style="49"/>
    <col min="3" max="3" width="8.81640625" style="49" customWidth="1"/>
    <col min="4" max="4" width="8.81640625" style="49"/>
    <col min="5" max="5" width="10" style="49" customWidth="1"/>
    <col min="6" max="9" width="8.81640625" style="49"/>
    <col min="10" max="10" width="8.81640625" style="49" customWidth="1"/>
    <col min="11" max="13" width="8.81640625" style="49"/>
    <col min="14" max="14" width="11" style="49" customWidth="1"/>
    <col min="15" max="18" width="8.81640625" style="49"/>
    <col min="19" max="19" width="14.54296875" style="49" bestFit="1" customWidth="1"/>
    <col min="20" max="20" width="15.1796875" style="49" bestFit="1" customWidth="1"/>
    <col min="21" max="22" width="12.453125" style="49" customWidth="1"/>
    <col min="23" max="26" width="8.81640625" style="49"/>
    <col min="27" max="27" width="14.54296875" style="49" bestFit="1" customWidth="1"/>
    <col min="28" max="28" width="15.1796875" style="49" bestFit="1" customWidth="1"/>
    <col min="29" max="30" width="12.453125" style="49" customWidth="1"/>
    <col min="31" max="16384" width="8.81640625" style="49"/>
  </cols>
  <sheetData>
    <row r="1" spans="1:30" ht="61.9" customHeight="1" x14ac:dyDescent="0.35">
      <c r="A1" s="47"/>
      <c r="B1" s="47"/>
      <c r="C1" s="108" t="s">
        <v>0</v>
      </c>
      <c r="D1" s="109"/>
      <c r="E1" s="109"/>
      <c r="F1" s="109"/>
      <c r="G1" s="109"/>
      <c r="H1" s="109"/>
      <c r="I1" s="109"/>
      <c r="J1" s="109"/>
      <c r="K1" s="109"/>
      <c r="L1" s="47"/>
      <c r="M1" s="47"/>
      <c r="N1" s="47"/>
      <c r="O1" s="47"/>
      <c r="P1" s="47"/>
      <c r="Q1" s="47"/>
      <c r="R1" s="47"/>
      <c r="S1" s="47"/>
      <c r="T1" s="47"/>
      <c r="U1" s="47"/>
      <c r="V1" s="47"/>
      <c r="W1" s="47"/>
      <c r="X1" s="47"/>
      <c r="Y1" s="48"/>
      <c r="Z1" s="48"/>
      <c r="AA1" s="110"/>
      <c r="AB1" s="110"/>
      <c r="AC1" s="110"/>
      <c r="AD1" s="54"/>
    </row>
    <row r="2" spans="1:30" ht="37.4" customHeight="1" x14ac:dyDescent="0.35">
      <c r="A2" s="57"/>
      <c r="B2" s="111"/>
      <c r="C2" s="111"/>
      <c r="D2" s="111"/>
      <c r="E2" s="57"/>
      <c r="F2" s="57"/>
      <c r="G2" s="57"/>
      <c r="H2" s="57"/>
      <c r="I2" s="57"/>
      <c r="J2" s="57"/>
      <c r="K2" s="57"/>
      <c r="L2" s="57"/>
      <c r="M2" s="57"/>
      <c r="N2" s="79"/>
      <c r="O2" s="115" t="s">
        <v>1</v>
      </c>
      <c r="P2" s="115"/>
      <c r="Q2" s="115"/>
      <c r="R2" s="115"/>
      <c r="S2" s="115"/>
      <c r="T2" s="115"/>
      <c r="U2" s="115"/>
      <c r="V2" s="116"/>
      <c r="W2" s="115" t="s">
        <v>2</v>
      </c>
      <c r="X2" s="115"/>
      <c r="Y2" s="115"/>
      <c r="Z2" s="115"/>
      <c r="AA2" s="115"/>
      <c r="AB2" s="115"/>
      <c r="AC2" s="115"/>
      <c r="AD2" s="117"/>
    </row>
    <row r="3" spans="1:30" x14ac:dyDescent="0.35">
      <c r="A3" s="50"/>
      <c r="B3" s="50"/>
      <c r="C3" s="50"/>
      <c r="D3" s="50"/>
      <c r="E3" s="50"/>
      <c r="F3" s="50"/>
      <c r="G3" s="50"/>
      <c r="H3" s="50"/>
      <c r="I3" s="50"/>
      <c r="J3" s="50"/>
      <c r="K3" s="50"/>
      <c r="L3" s="50"/>
      <c r="M3" s="50"/>
      <c r="N3" s="80"/>
      <c r="O3" s="51"/>
      <c r="P3" s="51"/>
      <c r="Q3" s="51"/>
      <c r="R3" s="51"/>
      <c r="S3" s="51"/>
      <c r="T3" s="51"/>
      <c r="U3" s="51"/>
      <c r="V3" s="83"/>
      <c r="W3" s="51"/>
      <c r="X3" s="51"/>
      <c r="Y3" s="51"/>
      <c r="Z3" s="51"/>
      <c r="AA3" s="51"/>
      <c r="AB3" s="51"/>
      <c r="AC3" s="51"/>
      <c r="AD3" s="55"/>
    </row>
    <row r="4" spans="1:30" x14ac:dyDescent="0.35">
      <c r="A4" s="50"/>
      <c r="B4" s="50"/>
      <c r="C4" s="50"/>
      <c r="D4" s="50"/>
      <c r="E4" s="50"/>
      <c r="F4" s="50"/>
      <c r="G4" s="50"/>
      <c r="H4" s="50"/>
      <c r="I4" s="50"/>
      <c r="J4" s="50"/>
      <c r="K4" s="50"/>
      <c r="L4" s="50"/>
      <c r="M4" s="50"/>
      <c r="N4" s="80"/>
      <c r="O4" s="51"/>
      <c r="P4" s="51"/>
      <c r="Q4" s="51"/>
      <c r="R4" s="51"/>
      <c r="S4" s="51"/>
      <c r="T4" s="51"/>
      <c r="U4" s="51"/>
      <c r="V4" s="83"/>
      <c r="W4" s="51"/>
      <c r="X4" s="51"/>
      <c r="Y4" s="51"/>
      <c r="Z4" s="51"/>
      <c r="AA4" s="51"/>
      <c r="AB4" s="51"/>
      <c r="AC4" s="51"/>
      <c r="AD4" s="55"/>
    </row>
    <row r="5" spans="1:30" x14ac:dyDescent="0.35">
      <c r="A5" s="50"/>
      <c r="B5" s="50"/>
      <c r="C5" s="50"/>
      <c r="D5" s="50"/>
      <c r="E5" s="50"/>
      <c r="F5" s="50"/>
      <c r="G5" s="50"/>
      <c r="H5" s="50"/>
      <c r="I5" s="50"/>
      <c r="J5" s="50"/>
      <c r="K5" s="50"/>
      <c r="L5" s="50"/>
      <c r="M5" s="50"/>
      <c r="N5" s="80"/>
      <c r="O5" s="51"/>
      <c r="P5" s="51"/>
      <c r="Q5" s="51"/>
      <c r="R5" s="51"/>
      <c r="S5" s="51"/>
      <c r="T5" s="51"/>
      <c r="U5" s="51"/>
      <c r="V5" s="83"/>
      <c r="W5" s="51"/>
      <c r="X5" s="51"/>
      <c r="Y5" s="51"/>
      <c r="Z5" s="51"/>
      <c r="AA5" s="51"/>
      <c r="AB5" s="51"/>
      <c r="AC5" s="51"/>
      <c r="AD5" s="55"/>
    </row>
    <row r="6" spans="1:30" x14ac:dyDescent="0.35">
      <c r="A6" s="50"/>
      <c r="B6" s="50"/>
      <c r="C6" s="50"/>
      <c r="D6" s="50"/>
      <c r="E6" s="50"/>
      <c r="F6" s="50"/>
      <c r="G6" s="50"/>
      <c r="H6" s="50"/>
      <c r="I6" s="50"/>
      <c r="J6" s="50"/>
      <c r="K6" s="50"/>
      <c r="L6" s="50"/>
      <c r="M6" s="50"/>
      <c r="N6" s="80"/>
      <c r="O6" s="51"/>
      <c r="P6" s="51"/>
      <c r="Q6" s="51"/>
      <c r="R6" s="51"/>
      <c r="S6" s="51"/>
      <c r="T6" s="51"/>
      <c r="U6" s="51"/>
      <c r="V6" s="83"/>
      <c r="W6" s="51"/>
      <c r="X6" s="51"/>
      <c r="Y6" s="51"/>
      <c r="Z6" s="51"/>
      <c r="AA6" s="51"/>
      <c r="AB6" s="51"/>
      <c r="AC6" s="51"/>
      <c r="AD6" s="55"/>
    </row>
    <row r="7" spans="1:30" x14ac:dyDescent="0.35">
      <c r="A7" s="50"/>
      <c r="B7" s="50"/>
      <c r="C7" s="50"/>
      <c r="D7" s="50"/>
      <c r="E7" s="50"/>
      <c r="F7" s="50"/>
      <c r="G7" s="50"/>
      <c r="H7" s="50"/>
      <c r="I7" s="50"/>
      <c r="J7" s="50"/>
      <c r="K7" s="50"/>
      <c r="L7" s="50"/>
      <c r="M7" s="50"/>
      <c r="N7" s="80"/>
      <c r="O7" s="51"/>
      <c r="P7" s="51"/>
      <c r="Q7" s="51"/>
      <c r="R7" s="51"/>
      <c r="S7" s="51"/>
      <c r="T7" s="51"/>
      <c r="U7" s="51"/>
      <c r="V7" s="83"/>
      <c r="W7" s="51"/>
      <c r="X7" s="51"/>
      <c r="Y7" s="51"/>
      <c r="Z7" s="51"/>
      <c r="AA7" s="51"/>
      <c r="AB7" s="51"/>
      <c r="AC7" s="51"/>
      <c r="AD7" s="55"/>
    </row>
    <row r="8" spans="1:30" x14ac:dyDescent="0.35">
      <c r="A8" s="50"/>
      <c r="B8" s="50"/>
      <c r="C8" s="50"/>
      <c r="D8" s="50"/>
      <c r="E8" s="50"/>
      <c r="F8" s="50"/>
      <c r="G8" s="50"/>
      <c r="H8" s="50"/>
      <c r="I8" s="50"/>
      <c r="J8" s="50"/>
      <c r="K8" s="50"/>
      <c r="L8" s="50"/>
      <c r="M8" s="50"/>
      <c r="N8" s="80"/>
      <c r="O8" s="51"/>
      <c r="P8" s="51"/>
      <c r="Q8" s="51"/>
      <c r="R8" s="51"/>
      <c r="S8" s="51"/>
      <c r="T8" s="51"/>
      <c r="U8" s="51"/>
      <c r="V8" s="83"/>
      <c r="W8" s="51"/>
      <c r="X8" s="51"/>
      <c r="Y8" s="51"/>
      <c r="Z8" s="51"/>
      <c r="AA8" s="51"/>
      <c r="AB8" s="51"/>
      <c r="AC8" s="51"/>
      <c r="AD8" s="55"/>
    </row>
    <row r="9" spans="1:30" x14ac:dyDescent="0.35">
      <c r="A9" s="50"/>
      <c r="B9" s="50"/>
      <c r="C9" s="50"/>
      <c r="D9" s="50"/>
      <c r="E9" s="50"/>
      <c r="F9" s="50"/>
      <c r="G9" s="50"/>
      <c r="H9" s="50"/>
      <c r="I9" s="50"/>
      <c r="J9" s="50"/>
      <c r="K9" s="50"/>
      <c r="L9" s="50"/>
      <c r="M9" s="50"/>
      <c r="N9" s="80"/>
      <c r="O9" s="51"/>
      <c r="P9" s="51"/>
      <c r="Q9" s="51"/>
      <c r="R9" s="51"/>
      <c r="S9" s="51"/>
      <c r="T9" s="51"/>
      <c r="U9" s="51"/>
      <c r="V9" s="83"/>
      <c r="W9" s="51"/>
      <c r="X9" s="51"/>
      <c r="Y9" s="51"/>
      <c r="Z9" s="51"/>
      <c r="AA9" s="51"/>
      <c r="AB9" s="51"/>
      <c r="AC9" s="51"/>
      <c r="AD9" s="55"/>
    </row>
    <row r="10" spans="1:30" x14ac:dyDescent="0.35">
      <c r="A10" s="50"/>
      <c r="B10" s="50"/>
      <c r="C10" s="50"/>
      <c r="D10" s="50"/>
      <c r="E10" s="50"/>
      <c r="F10" s="50"/>
      <c r="G10" s="50"/>
      <c r="H10" s="50"/>
      <c r="I10" s="50"/>
      <c r="J10" s="50"/>
      <c r="K10" s="50"/>
      <c r="L10" s="50"/>
      <c r="M10" s="50"/>
      <c r="N10" s="80"/>
      <c r="O10" s="51"/>
      <c r="P10" s="51"/>
      <c r="Q10" s="51"/>
      <c r="R10" s="51"/>
      <c r="S10" s="51"/>
      <c r="T10" s="51"/>
      <c r="U10" s="51"/>
      <c r="V10" s="83"/>
      <c r="W10" s="51"/>
      <c r="X10" s="51"/>
      <c r="Y10" s="51"/>
      <c r="Z10" s="51"/>
      <c r="AA10" s="51"/>
      <c r="AB10" s="51"/>
      <c r="AC10" s="51"/>
      <c r="AD10" s="55"/>
    </row>
    <row r="11" spans="1:30" x14ac:dyDescent="0.35">
      <c r="A11" s="50"/>
      <c r="B11" s="50"/>
      <c r="C11" s="50"/>
      <c r="D11" s="50"/>
      <c r="E11" s="50"/>
      <c r="F11" s="50"/>
      <c r="G11" s="50"/>
      <c r="H11" s="50"/>
      <c r="I11" s="50"/>
      <c r="J11" s="50"/>
      <c r="K11" s="50"/>
      <c r="L11" s="50"/>
      <c r="M11" s="50"/>
      <c r="N11" s="80"/>
      <c r="O11" s="51"/>
      <c r="P11" s="51"/>
      <c r="Q11" s="51"/>
      <c r="R11" s="51"/>
      <c r="S11" s="51"/>
      <c r="T11" s="51"/>
      <c r="U11" s="51"/>
      <c r="V11" s="83"/>
      <c r="W11" s="51"/>
      <c r="X11" s="51"/>
      <c r="Y11" s="51"/>
      <c r="Z11" s="51"/>
      <c r="AA11" s="51"/>
      <c r="AB11" s="51"/>
      <c r="AC11" s="51"/>
      <c r="AD11" s="55"/>
    </row>
    <row r="12" spans="1:30" x14ac:dyDescent="0.35">
      <c r="A12" s="50"/>
      <c r="B12" s="50"/>
      <c r="C12" s="50"/>
      <c r="D12" s="50"/>
      <c r="E12" s="50"/>
      <c r="F12" s="50"/>
      <c r="G12" s="50"/>
      <c r="H12" s="50"/>
      <c r="I12" s="50"/>
      <c r="J12" s="50"/>
      <c r="K12" s="50"/>
      <c r="L12" s="50"/>
      <c r="M12" s="50"/>
      <c r="N12" s="80"/>
      <c r="O12" s="51"/>
      <c r="P12" s="51"/>
      <c r="Q12" s="51"/>
      <c r="R12" s="51"/>
      <c r="S12" s="51"/>
      <c r="T12" s="51"/>
      <c r="U12" s="51"/>
      <c r="V12" s="83"/>
      <c r="W12" s="51"/>
      <c r="X12" s="51"/>
      <c r="Y12" s="51"/>
      <c r="Z12" s="51"/>
      <c r="AA12" s="51"/>
      <c r="AB12" s="51"/>
      <c r="AC12" s="51"/>
      <c r="AD12" s="55"/>
    </row>
    <row r="13" spans="1:30" x14ac:dyDescent="0.35">
      <c r="A13" s="50"/>
      <c r="B13" s="50"/>
      <c r="C13" s="50"/>
      <c r="D13" s="50"/>
      <c r="E13" s="50"/>
      <c r="F13" s="50"/>
      <c r="G13" s="50"/>
      <c r="H13" s="50"/>
      <c r="I13" s="50"/>
      <c r="J13" s="50"/>
      <c r="K13" s="50"/>
      <c r="L13" s="50"/>
      <c r="M13" s="50"/>
      <c r="N13" s="80"/>
      <c r="O13" s="51"/>
      <c r="P13" s="51"/>
      <c r="Q13" s="51"/>
      <c r="R13" s="51"/>
      <c r="S13" s="51"/>
      <c r="T13" s="51"/>
      <c r="U13" s="51"/>
      <c r="V13" s="83"/>
      <c r="W13" s="51"/>
      <c r="X13" s="51"/>
      <c r="Y13" s="51"/>
      <c r="Z13" s="51"/>
      <c r="AA13" s="51"/>
      <c r="AB13" s="51"/>
      <c r="AC13" s="51"/>
      <c r="AD13" s="55"/>
    </row>
    <row r="14" spans="1:30" x14ac:dyDescent="0.35">
      <c r="A14" s="50"/>
      <c r="B14" s="50"/>
      <c r="C14" s="50"/>
      <c r="D14" s="50"/>
      <c r="E14" s="50"/>
      <c r="F14" s="50"/>
      <c r="G14" s="50"/>
      <c r="H14" s="50"/>
      <c r="I14" s="50"/>
      <c r="J14" s="50"/>
      <c r="K14" s="50"/>
      <c r="L14" s="50"/>
      <c r="M14" s="50"/>
      <c r="N14" s="80"/>
      <c r="O14" s="51"/>
      <c r="P14" s="51"/>
      <c r="Q14" s="51"/>
      <c r="R14" s="51"/>
      <c r="S14" s="51"/>
      <c r="T14" s="51"/>
      <c r="U14" s="51"/>
      <c r="V14" s="83"/>
      <c r="W14" s="51"/>
      <c r="X14" s="51"/>
      <c r="Y14" s="51"/>
      <c r="Z14" s="51"/>
      <c r="AA14" s="51"/>
      <c r="AB14" s="51"/>
      <c r="AC14" s="51"/>
      <c r="AD14" s="55"/>
    </row>
    <row r="15" spans="1:30" x14ac:dyDescent="0.35">
      <c r="A15" s="50"/>
      <c r="B15" s="50"/>
      <c r="C15" s="50"/>
      <c r="D15" s="50"/>
      <c r="E15" s="50"/>
      <c r="F15" s="50"/>
      <c r="G15" s="50"/>
      <c r="H15" s="50"/>
      <c r="I15" s="50"/>
      <c r="J15" s="50"/>
      <c r="K15" s="50"/>
      <c r="L15" s="50"/>
      <c r="M15" s="50"/>
      <c r="N15" s="80"/>
      <c r="O15" s="51"/>
      <c r="P15" s="51"/>
      <c r="Q15" s="51"/>
      <c r="R15" s="51"/>
      <c r="S15" s="51"/>
      <c r="T15" s="51"/>
      <c r="U15" s="51"/>
      <c r="V15" s="83"/>
      <c r="W15" s="51"/>
      <c r="X15" s="51"/>
      <c r="Y15" s="51"/>
      <c r="Z15" s="51"/>
      <c r="AA15" s="51"/>
      <c r="AB15" s="51"/>
      <c r="AC15" s="51"/>
      <c r="AD15" s="55"/>
    </row>
    <row r="16" spans="1:30" x14ac:dyDescent="0.35">
      <c r="A16" s="52"/>
      <c r="B16" s="50"/>
      <c r="C16" s="50"/>
      <c r="D16" s="50"/>
      <c r="E16" s="50"/>
      <c r="F16" s="52"/>
      <c r="G16" s="52"/>
      <c r="H16" s="52"/>
      <c r="I16" s="52"/>
      <c r="J16" s="52"/>
      <c r="K16" s="52"/>
      <c r="L16" s="52"/>
      <c r="M16" s="52"/>
      <c r="N16" s="81"/>
      <c r="O16" s="53"/>
      <c r="P16" s="53"/>
      <c r="Q16" s="53"/>
      <c r="R16" s="53"/>
      <c r="S16" s="53"/>
      <c r="T16" s="53"/>
      <c r="U16" s="53"/>
      <c r="V16" s="84"/>
      <c r="W16" s="53"/>
      <c r="X16" s="53"/>
      <c r="Y16" s="53"/>
      <c r="Z16" s="53"/>
      <c r="AA16" s="53"/>
      <c r="AB16" s="53"/>
      <c r="AC16" s="53"/>
      <c r="AD16" s="56"/>
    </row>
    <row r="17" spans="1:30" ht="6" customHeight="1" x14ac:dyDescent="0.35">
      <c r="A17" s="74"/>
      <c r="B17" s="47"/>
      <c r="C17" s="47"/>
      <c r="D17" s="47"/>
      <c r="E17" s="47"/>
      <c r="F17" s="74"/>
      <c r="G17" s="74"/>
      <c r="H17" s="74"/>
      <c r="I17" s="74"/>
      <c r="J17" s="74"/>
      <c r="K17" s="74"/>
      <c r="L17" s="74"/>
      <c r="M17" s="74"/>
      <c r="N17" s="82"/>
      <c r="O17" s="75"/>
      <c r="P17" s="75"/>
      <c r="Q17" s="75"/>
      <c r="R17" s="75"/>
      <c r="S17" s="76"/>
      <c r="T17" s="76"/>
      <c r="U17" s="76"/>
      <c r="V17" s="85"/>
      <c r="W17" s="77"/>
      <c r="X17" s="77"/>
      <c r="Y17" s="77"/>
      <c r="Z17" s="77"/>
      <c r="AA17" s="76"/>
      <c r="AB17" s="76"/>
      <c r="AC17" s="76"/>
      <c r="AD17" s="78"/>
    </row>
    <row r="18" spans="1:30" ht="34.9" customHeight="1" x14ac:dyDescent="0.35">
      <c r="A18" s="57"/>
      <c r="B18" s="112" t="s">
        <v>3</v>
      </c>
      <c r="C18" s="112"/>
      <c r="D18" s="112"/>
      <c r="E18" s="112"/>
      <c r="F18" s="57"/>
      <c r="G18" s="57"/>
      <c r="H18" s="57"/>
      <c r="I18" s="57"/>
      <c r="J18" s="57"/>
      <c r="K18" s="57"/>
      <c r="L18" s="57"/>
      <c r="M18" s="57"/>
      <c r="N18" s="79"/>
      <c r="O18" s="113" t="s">
        <v>1</v>
      </c>
      <c r="P18" s="113"/>
      <c r="Q18" s="113"/>
      <c r="R18" s="113"/>
      <c r="S18" s="90" t="s">
        <v>4</v>
      </c>
      <c r="T18" s="90" t="s">
        <v>5</v>
      </c>
      <c r="U18" s="90" t="s">
        <v>6</v>
      </c>
      <c r="V18" s="91" t="s">
        <v>7</v>
      </c>
      <c r="W18" s="114" t="s">
        <v>2</v>
      </c>
      <c r="X18" s="114"/>
      <c r="Y18" s="114"/>
      <c r="Z18" s="114"/>
      <c r="AA18" s="90" t="s">
        <v>4</v>
      </c>
      <c r="AB18" s="90" t="s">
        <v>5</v>
      </c>
      <c r="AC18" s="90" t="s">
        <v>6</v>
      </c>
      <c r="AD18" s="90" t="s">
        <v>7</v>
      </c>
    </row>
    <row r="19" spans="1:30" ht="14.5" customHeight="1" x14ac:dyDescent="0.35">
      <c r="A19" s="51"/>
      <c r="B19" s="51"/>
      <c r="C19" s="51"/>
      <c r="D19" s="51"/>
      <c r="E19" s="51"/>
      <c r="F19" s="51"/>
      <c r="G19" s="51"/>
      <c r="H19" s="51"/>
      <c r="I19" s="51"/>
      <c r="J19" s="51"/>
      <c r="K19" s="51"/>
      <c r="L19" s="51"/>
      <c r="M19" s="51"/>
      <c r="N19" s="83"/>
      <c r="O19" s="102" t="s">
        <v>8</v>
      </c>
      <c r="P19" s="102"/>
      <c r="Q19" s="102"/>
      <c r="R19" s="102"/>
      <c r="S19" s="104">
        <f>Data!V10</f>
        <v>66200.372583499382</v>
      </c>
      <c r="T19" s="104">
        <f>Data!W10</f>
        <v>36108.116386042399</v>
      </c>
      <c r="U19" s="104">
        <f>Data!X10</f>
        <v>30092.256197456984</v>
      </c>
      <c r="V19" s="106">
        <f>Data!Y10</f>
        <v>0.83339313177491459</v>
      </c>
      <c r="W19" s="102" t="s">
        <v>9</v>
      </c>
      <c r="X19" s="102"/>
      <c r="Y19" s="102"/>
      <c r="Z19" s="102"/>
      <c r="AA19" s="104">
        <f>Data!AB10</f>
        <v>110794.84969880052</v>
      </c>
      <c r="AB19" s="104">
        <f>Data!AC10</f>
        <v>51253.426395952789</v>
      </c>
      <c r="AC19" s="104">
        <f>Data!AD10</f>
        <v>59541.423302847732</v>
      </c>
      <c r="AD19" s="118">
        <f>IFERROR(AC19/ABS(AA19),0)</f>
        <v>0.53740244663640113</v>
      </c>
    </row>
    <row r="20" spans="1:30" ht="14.5" customHeight="1" x14ac:dyDescent="0.35">
      <c r="A20" s="51"/>
      <c r="B20" s="51"/>
      <c r="C20" s="51"/>
      <c r="D20" s="51"/>
      <c r="E20" s="51"/>
      <c r="F20" s="51"/>
      <c r="G20" s="51"/>
      <c r="H20" s="51"/>
      <c r="I20" s="51"/>
      <c r="J20" s="51"/>
      <c r="K20" s="51"/>
      <c r="L20" s="51"/>
      <c r="M20" s="51"/>
      <c r="N20" s="83"/>
      <c r="O20" s="103"/>
      <c r="P20" s="103"/>
      <c r="Q20" s="103"/>
      <c r="R20" s="103"/>
      <c r="S20" s="105"/>
      <c r="T20" s="105"/>
      <c r="U20" s="105"/>
      <c r="V20" s="107"/>
      <c r="W20" s="103"/>
      <c r="X20" s="103"/>
      <c r="Y20" s="103"/>
      <c r="Z20" s="103"/>
      <c r="AA20" s="105"/>
      <c r="AB20" s="105"/>
      <c r="AC20" s="105"/>
      <c r="AD20" s="119"/>
    </row>
    <row r="21" spans="1:30" ht="14.5" customHeight="1" x14ac:dyDescent="0.35">
      <c r="A21" s="51"/>
      <c r="B21" s="51"/>
      <c r="C21" s="51"/>
      <c r="D21" s="51"/>
      <c r="E21" s="51"/>
      <c r="F21" s="51"/>
      <c r="G21" s="51"/>
      <c r="H21" s="51"/>
      <c r="I21" s="51"/>
      <c r="J21" s="51"/>
      <c r="K21" s="51"/>
      <c r="L21" s="51"/>
      <c r="M21" s="51"/>
      <c r="N21" s="83"/>
      <c r="O21" s="102" t="s">
        <v>10</v>
      </c>
      <c r="P21" s="102"/>
      <c r="Q21" s="102"/>
      <c r="R21" s="102"/>
      <c r="S21" s="104">
        <f>Data!V11</f>
        <v>108330.32002568121</v>
      </c>
      <c r="T21" s="104">
        <f>Data!W11</f>
        <v>96748.909541089422</v>
      </c>
      <c r="U21" s="104">
        <f>Data!X11</f>
        <v>11581.41048459179</v>
      </c>
      <c r="V21" s="106">
        <f>Data!Y12</f>
        <v>0.1996463366402782</v>
      </c>
      <c r="W21" s="102" t="s">
        <v>11</v>
      </c>
      <c r="X21" s="102"/>
      <c r="Y21" s="102"/>
      <c r="Z21" s="102"/>
      <c r="AA21" s="104">
        <f>Data!AB11</f>
        <v>126525.99948844803</v>
      </c>
      <c r="AB21" s="104">
        <f>Data!AC11</f>
        <v>94467.707437804027</v>
      </c>
      <c r="AC21" s="104">
        <f>Data!AD11</f>
        <v>32058.292050643999</v>
      </c>
      <c r="AD21" s="118">
        <f>IFERROR(AC21/ABS(AA21),0)</f>
        <v>0.25337315793005027</v>
      </c>
    </row>
    <row r="22" spans="1:30" ht="14.5" customHeight="1" x14ac:dyDescent="0.35">
      <c r="A22" s="51"/>
      <c r="B22" s="130" t="s">
        <v>12</v>
      </c>
      <c r="C22" s="130"/>
      <c r="D22" s="51"/>
      <c r="E22" s="132" t="str">
        <f>Data!Q49</f>
        <v>GROSS PROFIT</v>
      </c>
      <c r="F22" s="132"/>
      <c r="G22" s="51"/>
      <c r="H22" s="132" t="str">
        <f>Data!R49</f>
        <v>EBITDA</v>
      </c>
      <c r="I22" s="132"/>
      <c r="J22" s="51"/>
      <c r="K22" s="51"/>
      <c r="L22" s="51"/>
      <c r="M22" s="51"/>
      <c r="N22" s="83"/>
      <c r="O22" s="103"/>
      <c r="P22" s="103"/>
      <c r="Q22" s="103"/>
      <c r="R22" s="103"/>
      <c r="S22" s="105"/>
      <c r="T22" s="105"/>
      <c r="U22" s="105"/>
      <c r="V22" s="107"/>
      <c r="W22" s="103"/>
      <c r="X22" s="103"/>
      <c r="Y22" s="103"/>
      <c r="Z22" s="103"/>
      <c r="AA22" s="105"/>
      <c r="AB22" s="105"/>
      <c r="AC22" s="105"/>
      <c r="AD22" s="119"/>
    </row>
    <row r="23" spans="1:30" ht="14.5" customHeight="1" x14ac:dyDescent="0.35">
      <c r="A23" s="51"/>
      <c r="B23" s="51"/>
      <c r="C23" s="51"/>
      <c r="D23" s="51"/>
      <c r="E23" s="51"/>
      <c r="F23" s="51"/>
      <c r="G23" s="51"/>
      <c r="H23" s="87"/>
      <c r="I23" s="87"/>
      <c r="J23" s="51"/>
      <c r="K23" s="51"/>
      <c r="L23" s="51"/>
      <c r="M23" s="51"/>
      <c r="N23" s="83"/>
      <c r="O23" s="102" t="s">
        <v>13</v>
      </c>
      <c r="P23" s="102"/>
      <c r="Q23" s="102"/>
      <c r="R23" s="102"/>
      <c r="S23" s="104">
        <f>Data!V12</f>
        <v>81120.621028043257</v>
      </c>
      <c r="T23" s="104">
        <f>Data!W12</f>
        <v>67620.446585307087</v>
      </c>
      <c r="U23" s="104">
        <f>Data!X12</f>
        <v>13500.17444273617</v>
      </c>
      <c r="V23" s="106">
        <f>Data!Y14</f>
        <v>0.33610352241467173</v>
      </c>
      <c r="W23" s="102" t="s">
        <v>14</v>
      </c>
      <c r="X23" s="102"/>
      <c r="Y23" s="102"/>
      <c r="Z23" s="102"/>
      <c r="AA23" s="104">
        <f>Data!AB12</f>
        <v>139427.33763308355</v>
      </c>
      <c r="AB23" s="104">
        <f>Data!AC12</f>
        <v>115532.4107931941</v>
      </c>
      <c r="AC23" s="104">
        <f>Data!AD12</f>
        <v>23894.926839889449</v>
      </c>
      <c r="AD23" s="118">
        <f>IFERROR(AC23/ABS(AA23),0)</f>
        <v>0.17137906558017516</v>
      </c>
    </row>
    <row r="24" spans="1:30" ht="14.5" customHeight="1" x14ac:dyDescent="0.35">
      <c r="A24" s="51"/>
      <c r="B24" s="131">
        <f>Data!P57</f>
        <v>-9573.1751779394108</v>
      </c>
      <c r="C24" s="131"/>
      <c r="D24" s="51"/>
      <c r="E24" s="133">
        <f>Data!Q57</f>
        <v>-58936.262700000021</v>
      </c>
      <c r="F24" s="133"/>
      <c r="G24" s="51"/>
      <c r="H24" s="133">
        <f>Data!R57</f>
        <v>44677.999300000025</v>
      </c>
      <c r="I24" s="133"/>
      <c r="J24" s="51"/>
      <c r="K24" s="51"/>
      <c r="L24" s="51"/>
      <c r="M24" s="51"/>
      <c r="N24" s="83"/>
      <c r="O24" s="103"/>
      <c r="P24" s="103"/>
      <c r="Q24" s="103"/>
      <c r="R24" s="103"/>
      <c r="S24" s="105"/>
      <c r="T24" s="105"/>
      <c r="U24" s="105"/>
      <c r="V24" s="107"/>
      <c r="W24" s="103"/>
      <c r="X24" s="103"/>
      <c r="Y24" s="103"/>
      <c r="Z24" s="103"/>
      <c r="AA24" s="105"/>
      <c r="AB24" s="105"/>
      <c r="AC24" s="105"/>
      <c r="AD24" s="119"/>
    </row>
    <row r="25" spans="1:30" ht="14.5" customHeight="1" x14ac:dyDescent="0.35">
      <c r="A25" s="51"/>
      <c r="B25" s="131"/>
      <c r="C25" s="131"/>
      <c r="D25" s="51"/>
      <c r="E25" s="133"/>
      <c r="F25" s="133"/>
      <c r="G25" s="51"/>
      <c r="H25" s="133"/>
      <c r="I25" s="133"/>
      <c r="J25" s="51"/>
      <c r="K25" s="51"/>
      <c r="L25" s="51"/>
      <c r="M25" s="51"/>
      <c r="N25" s="83"/>
      <c r="O25" s="102" t="s">
        <v>15</v>
      </c>
      <c r="P25" s="102"/>
      <c r="Q25" s="102"/>
      <c r="R25" s="102"/>
      <c r="S25" s="104">
        <f>Data!V13</f>
        <v>156243.74700019188</v>
      </c>
      <c r="T25" s="104">
        <f>Data!W13</f>
        <v>107803.32588933336</v>
      </c>
      <c r="U25" s="104">
        <f>Data!X13</f>
        <v>48440.42111085853</v>
      </c>
      <c r="V25" s="106">
        <f>Data!Y16</f>
        <v>0</v>
      </c>
      <c r="W25" s="102" t="s">
        <v>16</v>
      </c>
      <c r="X25" s="102"/>
      <c r="Y25" s="102"/>
      <c r="Z25" s="102"/>
      <c r="AA25" s="104">
        <f>Data!AB13</f>
        <v>35146.873817083695</v>
      </c>
      <c r="AB25" s="104">
        <f>Data!AC13</f>
        <v>47027.253774821358</v>
      </c>
      <c r="AC25" s="104">
        <f>Data!AD13</f>
        <v>-11880.379957737663</v>
      </c>
      <c r="AD25" s="118">
        <f>IFERROR(AC25/ABS(AA25),0)</f>
        <v>-0.33802095798241427</v>
      </c>
    </row>
    <row r="26" spans="1:30" ht="14.5" customHeight="1" x14ac:dyDescent="0.35">
      <c r="A26" s="51"/>
      <c r="B26" s="51"/>
      <c r="C26" s="51"/>
      <c r="D26" s="51"/>
      <c r="E26" s="51"/>
      <c r="F26" s="51"/>
      <c r="G26" s="51"/>
      <c r="H26" s="51"/>
      <c r="I26" s="51"/>
      <c r="J26" s="51"/>
      <c r="K26" s="51"/>
      <c r="L26" s="51"/>
      <c r="M26" s="51"/>
      <c r="N26" s="83"/>
      <c r="O26" s="103"/>
      <c r="P26" s="103"/>
      <c r="Q26" s="103"/>
      <c r="R26" s="103"/>
      <c r="S26" s="105"/>
      <c r="T26" s="105"/>
      <c r="U26" s="105"/>
      <c r="V26" s="107"/>
      <c r="W26" s="103"/>
      <c r="X26" s="103"/>
      <c r="Y26" s="103"/>
      <c r="Z26" s="103"/>
      <c r="AA26" s="105"/>
      <c r="AB26" s="105"/>
      <c r="AC26" s="105"/>
      <c r="AD26" s="119"/>
    </row>
    <row r="27" spans="1:30" ht="34.4" customHeight="1" x14ac:dyDescent="0.35">
      <c r="A27" s="53"/>
      <c r="B27" s="51"/>
      <c r="C27" s="51"/>
      <c r="D27" s="51"/>
      <c r="E27" s="51"/>
      <c r="F27" s="53"/>
      <c r="G27" s="53"/>
      <c r="H27" s="53"/>
      <c r="I27" s="53"/>
      <c r="J27" s="53"/>
      <c r="K27" s="53"/>
      <c r="L27" s="53"/>
      <c r="M27" s="53"/>
      <c r="N27" s="84"/>
      <c r="O27" s="120" t="s">
        <v>17</v>
      </c>
      <c r="P27" s="120"/>
      <c r="Q27" s="120"/>
      <c r="R27" s="120"/>
      <c r="S27" s="88">
        <f>SUM(S19:S26)</f>
        <v>411895.06063741574</v>
      </c>
      <c r="T27" s="88">
        <f>SUM(T19:T26)</f>
        <v>308280.79840177228</v>
      </c>
      <c r="U27" s="88">
        <f>SUM(U19:U26)</f>
        <v>103614.26223564347</v>
      </c>
      <c r="V27" s="89">
        <f>IFERROR(U27/ABS(S27),0)</f>
        <v>0.25155500062394132</v>
      </c>
      <c r="W27" s="121" t="s">
        <v>17</v>
      </c>
      <c r="X27" s="122"/>
      <c r="Y27" s="122"/>
      <c r="Z27" s="122"/>
      <c r="AA27" s="88">
        <f>SUM(AA19:AA26)</f>
        <v>411895.06063741579</v>
      </c>
      <c r="AB27" s="88">
        <f>SUM(AB19:AB26)</f>
        <v>308280.79840177228</v>
      </c>
      <c r="AC27" s="88">
        <f>SUM(AC19:AC26)</f>
        <v>103614.26223564352</v>
      </c>
      <c r="AD27" s="89">
        <f>IFERROR(AC27/ABS(AA27),0)</f>
        <v>0.25155500062394143</v>
      </c>
    </row>
    <row r="28" spans="1:30" ht="6" customHeight="1" x14ac:dyDescent="0.35">
      <c r="A28" s="74"/>
      <c r="B28" s="47"/>
      <c r="C28" s="47"/>
      <c r="D28" s="47"/>
      <c r="E28" s="47"/>
      <c r="F28" s="74"/>
      <c r="G28" s="74"/>
      <c r="H28" s="74"/>
      <c r="I28" s="74"/>
      <c r="J28" s="74"/>
      <c r="K28" s="74"/>
      <c r="L28" s="74"/>
      <c r="M28" s="74"/>
      <c r="N28" s="82"/>
      <c r="O28" s="75"/>
      <c r="P28" s="75"/>
      <c r="Q28" s="75"/>
      <c r="R28" s="75"/>
      <c r="S28" s="76"/>
      <c r="T28" s="76"/>
      <c r="U28" s="76"/>
      <c r="V28" s="85"/>
      <c r="W28" s="77"/>
      <c r="X28" s="77"/>
      <c r="Y28" s="77"/>
      <c r="Z28" s="77"/>
      <c r="AA28" s="76"/>
      <c r="AB28" s="76"/>
      <c r="AC28" s="76"/>
      <c r="AD28" s="78"/>
    </row>
    <row r="29" spans="1:30" ht="34.9" customHeight="1" x14ac:dyDescent="0.35">
      <c r="A29" s="57"/>
      <c r="B29" s="112" t="s">
        <v>18</v>
      </c>
      <c r="C29" s="112"/>
      <c r="D29" s="112"/>
      <c r="E29" s="112"/>
      <c r="F29" s="57"/>
      <c r="G29" s="57"/>
      <c r="H29" s="57"/>
      <c r="I29" s="57"/>
      <c r="J29" s="57"/>
      <c r="K29" s="57"/>
      <c r="L29" s="57"/>
      <c r="M29" s="57"/>
      <c r="N29" s="79"/>
      <c r="O29" s="113" t="s">
        <v>1</v>
      </c>
      <c r="P29" s="113"/>
      <c r="Q29" s="113"/>
      <c r="R29" s="113"/>
      <c r="S29" s="58" t="s">
        <v>19</v>
      </c>
      <c r="T29" s="58" t="s">
        <v>5</v>
      </c>
      <c r="U29" s="58" t="s">
        <v>6</v>
      </c>
      <c r="V29" s="86" t="s">
        <v>7</v>
      </c>
      <c r="W29" s="113" t="s">
        <v>2</v>
      </c>
      <c r="X29" s="113"/>
      <c r="Y29" s="113"/>
      <c r="Z29" s="113"/>
      <c r="AA29" s="58" t="s">
        <v>19</v>
      </c>
      <c r="AB29" s="58" t="s">
        <v>5</v>
      </c>
      <c r="AC29" s="58" t="s">
        <v>6</v>
      </c>
      <c r="AD29" s="72" t="s">
        <v>7</v>
      </c>
    </row>
    <row r="30" spans="1:30" ht="14.5" customHeight="1" x14ac:dyDescent="0.35">
      <c r="A30" s="50"/>
      <c r="B30" s="50"/>
      <c r="C30" s="50"/>
      <c r="D30" s="50"/>
      <c r="E30" s="50"/>
      <c r="F30" s="50"/>
      <c r="G30" s="50"/>
      <c r="H30" s="50"/>
      <c r="I30" s="50"/>
      <c r="J30" s="50"/>
      <c r="K30" s="50"/>
      <c r="L30" s="50"/>
      <c r="M30" s="50"/>
      <c r="N30" s="80"/>
      <c r="O30" s="102" t="s">
        <v>8</v>
      </c>
      <c r="P30" s="102"/>
      <c r="Q30" s="102"/>
      <c r="R30" s="102"/>
      <c r="S30" s="104">
        <f>Data!V20</f>
        <v>35359.715582245124</v>
      </c>
      <c r="T30" s="104">
        <f>Data!W20</f>
        <v>36108.116386042399</v>
      </c>
      <c r="U30" s="104">
        <f>Data!X20</f>
        <v>748.40080379727442</v>
      </c>
      <c r="V30" s="106">
        <f>Data!Y20</f>
        <v>2.1165351346125155E-2</v>
      </c>
      <c r="W30" s="102" t="s">
        <v>9</v>
      </c>
      <c r="X30" s="102"/>
      <c r="Y30" s="102"/>
      <c r="Z30" s="102"/>
      <c r="AA30" s="104">
        <f>Data!AB20</f>
        <v>59575.397277405151</v>
      </c>
      <c r="AB30" s="104">
        <f>Data!AC20</f>
        <v>51253.426395952789</v>
      </c>
      <c r="AC30" s="104">
        <f>Data!AD20</f>
        <v>-8321.9708814523619</v>
      </c>
      <c r="AD30" s="118">
        <f>IFERROR(AC30/ABS(AA30),0)</f>
        <v>-0.13968804677377439</v>
      </c>
    </row>
    <row r="31" spans="1:30" ht="14.5" customHeight="1" x14ac:dyDescent="0.35">
      <c r="A31" s="50"/>
      <c r="B31" s="50"/>
      <c r="C31" s="50"/>
      <c r="D31" s="50"/>
      <c r="E31" s="50"/>
      <c r="F31" s="50"/>
      <c r="G31" s="50"/>
      <c r="H31" s="50"/>
      <c r="I31" s="50"/>
      <c r="J31" s="50"/>
      <c r="K31" s="50"/>
      <c r="L31" s="50"/>
      <c r="M31" s="50"/>
      <c r="N31" s="80"/>
      <c r="O31" s="103"/>
      <c r="P31" s="103"/>
      <c r="Q31" s="103"/>
      <c r="R31" s="103"/>
      <c r="S31" s="105"/>
      <c r="T31" s="105"/>
      <c r="U31" s="105"/>
      <c r="V31" s="107"/>
      <c r="W31" s="103"/>
      <c r="X31" s="103"/>
      <c r="Y31" s="103"/>
      <c r="Z31" s="103"/>
      <c r="AA31" s="105"/>
      <c r="AB31" s="105"/>
      <c r="AC31" s="105"/>
      <c r="AD31" s="119"/>
    </row>
    <row r="32" spans="1:30" ht="14.5" customHeight="1" x14ac:dyDescent="0.35">
      <c r="A32" s="50"/>
      <c r="B32" s="50"/>
      <c r="C32" s="50"/>
      <c r="D32" s="50"/>
      <c r="E32" s="50"/>
      <c r="F32" s="50"/>
      <c r="G32" s="50"/>
      <c r="H32" s="50"/>
      <c r="I32" s="50"/>
      <c r="J32" s="50"/>
      <c r="K32" s="50"/>
      <c r="L32" s="50"/>
      <c r="M32" s="50"/>
      <c r="N32" s="80"/>
      <c r="O32" s="102" t="s">
        <v>10</v>
      </c>
      <c r="P32" s="102"/>
      <c r="Q32" s="102"/>
      <c r="R32" s="102"/>
      <c r="S32" s="104">
        <f>Data!V21</f>
        <v>91819.782346960827</v>
      </c>
      <c r="T32" s="104">
        <f>Data!W21</f>
        <v>96748.909541089422</v>
      </c>
      <c r="U32" s="104">
        <f>Data!X21</f>
        <v>4929.1271941285959</v>
      </c>
      <c r="V32" s="106">
        <f>Data!Y22</f>
        <v>3.3486796655689245E-2</v>
      </c>
      <c r="W32" s="102" t="s">
        <v>11</v>
      </c>
      <c r="X32" s="102"/>
      <c r="Y32" s="102"/>
      <c r="Z32" s="102"/>
      <c r="AA32" s="104">
        <f>Data!AB21</f>
        <v>88912.144075045391</v>
      </c>
      <c r="AB32" s="104">
        <f>Data!AC21</f>
        <v>94467.707437804027</v>
      </c>
      <c r="AC32" s="104">
        <f>Data!AD21</f>
        <v>5555.5633627586358</v>
      </c>
      <c r="AD32" s="118">
        <f>IFERROR(AC32/ABS(AA32),0)</f>
        <v>6.2483740782018696E-2</v>
      </c>
    </row>
    <row r="33" spans="1:31" ht="14.5" customHeight="1" x14ac:dyDescent="0.35">
      <c r="A33" s="50"/>
      <c r="B33" s="50"/>
      <c r="C33" s="50"/>
      <c r="D33" s="50"/>
      <c r="E33" s="50"/>
      <c r="F33" s="50"/>
      <c r="G33" s="50"/>
      <c r="H33" s="50"/>
      <c r="I33" s="50"/>
      <c r="J33" s="50"/>
      <c r="K33" s="50"/>
      <c r="L33" s="50"/>
      <c r="M33" s="50"/>
      <c r="N33" s="80"/>
      <c r="O33" s="103"/>
      <c r="P33" s="103"/>
      <c r="Q33" s="103"/>
      <c r="R33" s="103"/>
      <c r="S33" s="105"/>
      <c r="T33" s="105"/>
      <c r="U33" s="105"/>
      <c r="V33" s="107"/>
      <c r="W33" s="103"/>
      <c r="X33" s="103"/>
      <c r="Y33" s="103"/>
      <c r="Z33" s="103"/>
      <c r="AA33" s="105"/>
      <c r="AB33" s="105"/>
      <c r="AC33" s="105"/>
      <c r="AD33" s="119"/>
    </row>
    <row r="34" spans="1:31" ht="14.5" customHeight="1" x14ac:dyDescent="0.35">
      <c r="A34" s="50"/>
      <c r="B34" s="50"/>
      <c r="C34" s="50"/>
      <c r="D34" s="50"/>
      <c r="E34" s="50"/>
      <c r="F34" s="50"/>
      <c r="G34" s="50"/>
      <c r="H34" s="50"/>
      <c r="I34" s="50"/>
      <c r="J34" s="50"/>
      <c r="K34" s="50"/>
      <c r="L34" s="50"/>
      <c r="M34" s="50"/>
      <c r="N34" s="80"/>
      <c r="O34" s="102" t="s">
        <v>13</v>
      </c>
      <c r="P34" s="102"/>
      <c r="Q34" s="102"/>
      <c r="R34" s="102"/>
      <c r="S34" s="104">
        <f>Data!V22</f>
        <v>65429.424743618802</v>
      </c>
      <c r="T34" s="104">
        <f>Data!W22</f>
        <v>67620.446585307087</v>
      </c>
      <c r="U34" s="104">
        <f>Data!X22</f>
        <v>2191.0218416882853</v>
      </c>
      <c r="V34" s="106">
        <f>Data!Y24</f>
        <v>7.5115247883792546E-3</v>
      </c>
      <c r="W34" s="102" t="s">
        <v>14</v>
      </c>
      <c r="X34" s="102"/>
      <c r="Y34" s="102"/>
      <c r="Z34" s="102"/>
      <c r="AA34" s="104">
        <f>Data!AB22</f>
        <v>112666.72466447929</v>
      </c>
      <c r="AB34" s="104">
        <f>Data!AC22</f>
        <v>115532.4107931941</v>
      </c>
      <c r="AC34" s="104">
        <f>Data!AD22</f>
        <v>2865.6861287148058</v>
      </c>
      <c r="AD34" s="118">
        <f>IFERROR(AC34/ABS(AA34),0)</f>
        <v>2.5435070889375713E-2</v>
      </c>
    </row>
    <row r="35" spans="1:31" ht="14.5" customHeight="1" x14ac:dyDescent="0.35">
      <c r="A35" s="50"/>
      <c r="B35" s="50"/>
      <c r="C35" s="50"/>
      <c r="D35" s="50"/>
      <c r="E35" s="50"/>
      <c r="F35" s="50"/>
      <c r="G35" s="50"/>
      <c r="H35" s="50"/>
      <c r="I35" s="50"/>
      <c r="J35" s="50"/>
      <c r="K35" s="50"/>
      <c r="L35" s="50"/>
      <c r="M35" s="50"/>
      <c r="N35" s="80"/>
      <c r="O35" s="103"/>
      <c r="P35" s="103"/>
      <c r="Q35" s="103"/>
      <c r="R35" s="103"/>
      <c r="S35" s="105"/>
      <c r="T35" s="105"/>
      <c r="U35" s="105"/>
      <c r="V35" s="107"/>
      <c r="W35" s="103"/>
      <c r="X35" s="103"/>
      <c r="Y35" s="103"/>
      <c r="Z35" s="103"/>
      <c r="AA35" s="105"/>
      <c r="AB35" s="105"/>
      <c r="AC35" s="105"/>
      <c r="AD35" s="119"/>
    </row>
    <row r="36" spans="1:31" ht="14.5" customHeight="1" x14ac:dyDescent="0.35">
      <c r="A36" s="50"/>
      <c r="B36" s="50"/>
      <c r="C36" s="50"/>
      <c r="D36" s="50"/>
      <c r="E36" s="50"/>
      <c r="F36" s="50"/>
      <c r="G36" s="50"/>
      <c r="H36" s="50"/>
      <c r="I36" s="50"/>
      <c r="J36" s="50"/>
      <c r="K36" s="50"/>
      <c r="L36" s="50"/>
      <c r="M36" s="50"/>
      <c r="N36" s="80"/>
      <c r="O36" s="102" t="s">
        <v>15</v>
      </c>
      <c r="P36" s="102"/>
      <c r="Q36" s="102"/>
      <c r="R36" s="102"/>
      <c r="S36" s="104">
        <f>Data!V23</f>
        <v>113373.48131657369</v>
      </c>
      <c r="T36" s="104">
        <f>Data!W23</f>
        <v>107803.32588933336</v>
      </c>
      <c r="U36" s="104">
        <f>Data!X23</f>
        <v>-5570.15542724033</v>
      </c>
      <c r="V36" s="106">
        <f>Data!Y27</f>
        <v>0</v>
      </c>
      <c r="W36" s="102" t="s">
        <v>16</v>
      </c>
      <c r="X36" s="102"/>
      <c r="Y36" s="102"/>
      <c r="Z36" s="102"/>
      <c r="AA36" s="104">
        <f>Data!AB23</f>
        <v>44828.137972468554</v>
      </c>
      <c r="AB36" s="104">
        <f>Data!AC23</f>
        <v>47027.253774821358</v>
      </c>
      <c r="AC36" s="104">
        <f>Data!AD23</f>
        <v>2199.1158023528042</v>
      </c>
      <c r="AD36" s="118">
        <f>IFERROR(AC36/ABS(AA36),0)</f>
        <v>4.9056594849052247E-2</v>
      </c>
    </row>
    <row r="37" spans="1:31" ht="14.5" customHeight="1" x14ac:dyDescent="0.35">
      <c r="A37" s="50"/>
      <c r="B37" s="50"/>
      <c r="C37" s="50"/>
      <c r="D37" s="50"/>
      <c r="E37" s="50"/>
      <c r="F37" s="50"/>
      <c r="G37" s="50"/>
      <c r="H37" s="50"/>
      <c r="I37" s="50"/>
      <c r="J37" s="50"/>
      <c r="K37" s="50"/>
      <c r="L37" s="50"/>
      <c r="M37" s="50"/>
      <c r="N37" s="80"/>
      <c r="O37" s="103"/>
      <c r="P37" s="103"/>
      <c r="Q37" s="103"/>
      <c r="R37" s="103"/>
      <c r="S37" s="105"/>
      <c r="T37" s="105"/>
      <c r="U37" s="105"/>
      <c r="V37" s="107"/>
      <c r="W37" s="103"/>
      <c r="X37" s="103"/>
      <c r="Y37" s="103"/>
      <c r="Z37" s="103"/>
      <c r="AA37" s="105"/>
      <c r="AB37" s="105"/>
      <c r="AC37" s="105"/>
      <c r="AD37" s="119"/>
    </row>
    <row r="38" spans="1:31" ht="34.4" customHeight="1" x14ac:dyDescent="0.35">
      <c r="A38" s="52"/>
      <c r="B38" s="50"/>
      <c r="C38" s="50"/>
      <c r="D38" s="50"/>
      <c r="E38" s="50"/>
      <c r="F38" s="52"/>
      <c r="G38" s="52"/>
      <c r="H38" s="52"/>
      <c r="I38" s="52"/>
      <c r="J38" s="52"/>
      <c r="K38" s="52"/>
      <c r="L38" s="52"/>
      <c r="M38" s="52"/>
      <c r="N38" s="81"/>
      <c r="O38" s="120" t="s">
        <v>17</v>
      </c>
      <c r="P38" s="120"/>
      <c r="Q38" s="120"/>
      <c r="R38" s="120"/>
      <c r="S38" s="88">
        <f>SUM(S30:S37)</f>
        <v>305982.40398939844</v>
      </c>
      <c r="T38" s="88">
        <f t="shared" ref="T38:U38" si="0">SUM(T30:T37)</f>
        <v>308280.79840177228</v>
      </c>
      <c r="U38" s="88">
        <f t="shared" si="0"/>
        <v>2298.3944123738256</v>
      </c>
      <c r="V38" s="89">
        <f>IFERROR(U38/ABS(S38),0)</f>
        <v>7.5115247883778945E-3</v>
      </c>
      <c r="W38" s="121" t="s">
        <v>17</v>
      </c>
      <c r="X38" s="122"/>
      <c r="Y38" s="122"/>
      <c r="Z38" s="122"/>
      <c r="AA38" s="88">
        <f>SUM(AA30:AA37)</f>
        <v>305982.40398939839</v>
      </c>
      <c r="AB38" s="88">
        <f t="shared" ref="AB38:AC38" si="1">SUM(AB30:AB37)</f>
        <v>308280.79840177228</v>
      </c>
      <c r="AC38" s="88">
        <f t="shared" si="1"/>
        <v>2298.3944123738838</v>
      </c>
      <c r="AD38" s="89">
        <f>IFERROR(AC38/ABS(AA38),0)</f>
        <v>7.5115247883780862E-3</v>
      </c>
    </row>
    <row r="39" spans="1:31" ht="6" customHeight="1" x14ac:dyDescent="0.35">
      <c r="A39" s="74"/>
      <c r="B39" s="47"/>
      <c r="C39" s="47"/>
      <c r="D39" s="47"/>
      <c r="E39" s="47"/>
      <c r="F39" s="74"/>
      <c r="G39" s="74"/>
      <c r="H39" s="74"/>
      <c r="I39" s="74"/>
      <c r="J39" s="74"/>
      <c r="K39" s="74"/>
      <c r="L39" s="74"/>
      <c r="M39" s="74"/>
      <c r="N39" s="82"/>
      <c r="O39" s="75"/>
      <c r="P39" s="75"/>
      <c r="Q39" s="75"/>
      <c r="R39" s="75"/>
      <c r="S39" s="76"/>
      <c r="T39" s="76"/>
      <c r="U39" s="76"/>
      <c r="V39" s="85"/>
      <c r="W39" s="77"/>
      <c r="X39" s="77"/>
      <c r="Y39" s="77"/>
      <c r="Z39" s="77"/>
      <c r="AA39" s="76"/>
      <c r="AB39" s="76"/>
      <c r="AC39" s="76"/>
      <c r="AD39" s="78"/>
    </row>
    <row r="40" spans="1:31" ht="34.9" customHeight="1" x14ac:dyDescent="0.35">
      <c r="A40" s="57"/>
      <c r="B40" s="112" t="s">
        <v>20</v>
      </c>
      <c r="C40" s="112"/>
      <c r="D40" s="112"/>
      <c r="E40" s="112"/>
      <c r="F40" s="57"/>
      <c r="G40" s="57"/>
      <c r="H40" s="57"/>
      <c r="I40" s="57"/>
      <c r="J40" s="57"/>
      <c r="K40" s="57"/>
      <c r="L40" s="57"/>
      <c r="M40" s="57"/>
      <c r="N40" s="79"/>
      <c r="O40" s="113" t="s">
        <v>1</v>
      </c>
      <c r="P40" s="113"/>
      <c r="Q40" s="113"/>
      <c r="R40" s="113"/>
      <c r="S40" s="58" t="s">
        <v>21</v>
      </c>
      <c r="T40" s="58" t="s">
        <v>5</v>
      </c>
      <c r="U40" s="58" t="s">
        <v>6</v>
      </c>
      <c r="V40" s="86" t="s">
        <v>7</v>
      </c>
      <c r="W40" s="113" t="s">
        <v>2</v>
      </c>
      <c r="X40" s="113"/>
      <c r="Y40" s="113"/>
      <c r="Z40" s="113"/>
      <c r="AA40" s="58" t="s">
        <v>21</v>
      </c>
      <c r="AB40" s="58" t="s">
        <v>5</v>
      </c>
      <c r="AC40" s="58" t="s">
        <v>6</v>
      </c>
      <c r="AD40" s="72" t="s">
        <v>7</v>
      </c>
    </row>
    <row r="41" spans="1:31" x14ac:dyDescent="0.35">
      <c r="A41" s="50"/>
      <c r="B41" s="50"/>
      <c r="C41" s="50"/>
      <c r="D41" s="50"/>
      <c r="E41" s="50"/>
      <c r="F41" s="50"/>
      <c r="G41" s="50"/>
      <c r="H41" s="50"/>
      <c r="I41" s="50"/>
      <c r="J41" s="50"/>
      <c r="K41" s="50"/>
      <c r="L41" s="50"/>
      <c r="M41" s="50"/>
      <c r="N41" s="80"/>
      <c r="O41" s="102" t="s">
        <v>8</v>
      </c>
      <c r="P41" s="102"/>
      <c r="Q41" s="102"/>
      <c r="R41" s="102"/>
      <c r="S41" s="104">
        <f>Data!V30</f>
        <v>30648.051423432127</v>
      </c>
      <c r="T41" s="104">
        <f>Data!W30</f>
        <v>36108.116386042399</v>
      </c>
      <c r="U41" s="104">
        <f>Data!X30</f>
        <v>5460.0649626102713</v>
      </c>
      <c r="V41" s="106">
        <f>Data!Y30</f>
        <v>0.17815373927608821</v>
      </c>
      <c r="W41" s="102" t="s">
        <v>9</v>
      </c>
      <c r="X41" s="102"/>
      <c r="Y41" s="102"/>
      <c r="Z41" s="102"/>
      <c r="AA41" s="104">
        <f>Data!AB30</f>
        <v>63318.119312906405</v>
      </c>
      <c r="AB41" s="104">
        <f>Data!AC30</f>
        <v>51253.426395952789</v>
      </c>
      <c r="AC41" s="104">
        <f>Data!AD30</f>
        <v>-12064.692916953616</v>
      </c>
      <c r="AD41" s="118">
        <f>IFERROR(AC41/ABS(AA41),0)</f>
        <v>-0.19054092332294553</v>
      </c>
    </row>
    <row r="42" spans="1:31" x14ac:dyDescent="0.35">
      <c r="A42" s="50"/>
      <c r="B42" s="50"/>
      <c r="C42" s="50"/>
      <c r="D42" s="50"/>
      <c r="E42" s="50"/>
      <c r="F42" s="50"/>
      <c r="G42" s="50"/>
      <c r="H42" s="50"/>
      <c r="I42" s="50"/>
      <c r="J42" s="50"/>
      <c r="K42" s="50"/>
      <c r="L42" s="50"/>
      <c r="M42" s="50"/>
      <c r="N42" s="80"/>
      <c r="O42" s="103"/>
      <c r="P42" s="103"/>
      <c r="Q42" s="103"/>
      <c r="R42" s="103"/>
      <c r="S42" s="105"/>
      <c r="T42" s="105"/>
      <c r="U42" s="105"/>
      <c r="V42" s="107"/>
      <c r="W42" s="103"/>
      <c r="X42" s="103"/>
      <c r="Y42" s="103"/>
      <c r="Z42" s="103"/>
      <c r="AA42" s="105"/>
      <c r="AB42" s="105"/>
      <c r="AC42" s="105"/>
      <c r="AD42" s="119"/>
    </row>
    <row r="43" spans="1:31" x14ac:dyDescent="0.35">
      <c r="A43" s="50"/>
      <c r="B43" s="50"/>
      <c r="C43" s="50"/>
      <c r="D43" s="50"/>
      <c r="E43" s="50"/>
      <c r="F43" s="50"/>
      <c r="G43" s="50"/>
      <c r="H43" s="50"/>
      <c r="I43" s="50"/>
      <c r="J43" s="50"/>
      <c r="K43" s="50"/>
      <c r="L43" s="50"/>
      <c r="M43" s="50"/>
      <c r="N43" s="80"/>
      <c r="O43" s="102" t="s">
        <v>10</v>
      </c>
      <c r="P43" s="102"/>
      <c r="Q43" s="102"/>
      <c r="R43" s="102"/>
      <c r="S43" s="104">
        <f>Data!V31</f>
        <v>77081.123736518828</v>
      </c>
      <c r="T43" s="104">
        <f>Data!W31</f>
        <v>96748.909541089422</v>
      </c>
      <c r="U43" s="104">
        <f>Data!X31</f>
        <v>19667.785804570594</v>
      </c>
      <c r="V43" s="106">
        <f>Data!Y32</f>
        <v>0.15686173455048588</v>
      </c>
      <c r="W43" s="102" t="s">
        <v>11</v>
      </c>
      <c r="X43" s="102"/>
      <c r="Y43" s="102"/>
      <c r="Z43" s="102"/>
      <c r="AA43" s="104">
        <f>Data!AB31</f>
        <v>74537.471266143941</v>
      </c>
      <c r="AB43" s="104">
        <f>Data!AC31</f>
        <v>94467.707437804027</v>
      </c>
      <c r="AC43" s="104">
        <f>Data!AD31</f>
        <v>19930.236171660086</v>
      </c>
      <c r="AD43" s="118">
        <f>IFERROR(AC43/ABS(AA43),0)</f>
        <v>0.26738546174308847</v>
      </c>
    </row>
    <row r="44" spans="1:31" x14ac:dyDescent="0.35">
      <c r="A44" s="50"/>
      <c r="B44" s="50"/>
      <c r="C44" s="50"/>
      <c r="D44" s="50"/>
      <c r="E44" s="50"/>
      <c r="F44" s="50"/>
      <c r="G44" s="50"/>
      <c r="H44" s="50"/>
      <c r="I44" s="50"/>
      <c r="J44" s="50"/>
      <c r="K44" s="50"/>
      <c r="L44" s="50"/>
      <c r="M44" s="50"/>
      <c r="N44" s="80"/>
      <c r="O44" s="103"/>
      <c r="P44" s="103"/>
      <c r="Q44" s="103"/>
      <c r="R44" s="103"/>
      <c r="S44" s="105"/>
      <c r="T44" s="105"/>
      <c r="U44" s="105"/>
      <c r="V44" s="107"/>
      <c r="W44" s="103"/>
      <c r="X44" s="103"/>
      <c r="Y44" s="103"/>
      <c r="Z44" s="103"/>
      <c r="AA44" s="105"/>
      <c r="AB44" s="105"/>
      <c r="AC44" s="105"/>
      <c r="AD44" s="119"/>
    </row>
    <row r="45" spans="1:31" x14ac:dyDescent="0.35">
      <c r="A45" s="50"/>
      <c r="B45" s="50"/>
      <c r="C45" s="50"/>
      <c r="D45" s="50"/>
      <c r="E45" s="50"/>
      <c r="F45" s="50"/>
      <c r="G45" s="50"/>
      <c r="H45" s="50"/>
      <c r="I45" s="50"/>
      <c r="J45" s="50"/>
      <c r="K45" s="50"/>
      <c r="L45" s="50"/>
      <c r="M45" s="50"/>
      <c r="N45" s="80"/>
      <c r="O45" s="102" t="s">
        <v>13</v>
      </c>
      <c r="P45" s="102"/>
      <c r="Q45" s="102"/>
      <c r="R45" s="102"/>
      <c r="S45" s="104">
        <f>Data!V32</f>
        <v>58451.623530950237</v>
      </c>
      <c r="T45" s="104">
        <f>Data!W32</f>
        <v>67620.446585307087</v>
      </c>
      <c r="U45" s="104">
        <f>Data!X32</f>
        <v>9168.8230543568498</v>
      </c>
      <c r="V45" s="106">
        <f>Data!Y34</f>
        <v>7.6842323556368303E-2</v>
      </c>
      <c r="W45" s="102" t="s">
        <v>14</v>
      </c>
      <c r="X45" s="102"/>
      <c r="Y45" s="102"/>
      <c r="Z45" s="102"/>
      <c r="AA45" s="104">
        <f>Data!AB32</f>
        <v>108303.92046155951</v>
      </c>
      <c r="AB45" s="104">
        <f>Data!AC32</f>
        <v>115532.4107931941</v>
      </c>
      <c r="AC45" s="104">
        <f>Data!AD32</f>
        <v>7228.4903316345881</v>
      </c>
      <c r="AD45" s="118">
        <f>IFERROR(AC45/ABS(AA45),0)</f>
        <v>6.6742646995869445E-2</v>
      </c>
    </row>
    <row r="46" spans="1:31" x14ac:dyDescent="0.35">
      <c r="A46" s="50"/>
      <c r="B46" s="50"/>
      <c r="C46" s="50"/>
      <c r="D46" s="50"/>
      <c r="E46" s="50"/>
      <c r="F46" s="50"/>
      <c r="G46" s="50"/>
      <c r="H46" s="50"/>
      <c r="I46" s="50"/>
      <c r="J46" s="50"/>
      <c r="K46" s="50"/>
      <c r="L46" s="50"/>
      <c r="M46" s="50"/>
      <c r="N46" s="80"/>
      <c r="O46" s="103"/>
      <c r="P46" s="103"/>
      <c r="Q46" s="103"/>
      <c r="R46" s="103"/>
      <c r="S46" s="105"/>
      <c r="T46" s="105"/>
      <c r="U46" s="105"/>
      <c r="V46" s="107"/>
      <c r="W46" s="103"/>
      <c r="X46" s="103"/>
      <c r="Y46" s="103"/>
      <c r="Z46" s="103"/>
      <c r="AA46" s="105"/>
      <c r="AB46" s="105"/>
      <c r="AC46" s="105"/>
      <c r="AD46" s="119"/>
    </row>
    <row r="47" spans="1:31" x14ac:dyDescent="0.35">
      <c r="A47" s="50"/>
      <c r="B47" s="50"/>
      <c r="C47" s="50"/>
      <c r="D47" s="50"/>
      <c r="E47" s="50"/>
      <c r="F47" s="50"/>
      <c r="G47" s="50"/>
      <c r="H47" s="50"/>
      <c r="I47" s="50"/>
      <c r="J47" s="50"/>
      <c r="K47" s="50"/>
      <c r="L47" s="50"/>
      <c r="M47" s="50"/>
      <c r="N47" s="80"/>
      <c r="O47" s="128" t="s">
        <v>15</v>
      </c>
      <c r="P47" s="102"/>
      <c r="Q47" s="102"/>
      <c r="R47" s="102"/>
      <c r="S47" s="104">
        <f>Data!V33</f>
        <v>120101.4096305991</v>
      </c>
      <c r="T47" s="104">
        <f>Data!W33</f>
        <v>107803.32588933336</v>
      </c>
      <c r="U47" s="104">
        <f>Data!X33</f>
        <v>-12298.083741265742</v>
      </c>
      <c r="V47" s="106">
        <f>Data!Y37</f>
        <v>0</v>
      </c>
      <c r="W47" s="128" t="s">
        <v>16</v>
      </c>
      <c r="X47" s="102"/>
      <c r="Y47" s="102"/>
      <c r="Z47" s="102"/>
      <c r="AA47" s="104">
        <f>Data!AB33</f>
        <v>40122.697280890497</v>
      </c>
      <c r="AB47" s="104">
        <f>Data!AC33</f>
        <v>47027.253774821358</v>
      </c>
      <c r="AC47" s="104">
        <f>Data!AD33</f>
        <v>6904.5564939308606</v>
      </c>
      <c r="AD47" s="118">
        <f>IFERROR(AC47/ABS(AA47),0)</f>
        <v>0.17208605008764802</v>
      </c>
    </row>
    <row r="48" spans="1:31" x14ac:dyDescent="0.35">
      <c r="A48" s="50"/>
      <c r="B48" s="50"/>
      <c r="C48" s="50"/>
      <c r="D48" s="50"/>
      <c r="E48" s="50"/>
      <c r="F48" s="50"/>
      <c r="G48" s="50"/>
      <c r="H48" s="50"/>
      <c r="I48" s="50"/>
      <c r="J48" s="50"/>
      <c r="K48" s="50"/>
      <c r="L48" s="50"/>
      <c r="M48" s="50"/>
      <c r="N48" s="80"/>
      <c r="O48" s="129"/>
      <c r="P48" s="103"/>
      <c r="Q48" s="103"/>
      <c r="R48" s="103"/>
      <c r="S48" s="105"/>
      <c r="T48" s="105"/>
      <c r="U48" s="105"/>
      <c r="V48" s="107"/>
      <c r="W48" s="129"/>
      <c r="X48" s="103"/>
      <c r="Y48" s="103"/>
      <c r="Z48" s="103"/>
      <c r="AA48" s="105"/>
      <c r="AB48" s="105"/>
      <c r="AC48" s="105"/>
      <c r="AD48" s="123"/>
      <c r="AE48" s="73"/>
    </row>
    <row r="49" spans="1:31" ht="34.4" customHeight="1" x14ac:dyDescent="0.35">
      <c r="A49" s="52"/>
      <c r="B49" s="52"/>
      <c r="C49" s="52"/>
      <c r="D49" s="52"/>
      <c r="E49" s="52"/>
      <c r="F49" s="52"/>
      <c r="G49" s="52"/>
      <c r="H49" s="52"/>
      <c r="I49" s="52"/>
      <c r="J49" s="52"/>
      <c r="K49" s="52"/>
      <c r="L49" s="52"/>
      <c r="M49" s="52"/>
      <c r="N49" s="52"/>
      <c r="O49" s="124" t="s">
        <v>17</v>
      </c>
      <c r="P49" s="125"/>
      <c r="Q49" s="125"/>
      <c r="R49" s="125"/>
      <c r="S49" s="94">
        <f>SUM(S41:S48)</f>
        <v>286282.20832150028</v>
      </c>
      <c r="T49" s="94">
        <f t="shared" ref="T49:U49" si="2">SUM(T41:T48)</f>
        <v>308280.79840177228</v>
      </c>
      <c r="U49" s="94">
        <f t="shared" si="2"/>
        <v>21998.59008027197</v>
      </c>
      <c r="V49" s="93">
        <f>IFERROR(U49/ABS(S49),0)</f>
        <v>7.6842323556366943E-2</v>
      </c>
      <c r="W49" s="126" t="s">
        <v>17</v>
      </c>
      <c r="X49" s="127"/>
      <c r="Y49" s="127"/>
      <c r="Z49" s="127"/>
      <c r="AA49" s="92">
        <f>SUM(AA41:AA48)</f>
        <v>286282.20832150034</v>
      </c>
      <c r="AB49" s="92">
        <f t="shared" ref="AB49:AC49" si="3">SUM(AB41:AB48)</f>
        <v>308280.79840177228</v>
      </c>
      <c r="AC49" s="92">
        <f t="shared" si="3"/>
        <v>21998.590080271919</v>
      </c>
      <c r="AD49" s="95">
        <f>IFERROR(AC49/ABS(AA49),0)</f>
        <v>7.6842323556366748E-2</v>
      </c>
      <c r="AE49" s="73"/>
    </row>
    <row r="50" spans="1:31" x14ac:dyDescent="0.35">
      <c r="V50" s="96"/>
      <c r="W50" s="96"/>
      <c r="X50" s="96"/>
      <c r="Y50" s="96"/>
      <c r="Z50" s="96"/>
      <c r="AA50" s="96"/>
      <c r="AB50" s="96"/>
      <c r="AC50" s="96"/>
    </row>
    <row r="52" spans="1:31" ht="30" x14ac:dyDescent="0.6">
      <c r="C52" s="101" t="s">
        <v>151</v>
      </c>
      <c r="D52" s="101"/>
      <c r="H52" s="101" t="s">
        <v>152</v>
      </c>
    </row>
  </sheetData>
  <mergeCells count="146">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zoomScale="65" zoomScaleNormal="130" workbookViewId="0">
      <selection activeCell="C10" sqref="C10:C12"/>
    </sheetView>
  </sheetViews>
  <sheetFormatPr defaultRowHeight="14.5" x14ac:dyDescent="0.35"/>
  <cols>
    <col min="1" max="1" width="3.54296875" customWidth="1"/>
    <col min="2" max="2" width="27.6328125" bestFit="1" customWidth="1"/>
    <col min="3" max="3" width="7.36328125" bestFit="1" customWidth="1"/>
    <col min="4" max="4" width="6.90625" bestFit="1" customWidth="1"/>
    <col min="5" max="5" width="4.1796875" customWidth="1"/>
    <col min="6" max="6" width="6.90625" bestFit="1" customWidth="1"/>
    <col min="7" max="7" width="11.81640625" bestFit="1" customWidth="1"/>
    <col min="8" max="8" width="9" bestFit="1" customWidth="1"/>
    <col min="9" max="9" width="10.1796875" bestFit="1" customWidth="1"/>
    <col min="10" max="10" width="9.08984375" bestFit="1" customWidth="1"/>
    <col min="11" max="11" width="4.1796875" customWidth="1"/>
    <col min="12" max="12" width="21.36328125" bestFit="1" customWidth="1"/>
    <col min="13" max="13" width="11.81640625" bestFit="1" customWidth="1"/>
    <col min="14" max="14" width="3.54296875" customWidth="1"/>
    <col min="15" max="15" width="26.36328125" bestFit="1" customWidth="1"/>
    <col min="16" max="16" width="16.6328125" bestFit="1" customWidth="1"/>
    <col min="17" max="17" width="7.36328125" bestFit="1" customWidth="1"/>
    <col min="18" max="18" width="8.81640625" bestFit="1" customWidth="1"/>
    <col min="19" max="19" width="9.81640625" bestFit="1" customWidth="1"/>
    <col min="20" max="20" width="3.81640625" customWidth="1"/>
    <col min="21" max="21" width="23.90625" bestFit="1" customWidth="1"/>
    <col min="22" max="22" width="11.81640625" bestFit="1" customWidth="1"/>
    <col min="23" max="23" width="7.36328125" bestFit="1" customWidth="1"/>
    <col min="24" max="25" width="10.1796875" bestFit="1" customWidth="1"/>
    <col min="26" max="26" width="4.26953125" customWidth="1"/>
    <col min="27" max="27" width="26.81640625" bestFit="1" customWidth="1"/>
    <col min="28" max="28" width="11.81640625" bestFit="1" customWidth="1"/>
    <col min="29" max="29" width="7.36328125" bestFit="1" customWidth="1"/>
    <col min="30" max="30" width="10" bestFit="1" customWidth="1"/>
    <col min="31" max="31" width="10.54296875" bestFit="1" customWidth="1"/>
    <col min="32" max="32" width="4.1796875" customWidth="1"/>
    <col min="33" max="33" width="6.90625" bestFit="1" customWidth="1"/>
    <col min="34" max="34" width="11.81640625" bestFit="1" customWidth="1"/>
    <col min="35" max="35" width="9.453125" bestFit="1" customWidth="1"/>
    <col min="36" max="36" width="6.6328125" bestFit="1" customWidth="1"/>
    <col min="37" max="37" width="15.54296875" bestFit="1" customWidth="1"/>
    <col min="38" max="38" width="9.453125" bestFit="1" customWidth="1"/>
    <col min="39" max="39" width="15.1796875" bestFit="1" customWidth="1"/>
    <col min="40" max="40" width="11.81640625" bestFit="1" customWidth="1"/>
    <col min="41" max="41" width="9.453125" bestFit="1" customWidth="1"/>
    <col min="42" max="42" width="24.90625" bestFit="1" customWidth="1"/>
    <col min="43" max="43" width="7.36328125" bestFit="1" customWidth="1"/>
    <col min="44" max="52" width="9.453125" bestFit="1" customWidth="1"/>
    <col min="53" max="61" width="8.453125" bestFit="1" customWidth="1"/>
    <col min="62" max="80" width="9.453125" bestFit="1" customWidth="1"/>
    <col min="81" max="89" width="8.453125" bestFit="1" customWidth="1"/>
    <col min="90" max="111" width="9.453125" bestFit="1" customWidth="1"/>
    <col min="112" max="120" width="8.453125" bestFit="1" customWidth="1"/>
    <col min="121" max="141" width="9.453125" bestFit="1" customWidth="1"/>
    <col min="142" max="150" width="8.453125" bestFit="1" customWidth="1"/>
    <col min="151" max="172" width="9.453125" bestFit="1" customWidth="1"/>
    <col min="173" max="181" width="8.453125" bestFit="1" customWidth="1"/>
    <col min="182" max="202" width="9.453125" bestFit="1" customWidth="1"/>
    <col min="203" max="211" width="8.453125" bestFit="1" customWidth="1"/>
    <col min="212" max="233" width="9.453125" bestFit="1" customWidth="1"/>
    <col min="234" max="242" width="8.453125" bestFit="1" customWidth="1"/>
    <col min="243" max="264" width="9.453125" bestFit="1" customWidth="1"/>
    <col min="265" max="273" width="8.453125" bestFit="1" customWidth="1"/>
    <col min="274" max="303" width="9.453125" bestFit="1" customWidth="1"/>
    <col min="304" max="325" width="10.453125" bestFit="1" customWidth="1"/>
    <col min="326" max="334" width="9.453125" bestFit="1" customWidth="1"/>
    <col min="335" max="355" width="10.453125" bestFit="1" customWidth="1"/>
    <col min="356" max="364" width="9.453125" bestFit="1" customWidth="1"/>
    <col min="365" max="386" width="10.453125" bestFit="1" customWidth="1"/>
    <col min="387" max="395" width="8.453125" bestFit="1" customWidth="1"/>
    <col min="396" max="417" width="9.453125" bestFit="1" customWidth="1"/>
    <col min="418" max="426" width="8.453125" bestFit="1" customWidth="1"/>
    <col min="427" max="446" width="9.453125" bestFit="1" customWidth="1"/>
    <col min="447" max="455" width="8.453125" bestFit="1" customWidth="1"/>
    <col min="456" max="477" width="9.453125" bestFit="1" customWidth="1"/>
    <col min="478" max="486" width="8.453125" bestFit="1" customWidth="1"/>
    <col min="487" max="507" width="9.453125" bestFit="1" customWidth="1"/>
    <col min="508" max="516" width="8.453125" bestFit="1" customWidth="1"/>
    <col min="517" max="538" width="9.453125" bestFit="1" customWidth="1"/>
    <col min="539" max="547" width="8.453125" bestFit="1" customWidth="1"/>
    <col min="548" max="568" width="9.453125" bestFit="1" customWidth="1"/>
    <col min="569" max="577" width="8.453125" bestFit="1" customWidth="1"/>
    <col min="578" max="599" width="9.453125" bestFit="1" customWidth="1"/>
    <col min="600" max="608" width="8.453125" bestFit="1" customWidth="1"/>
    <col min="609" max="630" width="9.453125" bestFit="1" customWidth="1"/>
    <col min="631" max="639" width="8.453125" bestFit="1" customWidth="1"/>
    <col min="640" max="669" width="9.453125" bestFit="1" customWidth="1"/>
    <col min="670" max="691" width="10.453125" bestFit="1" customWidth="1"/>
    <col min="692" max="700" width="9.453125" bestFit="1" customWidth="1"/>
    <col min="701" max="721" width="10.453125" bestFit="1" customWidth="1"/>
    <col min="722" max="730" width="9.453125" bestFit="1" customWidth="1"/>
    <col min="731" max="752" width="10.453125" bestFit="1" customWidth="1"/>
    <col min="753" max="761" width="8.453125" bestFit="1" customWidth="1"/>
    <col min="762" max="783" width="9.453125" bestFit="1" customWidth="1"/>
    <col min="784" max="792" width="8.453125" bestFit="1" customWidth="1"/>
    <col min="793" max="811" width="9.453125" bestFit="1" customWidth="1"/>
    <col min="812" max="820" width="8.453125" bestFit="1" customWidth="1"/>
    <col min="821" max="842" width="9.453125" bestFit="1" customWidth="1"/>
    <col min="843" max="851" width="8.453125" bestFit="1" customWidth="1"/>
    <col min="852" max="872" width="9.453125" bestFit="1" customWidth="1"/>
    <col min="873" max="881" width="8.453125" bestFit="1" customWidth="1"/>
    <col min="882" max="903" width="9.453125" bestFit="1" customWidth="1"/>
    <col min="904" max="912" width="8.453125" bestFit="1" customWidth="1"/>
    <col min="913" max="933" width="9.453125" bestFit="1" customWidth="1"/>
    <col min="934" max="942" width="8.453125" bestFit="1" customWidth="1"/>
    <col min="943" max="964" width="9.453125" bestFit="1" customWidth="1"/>
    <col min="965" max="973" width="8.453125" bestFit="1" customWidth="1"/>
    <col min="974" max="995" width="9.453125" bestFit="1" customWidth="1"/>
    <col min="996" max="1004" width="8.453125" bestFit="1" customWidth="1"/>
    <col min="1005" max="1034" width="9.453125" bestFit="1" customWidth="1"/>
    <col min="1035" max="1056" width="10.453125" bestFit="1" customWidth="1"/>
    <col min="1057" max="1065" width="9.453125" bestFit="1" customWidth="1"/>
    <col min="1066" max="1086" width="10.453125" bestFit="1" customWidth="1"/>
    <col min="1087" max="1095" width="9.453125" bestFit="1" customWidth="1"/>
    <col min="1096" max="1117" width="10.453125" bestFit="1" customWidth="1"/>
    <col min="1118" max="1118" width="11.26953125" bestFit="1" customWidth="1"/>
  </cols>
  <sheetData>
    <row r="6" spans="2:1118" x14ac:dyDescent="0.35">
      <c r="F6" s="33" t="s">
        <v>22</v>
      </c>
      <c r="G6" t="s" vm="1">
        <v>23</v>
      </c>
      <c r="AG6" s="33" t="s">
        <v>22</v>
      </c>
      <c r="AH6" t="s" vm="1">
        <v>23</v>
      </c>
      <c r="AP6" s="62" t="s">
        <v>24</v>
      </c>
      <c r="AQ6" t="s" vm="3">
        <v>25</v>
      </c>
    </row>
    <row r="7" spans="2:1118" x14ac:dyDescent="0.35">
      <c r="O7" s="33" t="s">
        <v>22</v>
      </c>
      <c r="P7" t="s" vm="2">
        <v>26</v>
      </c>
      <c r="U7" s="33" t="s">
        <v>22</v>
      </c>
      <c r="V7" t="s" vm="1">
        <v>23</v>
      </c>
      <c r="AA7" s="33" t="s">
        <v>22</v>
      </c>
      <c r="AB7" t="s" vm="1">
        <v>23</v>
      </c>
    </row>
    <row r="8" spans="2:1118" x14ac:dyDescent="0.35">
      <c r="F8" s="33" t="s">
        <v>27</v>
      </c>
      <c r="G8" s="33" t="s">
        <v>27</v>
      </c>
      <c r="AG8" s="33" t="s">
        <v>27</v>
      </c>
      <c r="AH8" s="33" t="s">
        <v>27</v>
      </c>
      <c r="AP8" s="33" t="s">
        <v>28</v>
      </c>
      <c r="AQ8" t="s">
        <v>5</v>
      </c>
    </row>
    <row r="9" spans="2:1118" s="63" customFormat="1" ht="58" x14ac:dyDescent="0.35">
      <c r="B9" s="62" t="s">
        <v>29</v>
      </c>
      <c r="C9" s="63" t="s">
        <v>30</v>
      </c>
      <c r="D9" s="63" t="s">
        <v>31</v>
      </c>
      <c r="F9" s="33" t="s">
        <v>27</v>
      </c>
      <c r="G9" s="63" t="s">
        <v>8</v>
      </c>
      <c r="H9" s="63" t="s">
        <v>10</v>
      </c>
      <c r="I9" s="63" t="s">
        <v>13</v>
      </c>
      <c r="J9" s="63" t="s">
        <v>15</v>
      </c>
      <c r="L9" s="33" t="s">
        <v>22</v>
      </c>
      <c r="M9" t="s" vm="1">
        <v>23</v>
      </c>
      <c r="O9" s="62" t="s">
        <v>32</v>
      </c>
      <c r="P9" s="63" t="s">
        <v>4</v>
      </c>
      <c r="Q9" s="63" t="s">
        <v>5</v>
      </c>
      <c r="R9" s="63" t="s">
        <v>33</v>
      </c>
      <c r="S9" s="63" t="s">
        <v>34</v>
      </c>
      <c r="U9" s="62" t="s">
        <v>35</v>
      </c>
      <c r="V9" s="63" t="s">
        <v>4</v>
      </c>
      <c r="W9" s="63" t="s">
        <v>5</v>
      </c>
      <c r="X9" s="63" t="s">
        <v>36</v>
      </c>
      <c r="Y9" s="63" t="s">
        <v>37</v>
      </c>
      <c r="AA9" s="62" t="s">
        <v>38</v>
      </c>
      <c r="AB9" s="63" t="s">
        <v>4</v>
      </c>
      <c r="AC9" s="63" t="s">
        <v>5</v>
      </c>
      <c r="AD9" s="63" t="s">
        <v>36</v>
      </c>
      <c r="AE9" s="63" t="s">
        <v>37</v>
      </c>
      <c r="AG9" s="33" t="s">
        <v>27</v>
      </c>
      <c r="AH9" s="63" t="s">
        <v>8</v>
      </c>
      <c r="AI9" s="63" t="s">
        <v>10</v>
      </c>
      <c r="AJ9" s="63" t="s">
        <v>13</v>
      </c>
      <c r="AK9" s="63" t="s">
        <v>15</v>
      </c>
      <c r="AL9"/>
      <c r="AM9" s="33" t="s">
        <v>22</v>
      </c>
      <c r="AN9" t="s" vm="1">
        <v>23</v>
      </c>
      <c r="AO9"/>
      <c r="AP9" s="2" t="s">
        <v>39</v>
      </c>
      <c r="AQ9" s="39">
        <v>346009.16880127799</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x14ac:dyDescent="0.35">
      <c r="B10" s="2" t="s">
        <v>149</v>
      </c>
      <c r="C10" s="39">
        <v>111944.47209591963</v>
      </c>
      <c r="D10" s="40">
        <v>0.81973827632481056</v>
      </c>
      <c r="F10" s="2" t="s">
        <v>149</v>
      </c>
      <c r="G10" s="39">
        <v>12189.626999134529</v>
      </c>
      <c r="H10" s="39">
        <v>32277.813474329087</v>
      </c>
      <c r="I10" s="39">
        <v>22722.700923026958</v>
      </c>
      <c r="J10" s="39">
        <v>36197.416137763859</v>
      </c>
      <c r="O10" s="2" t="s">
        <v>30</v>
      </c>
      <c r="P10" s="39">
        <v>355582.3439792174</v>
      </c>
      <c r="Q10" s="39">
        <v>346009.16880127799</v>
      </c>
      <c r="R10" s="39">
        <v>-9573.1751779394108</v>
      </c>
      <c r="S10" s="59">
        <v>-2.7667403182132243E-2</v>
      </c>
      <c r="U10" s="2" t="s">
        <v>8</v>
      </c>
      <c r="V10" s="39">
        <v>66200.372583499382</v>
      </c>
      <c r="W10" s="39">
        <v>36108.116386042399</v>
      </c>
      <c r="X10" s="39">
        <v>30092.256197456984</v>
      </c>
      <c r="Y10" s="40">
        <v>0.83339313177491459</v>
      </c>
      <c r="AA10" s="2" t="s">
        <v>9</v>
      </c>
      <c r="AB10" s="39">
        <v>110794.84969880052</v>
      </c>
      <c r="AC10" s="39">
        <v>51253.426395952789</v>
      </c>
      <c r="AD10" s="39">
        <v>59541.423302847732</v>
      </c>
      <c r="AE10" s="40">
        <v>1.1617062017057538</v>
      </c>
      <c r="AG10" s="2" t="s">
        <v>149</v>
      </c>
      <c r="AH10" s="39">
        <v>12189.626999134529</v>
      </c>
      <c r="AI10" s="39">
        <v>32277.813474329087</v>
      </c>
      <c r="AJ10" s="39">
        <v>22722.700923026958</v>
      </c>
      <c r="AK10" s="39">
        <v>36197.416137763859</v>
      </c>
      <c r="AP10" s="2" t="s">
        <v>40</v>
      </c>
      <c r="AQ10" s="39">
        <v>60179.479349741363</v>
      </c>
    </row>
    <row r="11" spans="2:1118" x14ac:dyDescent="0.35">
      <c r="B11" s="2" t="s">
        <v>150</v>
      </c>
      <c r="C11" s="39">
        <v>115302.80625879722</v>
      </c>
      <c r="D11" s="40">
        <v>0.79904087757595799</v>
      </c>
      <c r="F11" s="2" t="s">
        <v>150</v>
      </c>
      <c r="G11" s="39">
        <v>12023.518620775505</v>
      </c>
      <c r="H11" s="39">
        <v>31632.257204842495</v>
      </c>
      <c r="I11" s="39">
        <v>23128.108775404224</v>
      </c>
      <c r="J11" s="39">
        <v>35273.847168260814</v>
      </c>
      <c r="L11" s="33" t="s">
        <v>27</v>
      </c>
      <c r="M11" t="s">
        <v>27</v>
      </c>
      <c r="O11" s="2" t="s">
        <v>41</v>
      </c>
      <c r="P11" s="39">
        <v>344765.9522</v>
      </c>
      <c r="Q11" s="39">
        <v>285829.68949999998</v>
      </c>
      <c r="R11" s="39">
        <v>-58936.262700000021</v>
      </c>
      <c r="S11" s="59">
        <v>-0.20619363510871402</v>
      </c>
      <c r="U11" s="2" t="s">
        <v>10</v>
      </c>
      <c r="V11" s="39">
        <v>108330.32002568121</v>
      </c>
      <c r="W11" s="39">
        <v>96748.909541089422</v>
      </c>
      <c r="X11" s="39">
        <v>11581.41048459179</v>
      </c>
      <c r="Y11" s="40">
        <v>0.11970585032457803</v>
      </c>
      <c r="AA11" s="2" t="s">
        <v>11</v>
      </c>
      <c r="AB11" s="39">
        <v>126525.99948844803</v>
      </c>
      <c r="AC11" s="39">
        <v>94467.707437804027</v>
      </c>
      <c r="AD11" s="39">
        <v>32058.292050643999</v>
      </c>
      <c r="AE11" s="40">
        <v>0.3393571509264226</v>
      </c>
      <c r="AG11" s="2" t="s">
        <v>150</v>
      </c>
      <c r="AH11" s="39">
        <v>12023.518620775505</v>
      </c>
      <c r="AI11" s="39">
        <v>31632.257204842495</v>
      </c>
      <c r="AJ11" s="39">
        <v>23128.108775404224</v>
      </c>
      <c r="AK11" s="39">
        <v>35273.847168260814</v>
      </c>
      <c r="AM11" s="33" t="s">
        <v>27</v>
      </c>
      <c r="AN11" t="s">
        <v>27</v>
      </c>
      <c r="AP11" s="2" t="s">
        <v>41</v>
      </c>
      <c r="AQ11" s="39">
        <v>285829.68949999998</v>
      </c>
    </row>
    <row r="12" spans="2:1118" x14ac:dyDescent="0.35">
      <c r="B12" s="2" t="s">
        <v>46</v>
      </c>
      <c r="C12" s="39">
        <v>118761.89044656114</v>
      </c>
      <c r="D12" s="40">
        <v>0.85829608316875317</v>
      </c>
      <c r="F12" s="2" t="s">
        <v>46</v>
      </c>
      <c r="G12" s="39">
        <v>11894.970766132357</v>
      </c>
      <c r="H12" s="39">
        <v>32838.838861917866</v>
      </c>
      <c r="I12" s="39">
        <v>21769.636886875916</v>
      </c>
      <c r="J12" s="39">
        <v>36332.062583308631</v>
      </c>
      <c r="L12" s="71" t="s">
        <v>8</v>
      </c>
      <c r="M12" s="39">
        <v>36108.116386042399</v>
      </c>
      <c r="O12" s="2" t="s">
        <v>42</v>
      </c>
      <c r="P12" s="39">
        <v>-67129.108299999993</v>
      </c>
      <c r="Q12" s="39">
        <v>-22451.108999999968</v>
      </c>
      <c r="R12" s="39">
        <v>44677.999300000025</v>
      </c>
      <c r="S12" s="59">
        <v>1.990013023410117</v>
      </c>
      <c r="U12" s="2" t="s">
        <v>13</v>
      </c>
      <c r="V12" s="39">
        <v>81120.621028043257</v>
      </c>
      <c r="W12" s="39">
        <v>67620.446585307087</v>
      </c>
      <c r="X12" s="39">
        <v>13500.17444273617</v>
      </c>
      <c r="Y12" s="40">
        <v>0.1996463366402782</v>
      </c>
      <c r="AA12" s="2" t="s">
        <v>14</v>
      </c>
      <c r="AB12" s="39">
        <v>139427.33763308355</v>
      </c>
      <c r="AC12" s="39">
        <v>115532.4107931941</v>
      </c>
      <c r="AD12" s="39">
        <v>23894.926839889449</v>
      </c>
      <c r="AE12" s="40">
        <v>0.20682444584889659</v>
      </c>
      <c r="AG12" s="2" t="s">
        <v>46</v>
      </c>
      <c r="AH12" s="39">
        <v>11894.970766132357</v>
      </c>
      <c r="AI12" s="39">
        <v>32838.838861917866</v>
      </c>
      <c r="AJ12" s="39">
        <v>21769.636886875916</v>
      </c>
      <c r="AK12" s="39">
        <v>36332.062583308631</v>
      </c>
      <c r="AM12" s="71" t="s">
        <v>8</v>
      </c>
      <c r="AN12" s="39">
        <v>36108.116386042399</v>
      </c>
      <c r="AP12" s="2" t="s">
        <v>23</v>
      </c>
      <c r="AQ12" s="39">
        <v>308280.79840177251</v>
      </c>
    </row>
    <row r="13" spans="2:1118" x14ac:dyDescent="0.35">
      <c r="L13" s="71" t="s">
        <v>10</v>
      </c>
      <c r="M13" s="39">
        <v>96748.909541089422</v>
      </c>
      <c r="O13" s="2" t="s">
        <v>43</v>
      </c>
      <c r="P13" s="39">
        <v>633219.18787921744</v>
      </c>
      <c r="Q13" s="39">
        <v>609387.74930127803</v>
      </c>
      <c r="R13" s="39">
        <v>-23831.438577939407</v>
      </c>
      <c r="S13" s="59">
        <v>-3.9107183571157209E-2</v>
      </c>
      <c r="U13" s="2" t="s">
        <v>15</v>
      </c>
      <c r="V13" s="39">
        <v>156243.74700019188</v>
      </c>
      <c r="W13" s="39">
        <v>107803.32588933336</v>
      </c>
      <c r="X13" s="39">
        <v>48440.42111085853</v>
      </c>
      <c r="Y13" s="40">
        <v>0.44934069251801706</v>
      </c>
      <c r="AA13" s="2" t="s">
        <v>16</v>
      </c>
      <c r="AB13" s="39">
        <v>35146.873817083695</v>
      </c>
      <c r="AC13" s="39">
        <v>47027.253774821358</v>
      </c>
      <c r="AD13" s="39">
        <v>-11880.379957737663</v>
      </c>
      <c r="AE13" s="40">
        <v>-0.25262755113500762</v>
      </c>
      <c r="AM13" s="71" t="s">
        <v>10</v>
      </c>
      <c r="AN13" s="39">
        <v>96748.909541089422</v>
      </c>
      <c r="AP13" s="28" t="s">
        <v>9</v>
      </c>
      <c r="AQ13" s="39">
        <v>51253.426395952789</v>
      </c>
    </row>
    <row r="14" spans="2:1118" x14ac:dyDescent="0.35">
      <c r="L14" s="71" t="s">
        <v>13</v>
      </c>
      <c r="M14" s="39">
        <v>67620.446585307087</v>
      </c>
      <c r="U14" s="2" t="s">
        <v>43</v>
      </c>
      <c r="V14" s="39">
        <v>411895.06063741556</v>
      </c>
      <c r="W14" s="39">
        <v>308280.79840177251</v>
      </c>
      <c r="X14" s="39">
        <v>103614.26223564305</v>
      </c>
      <c r="Y14" s="40">
        <v>0.33610352241467173</v>
      </c>
      <c r="AA14" s="2" t="s">
        <v>43</v>
      </c>
      <c r="AB14" s="39">
        <v>411895.06063741556</v>
      </c>
      <c r="AC14" s="39">
        <v>308280.79840177251</v>
      </c>
      <c r="AD14" s="39">
        <v>103614.26223564305</v>
      </c>
      <c r="AE14" s="40">
        <v>0.33610352241467173</v>
      </c>
      <c r="AM14" s="71" t="s">
        <v>13</v>
      </c>
      <c r="AN14" s="39">
        <v>67620.446585307087</v>
      </c>
      <c r="AP14" s="29" t="s">
        <v>44</v>
      </c>
      <c r="AQ14" s="39">
        <v>30427.049760471324</v>
      </c>
    </row>
    <row r="15" spans="2:1118" x14ac:dyDescent="0.35">
      <c r="L15" s="71" t="s">
        <v>15</v>
      </c>
      <c r="M15" s="39">
        <v>107803.32588933336</v>
      </c>
      <c r="AM15" s="71" t="s">
        <v>15</v>
      </c>
      <c r="AN15" s="39">
        <v>107803.32588933336</v>
      </c>
      <c r="AP15" s="29" t="s">
        <v>45</v>
      </c>
      <c r="AQ15" s="39">
        <v>20826.376635481476</v>
      </c>
    </row>
    <row r="16" spans="2:1118" x14ac:dyDescent="0.35">
      <c r="L16" s="2" t="s">
        <v>43</v>
      </c>
      <c r="M16" s="39">
        <v>308280.79840177251</v>
      </c>
      <c r="AM16" s="2" t="s">
        <v>43</v>
      </c>
      <c r="AN16" s="39">
        <v>308280.79840177251</v>
      </c>
      <c r="AP16" s="28" t="s">
        <v>11</v>
      </c>
      <c r="AQ16" s="39">
        <v>94467.707437804027</v>
      </c>
    </row>
    <row r="17" spans="2:43" x14ac:dyDescent="0.35">
      <c r="O17" s="33" t="s">
        <v>22</v>
      </c>
      <c r="P17" t="s" vm="2">
        <v>26</v>
      </c>
      <c r="U17" s="33" t="s">
        <v>22</v>
      </c>
      <c r="V17" t="s" vm="1">
        <v>23</v>
      </c>
      <c r="AA17" s="33" t="s">
        <v>22</v>
      </c>
      <c r="AB17" t="s" vm="1">
        <v>23</v>
      </c>
      <c r="AP17" s="28" t="s">
        <v>14</v>
      </c>
      <c r="AQ17" s="39">
        <v>115532.4107931941</v>
      </c>
    </row>
    <row r="18" spans="2:43" x14ac:dyDescent="0.35">
      <c r="AP18" s="28" t="s">
        <v>16</v>
      </c>
      <c r="AQ18" s="39">
        <v>47027.253774821358</v>
      </c>
    </row>
    <row r="19" spans="2:43" s="63" customFormat="1" ht="43.5" x14ac:dyDescent="0.35">
      <c r="B19"/>
      <c r="C19"/>
      <c r="D19"/>
      <c r="F19"/>
      <c r="G19"/>
      <c r="H19"/>
      <c r="I19"/>
      <c r="J19"/>
      <c r="L19"/>
      <c r="M19"/>
      <c r="O19" s="62" t="s">
        <v>47</v>
      </c>
      <c r="P19" s="63" t="s">
        <v>19</v>
      </c>
      <c r="Q19" s="63" t="s">
        <v>5</v>
      </c>
      <c r="R19" s="63" t="s">
        <v>48</v>
      </c>
      <c r="S19" s="63" t="s">
        <v>49</v>
      </c>
      <c r="U19" s="62" t="s">
        <v>50</v>
      </c>
      <c r="V19" s="63" t="s">
        <v>19</v>
      </c>
      <c r="W19" s="63" t="s">
        <v>5</v>
      </c>
      <c r="X19" s="63" t="s">
        <v>48</v>
      </c>
      <c r="Y19" s="63" t="s">
        <v>49</v>
      </c>
      <c r="AA19" s="62" t="s">
        <v>51</v>
      </c>
      <c r="AB19" s="63" t="s">
        <v>19</v>
      </c>
      <c r="AC19" s="63" t="s">
        <v>5</v>
      </c>
      <c r="AD19" s="63" t="s">
        <v>48</v>
      </c>
      <c r="AE19" s="63" t="s">
        <v>49</v>
      </c>
      <c r="AG19"/>
      <c r="AH19"/>
      <c r="AI19"/>
      <c r="AJ19"/>
      <c r="AK19"/>
      <c r="AL19"/>
      <c r="AM19"/>
      <c r="AN19"/>
      <c r="AO19"/>
      <c r="AP19" s="2" t="s">
        <v>42</v>
      </c>
      <c r="AQ19" s="39">
        <v>-22451.108999999968</v>
      </c>
    </row>
    <row r="20" spans="2:43" x14ac:dyDescent="0.35">
      <c r="O20" s="2" t="s">
        <v>30</v>
      </c>
      <c r="P20" s="39">
        <v>342962.61697382794</v>
      </c>
      <c r="Q20" s="39">
        <v>346009.16880127799</v>
      </c>
      <c r="R20" s="39">
        <v>3046.55182745005</v>
      </c>
      <c r="S20" s="40">
        <v>8.8830434475094342E-3</v>
      </c>
      <c r="U20" s="2" t="s">
        <v>8</v>
      </c>
      <c r="V20" s="39">
        <v>35359.715582245124</v>
      </c>
      <c r="W20" s="39">
        <v>36108.116386042399</v>
      </c>
      <c r="X20" s="39">
        <v>748.40080379727442</v>
      </c>
      <c r="Y20" s="40">
        <v>2.1165351346125155E-2</v>
      </c>
      <c r="AA20" s="2" t="s">
        <v>9</v>
      </c>
      <c r="AB20" s="39">
        <v>59575.397277405151</v>
      </c>
      <c r="AC20" s="39">
        <v>51253.426395952789</v>
      </c>
      <c r="AD20" s="39">
        <v>-8321.9708814523619</v>
      </c>
      <c r="AE20" s="40">
        <v>-0.13968804677377439</v>
      </c>
      <c r="AP20" s="2" t="s">
        <v>52</v>
      </c>
      <c r="AQ20" s="39">
        <v>0</v>
      </c>
    </row>
    <row r="21" spans="2:43" x14ac:dyDescent="0.35">
      <c r="O21" s="2" t="s">
        <v>41</v>
      </c>
      <c r="P21" s="39">
        <v>275930.0037</v>
      </c>
      <c r="Q21" s="39">
        <v>285829.68949999998</v>
      </c>
      <c r="R21" s="39">
        <v>9899.6857999999775</v>
      </c>
      <c r="S21" s="40">
        <v>3.587752570308822E-2</v>
      </c>
      <c r="U21" s="2" t="s">
        <v>10</v>
      </c>
      <c r="V21" s="39">
        <v>91819.782346960827</v>
      </c>
      <c r="W21" s="39">
        <v>96748.909541089422</v>
      </c>
      <c r="X21" s="39">
        <v>4929.1271941285959</v>
      </c>
      <c r="Y21" s="40">
        <v>5.3682627731601748E-2</v>
      </c>
      <c r="AA21" s="2" t="s">
        <v>11</v>
      </c>
      <c r="AB21" s="39">
        <v>88912.144075045391</v>
      </c>
      <c r="AC21" s="39">
        <v>94467.707437804027</v>
      </c>
      <c r="AD21" s="39">
        <v>5555.5633627586358</v>
      </c>
      <c r="AE21" s="40">
        <v>6.2483740782018696E-2</v>
      </c>
      <c r="AP21" s="2" t="s">
        <v>53</v>
      </c>
      <c r="AQ21" s="39">
        <v>1056.2055961696117</v>
      </c>
    </row>
    <row r="22" spans="2:43" x14ac:dyDescent="0.35">
      <c r="O22" s="2" t="s">
        <v>42</v>
      </c>
      <c r="P22" s="39">
        <v>-30052.400200000018</v>
      </c>
      <c r="Q22" s="39">
        <v>-22451.108999999968</v>
      </c>
      <c r="R22" s="39">
        <v>7601.2912000000506</v>
      </c>
      <c r="S22" s="40">
        <v>0.25293457924868329</v>
      </c>
      <c r="U22" s="2" t="s">
        <v>13</v>
      </c>
      <c r="V22" s="39">
        <v>65429.424743618802</v>
      </c>
      <c r="W22" s="39">
        <v>67620.446585307087</v>
      </c>
      <c r="X22" s="39">
        <v>2191.0218416882853</v>
      </c>
      <c r="Y22" s="40">
        <v>3.3486796655689245E-2</v>
      </c>
      <c r="AA22" s="2" t="s">
        <v>14</v>
      </c>
      <c r="AB22" s="39">
        <v>112666.72466447929</v>
      </c>
      <c r="AC22" s="39">
        <v>115532.4107931941</v>
      </c>
      <c r="AD22" s="39">
        <v>2865.6861287148058</v>
      </c>
      <c r="AE22" s="40">
        <v>2.5435070889375713E-2</v>
      </c>
      <c r="AP22" s="2" t="s">
        <v>54</v>
      </c>
      <c r="AQ22" s="39">
        <v>38023.40146210602</v>
      </c>
    </row>
    <row r="23" spans="2:43" x14ac:dyDescent="0.35">
      <c r="O23" s="2" t="s">
        <v>43</v>
      </c>
      <c r="P23" s="39">
        <v>588840.22047382791</v>
      </c>
      <c r="Q23" s="39">
        <v>609387.74930127803</v>
      </c>
      <c r="R23" s="39">
        <v>20547.528827450122</v>
      </c>
      <c r="S23" s="40">
        <v>3.4894913956312182E-2</v>
      </c>
      <c r="U23" s="2" t="s">
        <v>15</v>
      </c>
      <c r="V23" s="39">
        <v>113373.48131657369</v>
      </c>
      <c r="W23" s="39">
        <v>107803.32588933336</v>
      </c>
      <c r="X23" s="39">
        <v>-5570.15542724033</v>
      </c>
      <c r="Y23" s="40">
        <v>-4.9131025726260803E-2</v>
      </c>
      <c r="AA23" s="2" t="s">
        <v>16</v>
      </c>
      <c r="AB23" s="39">
        <v>44828.137972468554</v>
      </c>
      <c r="AC23" s="39">
        <v>47027.253774821358</v>
      </c>
      <c r="AD23" s="39">
        <v>2199.1158023528042</v>
      </c>
      <c r="AE23" s="40">
        <v>4.9056594849052247E-2</v>
      </c>
      <c r="AP23" s="2" t="s">
        <v>55</v>
      </c>
      <c r="AQ23" s="39">
        <v>-39079.607100000001</v>
      </c>
    </row>
    <row r="24" spans="2:43" x14ac:dyDescent="0.35">
      <c r="F24" s="33" t="s">
        <v>22</v>
      </c>
      <c r="G24" t="s" vm="1">
        <v>23</v>
      </c>
      <c r="L24" s="33" t="s">
        <v>22</v>
      </c>
      <c r="M24" t="s" vm="1">
        <v>23</v>
      </c>
      <c r="U24" s="2" t="s">
        <v>43</v>
      </c>
      <c r="V24" s="39">
        <v>305982.40398939827</v>
      </c>
      <c r="W24" s="39">
        <v>308280.79840177251</v>
      </c>
      <c r="X24" s="39">
        <v>2298.3944123742403</v>
      </c>
      <c r="Y24" s="40">
        <v>7.5115247883792546E-3</v>
      </c>
      <c r="AA24" s="2" t="s">
        <v>43</v>
      </c>
      <c r="AB24" s="39">
        <v>305982.40398939827</v>
      </c>
      <c r="AC24" s="39">
        <v>308280.79840177251</v>
      </c>
      <c r="AD24" s="39">
        <v>2298.3944123742403</v>
      </c>
      <c r="AE24" s="40">
        <v>7.5115247883792546E-3</v>
      </c>
      <c r="AG24" s="33" t="s">
        <v>22</v>
      </c>
      <c r="AH24" t="s" vm="1">
        <v>23</v>
      </c>
      <c r="AM24" s="33" t="s">
        <v>22</v>
      </c>
      <c r="AN24" t="s" vm="1">
        <v>23</v>
      </c>
      <c r="AP24" s="2" t="s">
        <v>56</v>
      </c>
      <c r="AQ24" s="39">
        <v>-61530.716099999976</v>
      </c>
    </row>
    <row r="25" spans="2:43" x14ac:dyDescent="0.35">
      <c r="U25" s="2"/>
      <c r="V25" s="39"/>
      <c r="W25" s="39"/>
      <c r="X25" s="39"/>
      <c r="Y25" s="59"/>
      <c r="AA25" s="2"/>
      <c r="AB25" s="39"/>
      <c r="AC25" s="39"/>
      <c r="AD25" s="39"/>
      <c r="AE25" s="59"/>
      <c r="AP25" s="2" t="s">
        <v>43</v>
      </c>
      <c r="AQ25" s="39">
        <v>916317.3109110673</v>
      </c>
    </row>
    <row r="26" spans="2:43" x14ac:dyDescent="0.35">
      <c r="F26" s="33" t="s">
        <v>27</v>
      </c>
      <c r="G26" s="33" t="s">
        <v>27</v>
      </c>
      <c r="L26" s="33" t="s">
        <v>27</v>
      </c>
      <c r="M26" t="s">
        <v>27</v>
      </c>
      <c r="AG26" s="33" t="s">
        <v>27</v>
      </c>
      <c r="AH26" s="33" t="s">
        <v>27</v>
      </c>
      <c r="AM26" s="33" t="s">
        <v>27</v>
      </c>
      <c r="AN26" t="s">
        <v>27</v>
      </c>
    </row>
    <row r="27" spans="2:43" x14ac:dyDescent="0.35">
      <c r="F27" s="33" t="s">
        <v>27</v>
      </c>
      <c r="G27" t="s">
        <v>9</v>
      </c>
      <c r="H27" t="s">
        <v>11</v>
      </c>
      <c r="I27" t="s">
        <v>14</v>
      </c>
      <c r="J27" t="s">
        <v>16</v>
      </c>
      <c r="L27" s="2" t="s">
        <v>9</v>
      </c>
      <c r="M27" s="39">
        <v>51253.426395952789</v>
      </c>
      <c r="O27" s="33" t="s">
        <v>22</v>
      </c>
      <c r="P27" t="s" vm="2">
        <v>26</v>
      </c>
      <c r="U27" s="33" t="s">
        <v>22</v>
      </c>
      <c r="V27" t="s" vm="1">
        <v>23</v>
      </c>
      <c r="AA27" s="33" t="s">
        <v>22</v>
      </c>
      <c r="AB27" t="s" vm="1">
        <v>23</v>
      </c>
      <c r="AG27" s="33" t="s">
        <v>27</v>
      </c>
      <c r="AH27" t="s">
        <v>9</v>
      </c>
      <c r="AI27" t="s">
        <v>11</v>
      </c>
      <c r="AJ27" t="s">
        <v>14</v>
      </c>
      <c r="AK27" t="s">
        <v>16</v>
      </c>
      <c r="AM27" s="2" t="s">
        <v>9</v>
      </c>
      <c r="AN27" s="39">
        <v>51253.426395952789</v>
      </c>
    </row>
    <row r="28" spans="2:43" s="63" customFormat="1" x14ac:dyDescent="0.35">
      <c r="B28" s="64"/>
      <c r="C28" s="65"/>
      <c r="D28" s="66"/>
      <c r="F28" s="2" t="s">
        <v>149</v>
      </c>
      <c r="G28" s="39">
        <v>18029.407205686242</v>
      </c>
      <c r="H28" s="39">
        <v>31227.748491222792</v>
      </c>
      <c r="I28" s="39">
        <v>38614.425100643202</v>
      </c>
      <c r="J28" s="39">
        <v>15515.976736702187</v>
      </c>
      <c r="L28" s="2" t="s">
        <v>11</v>
      </c>
      <c r="M28" s="39">
        <v>94467.707437804027</v>
      </c>
      <c r="O28"/>
      <c r="P28"/>
      <c r="Q28"/>
      <c r="R28"/>
      <c r="S28"/>
      <c r="AG28" s="2" t="s">
        <v>149</v>
      </c>
      <c r="AH28" s="39">
        <v>18029.407205686242</v>
      </c>
      <c r="AI28" s="39">
        <v>31227.748491222792</v>
      </c>
      <c r="AJ28" s="39">
        <v>38614.425100643202</v>
      </c>
      <c r="AK28" s="39">
        <v>15515.976736702187</v>
      </c>
      <c r="AL28"/>
      <c r="AM28" s="2" t="s">
        <v>11</v>
      </c>
      <c r="AN28" s="39">
        <v>94467.707437804027</v>
      </c>
      <c r="AO28"/>
    </row>
    <row r="29" spans="2:43" s="67" customFormat="1" ht="43.5" x14ac:dyDescent="0.35">
      <c r="F29" s="2" t="s">
        <v>150</v>
      </c>
      <c r="G29" s="39">
        <v>16401.450126074356</v>
      </c>
      <c r="H29" s="39">
        <v>31067.125406550505</v>
      </c>
      <c r="I29" s="39">
        <v>39060.712424119301</v>
      </c>
      <c r="J29" s="39">
        <v>15528.443812538881</v>
      </c>
      <c r="L29" s="2" t="s">
        <v>14</v>
      </c>
      <c r="M29" s="39">
        <v>115532.4107931941</v>
      </c>
      <c r="O29" s="62" t="s">
        <v>57</v>
      </c>
      <c r="P29" s="63" t="s">
        <v>21</v>
      </c>
      <c r="Q29" s="63" t="s">
        <v>5</v>
      </c>
      <c r="R29" s="63" t="s">
        <v>58</v>
      </c>
      <c r="S29" s="63" t="s">
        <v>59</v>
      </c>
      <c r="U29" s="62" t="s">
        <v>60</v>
      </c>
      <c r="V29" s="63" t="s">
        <v>21</v>
      </c>
      <c r="W29" s="63" t="s">
        <v>5</v>
      </c>
      <c r="X29" s="63" t="s">
        <v>58</v>
      </c>
      <c r="Y29" s="63" t="s">
        <v>59</v>
      </c>
      <c r="Z29" s="63"/>
      <c r="AA29" s="62" t="s">
        <v>61</v>
      </c>
      <c r="AB29" s="63" t="s">
        <v>21</v>
      </c>
      <c r="AC29" s="63" t="s">
        <v>5</v>
      </c>
      <c r="AD29" s="63" t="s">
        <v>58</v>
      </c>
      <c r="AE29" s="63" t="s">
        <v>59</v>
      </c>
      <c r="AG29" s="2" t="s">
        <v>150</v>
      </c>
      <c r="AH29" s="39">
        <v>16401.450126074356</v>
      </c>
      <c r="AI29" s="39">
        <v>31067.125406550505</v>
      </c>
      <c r="AJ29" s="39">
        <v>39060.712424119301</v>
      </c>
      <c r="AK29" s="39">
        <v>15528.443812538881</v>
      </c>
      <c r="AL29"/>
      <c r="AM29" s="2" t="s">
        <v>14</v>
      </c>
      <c r="AN29" s="39">
        <v>115532.4107931941</v>
      </c>
      <c r="AO29"/>
    </row>
    <row r="30" spans="2:43" x14ac:dyDescent="0.35">
      <c r="F30" s="2" t="s">
        <v>46</v>
      </c>
      <c r="G30" s="39">
        <v>16822.569064192194</v>
      </c>
      <c r="H30" s="39">
        <v>32172.833540030737</v>
      </c>
      <c r="I30" s="39">
        <v>37857.273268431563</v>
      </c>
      <c r="J30" s="39">
        <v>15982.833225580287</v>
      </c>
      <c r="L30" s="2" t="s">
        <v>16</v>
      </c>
      <c r="M30" s="39">
        <v>47027.253774821358</v>
      </c>
      <c r="O30" s="68" t="s">
        <v>30</v>
      </c>
      <c r="P30" s="69">
        <v>308533.8883629</v>
      </c>
      <c r="Q30" s="69">
        <v>346009.16880127799</v>
      </c>
      <c r="R30" s="69">
        <v>37475.280438377988</v>
      </c>
      <c r="S30" s="70">
        <v>0.1214624449755719</v>
      </c>
      <c r="U30" s="2" t="s">
        <v>8</v>
      </c>
      <c r="V30" s="39">
        <v>30648.051423432127</v>
      </c>
      <c r="W30" s="39">
        <v>36108.116386042399</v>
      </c>
      <c r="X30" s="39">
        <v>5460.0649626102713</v>
      </c>
      <c r="Y30" s="40">
        <v>0.17815373927608821</v>
      </c>
      <c r="AA30" s="2" t="s">
        <v>9</v>
      </c>
      <c r="AB30" s="39">
        <v>63318.119312906405</v>
      </c>
      <c r="AC30" s="39">
        <v>51253.426395952789</v>
      </c>
      <c r="AD30" s="39">
        <v>-12064.692916953616</v>
      </c>
      <c r="AE30" s="40">
        <v>-0.19054092332294553</v>
      </c>
      <c r="AG30" s="2" t="s">
        <v>46</v>
      </c>
      <c r="AH30" s="39">
        <v>16822.569064192194</v>
      </c>
      <c r="AI30" s="39">
        <v>32172.833540030737</v>
      </c>
      <c r="AJ30" s="39">
        <v>37857.273268431563</v>
      </c>
      <c r="AK30" s="39">
        <v>15982.833225580287</v>
      </c>
      <c r="AM30" s="2" t="s">
        <v>16</v>
      </c>
      <c r="AN30" s="39">
        <v>47027.253774821358</v>
      </c>
    </row>
    <row r="31" spans="2:43" x14ac:dyDescent="0.35">
      <c r="L31" s="2" t="s">
        <v>43</v>
      </c>
      <c r="M31" s="39">
        <v>308280.79840177251</v>
      </c>
      <c r="O31" s="2" t="s">
        <v>41</v>
      </c>
      <c r="P31" s="39">
        <v>251753.60460000002</v>
      </c>
      <c r="Q31" s="39">
        <v>285829.68949999998</v>
      </c>
      <c r="R31" s="39">
        <v>34076.084899999958</v>
      </c>
      <c r="S31" s="40">
        <v>0.13535490367314468</v>
      </c>
      <c r="U31" s="2" t="s">
        <v>10</v>
      </c>
      <c r="V31" s="39">
        <v>77081.123736518828</v>
      </c>
      <c r="W31" s="39">
        <v>96748.909541089422</v>
      </c>
      <c r="X31" s="39">
        <v>19667.785804570594</v>
      </c>
      <c r="Y31" s="40">
        <v>0.25515696776554075</v>
      </c>
      <c r="AA31" s="2" t="s">
        <v>11</v>
      </c>
      <c r="AB31" s="39">
        <v>74537.471266143941</v>
      </c>
      <c r="AC31" s="39">
        <v>94467.707437804027</v>
      </c>
      <c r="AD31" s="39">
        <v>19930.236171660086</v>
      </c>
      <c r="AE31" s="40">
        <v>0.26738546174308847</v>
      </c>
      <c r="AM31" s="2" t="s">
        <v>43</v>
      </c>
      <c r="AN31" s="39">
        <v>308280.79840177251</v>
      </c>
    </row>
    <row r="32" spans="2:43" x14ac:dyDescent="0.35">
      <c r="O32" s="2" t="s">
        <v>42</v>
      </c>
      <c r="P32" s="39">
        <v>-34528.603799999997</v>
      </c>
      <c r="Q32" s="39">
        <v>-22451.108999999968</v>
      </c>
      <c r="R32" s="39">
        <v>12077.494800000029</v>
      </c>
      <c r="S32" s="40">
        <v>0.34978231005100852</v>
      </c>
      <c r="U32" s="2" t="s">
        <v>13</v>
      </c>
      <c r="V32" s="39">
        <v>58451.623530950237</v>
      </c>
      <c r="W32" s="39">
        <v>67620.446585307087</v>
      </c>
      <c r="X32" s="39">
        <v>9168.8230543568498</v>
      </c>
      <c r="Y32" s="40">
        <v>0.15686173455048588</v>
      </c>
      <c r="AA32" s="2" t="s">
        <v>14</v>
      </c>
      <c r="AB32" s="39">
        <v>108303.92046155951</v>
      </c>
      <c r="AC32" s="39">
        <v>115532.4107931941</v>
      </c>
      <c r="AD32" s="39">
        <v>7228.4903316345881</v>
      </c>
      <c r="AE32" s="40">
        <v>6.6742646995869445E-2</v>
      </c>
    </row>
    <row r="33" spans="15:31" x14ac:dyDescent="0.35">
      <c r="O33" s="2" t="s">
        <v>43</v>
      </c>
      <c r="P33" s="39">
        <v>525758.88916290004</v>
      </c>
      <c r="Q33" s="39">
        <v>609387.74930127803</v>
      </c>
      <c r="R33" s="39">
        <v>83628.86013837799</v>
      </c>
      <c r="S33" s="40">
        <v>0.15906314065660351</v>
      </c>
      <c r="U33" s="2" t="s">
        <v>15</v>
      </c>
      <c r="V33" s="39">
        <v>120101.4096305991</v>
      </c>
      <c r="W33" s="39">
        <v>107803.32588933336</v>
      </c>
      <c r="X33" s="39">
        <v>-12298.083741265742</v>
      </c>
      <c r="Y33" s="40">
        <v>-0.10239749707427639</v>
      </c>
      <c r="AA33" s="2" t="s">
        <v>16</v>
      </c>
      <c r="AB33" s="39">
        <v>40122.697280890497</v>
      </c>
      <c r="AC33" s="39">
        <v>47027.253774821358</v>
      </c>
      <c r="AD33" s="39">
        <v>6904.5564939308606</v>
      </c>
      <c r="AE33" s="40">
        <v>0.17208605008764802</v>
      </c>
    </row>
    <row r="34" spans="15:31" x14ac:dyDescent="0.35">
      <c r="U34" s="2" t="s">
        <v>43</v>
      </c>
      <c r="V34" s="39">
        <v>286282.20832150016</v>
      </c>
      <c r="W34" s="39">
        <v>308280.79840177251</v>
      </c>
      <c r="X34" s="39">
        <v>21998.590080272348</v>
      </c>
      <c r="Y34" s="40">
        <v>7.6842323556368303E-2</v>
      </c>
      <c r="AA34" s="2" t="s">
        <v>43</v>
      </c>
      <c r="AB34" s="39">
        <v>286282.20832150016</v>
      </c>
      <c r="AC34" s="39">
        <v>308280.79840177251</v>
      </c>
      <c r="AD34" s="39">
        <v>21998.590080272348</v>
      </c>
      <c r="AE34" s="40">
        <v>7.6842323556368303E-2</v>
      </c>
    </row>
    <row r="35" spans="15:31" x14ac:dyDescent="0.35">
      <c r="O35" s="99" t="s">
        <v>4</v>
      </c>
      <c r="P35" s="99" t="s">
        <v>12</v>
      </c>
      <c r="Q35" s="99" t="s">
        <v>62</v>
      </c>
      <c r="R35" s="99" t="s">
        <v>42</v>
      </c>
    </row>
    <row r="36" spans="15:31" x14ac:dyDescent="0.35">
      <c r="O36" s="97" t="s">
        <v>63</v>
      </c>
      <c r="P36" s="98">
        <f>MIN(IF(S10&gt;0,S10,0),1)</f>
        <v>0</v>
      </c>
      <c r="Q36" s="98">
        <f>MIN(IF(S11&gt;0,S11,0),1)</f>
        <v>0</v>
      </c>
      <c r="R36" s="98">
        <f>MIN(IF(S12&gt;0,S12,0),1)</f>
        <v>1</v>
      </c>
    </row>
    <row r="37" spans="15:31" x14ac:dyDescent="0.35">
      <c r="O37" s="97" t="s">
        <v>64</v>
      </c>
      <c r="P37" s="98">
        <f>MAX(IF(S10&gt;0,1-P36,0),0)</f>
        <v>0</v>
      </c>
      <c r="Q37" s="98">
        <f>MAX(IF(S11&gt;0,1-Q36,0),0)</f>
        <v>0</v>
      </c>
      <c r="R37" s="98">
        <f>MAX(IF(S12&gt;0,1-R36,0),0)</f>
        <v>0</v>
      </c>
    </row>
    <row r="38" spans="15:31" x14ac:dyDescent="0.35">
      <c r="O38" s="97" t="s">
        <v>65</v>
      </c>
      <c r="P38" s="98">
        <f>ABS(MIN(IF(S10&lt;0,S10,0),1))</f>
        <v>2.7667403182132243E-2</v>
      </c>
      <c r="Q38" s="98">
        <f>ABS(MIN(IF(S11&lt;0,S11,0),1))</f>
        <v>0.20619363510871402</v>
      </c>
      <c r="R38" s="98">
        <f>ABS(MIN(IF(S12&lt;0,S12,0),1))</f>
        <v>0</v>
      </c>
    </row>
    <row r="39" spans="15:31" x14ac:dyDescent="0.35">
      <c r="O39" s="97" t="s">
        <v>66</v>
      </c>
      <c r="P39" s="98">
        <f>IF(S10&lt;0,MIN(1-P38,1),0)</f>
        <v>0.97233259681786777</v>
      </c>
      <c r="Q39" s="98">
        <f>IF(S11&lt;0,MIN(1-Q38,1),0)</f>
        <v>0.79380636489128598</v>
      </c>
      <c r="R39" s="98">
        <f>IF(S12&lt;0,MIN(1-R38,1),0)</f>
        <v>0</v>
      </c>
    </row>
    <row r="40" spans="15:31" x14ac:dyDescent="0.35">
      <c r="O40" s="97" t="s">
        <v>67</v>
      </c>
      <c r="P40" s="97" t="str">
        <f t="shared" ref="P40" si="0">IF(P36&gt;0,TEXT(P36,"0%")&amp; " hit",IF(P38&gt;0,TEXT(P38,"0%")&amp;" miss",""))</f>
        <v>3% miss</v>
      </c>
      <c r="Q40" s="97" t="str">
        <f>IF(Q36&gt;0,TEXT(Q36,"0%")&amp; " hit",IF(Q38&gt;0,TEXT(Q38,"0%")&amp;" miss",""))</f>
        <v>21% miss</v>
      </c>
      <c r="R40" s="97" t="str">
        <f t="shared" ref="R40" si="1">IF(R36&gt;0,TEXT(R36,"0%")&amp; " hit",IF(R38&gt;0,TEXT(R38,"0%")&amp;" miss",""))</f>
        <v>100% hit</v>
      </c>
      <c r="S40" s="2"/>
    </row>
    <row r="42" spans="15:31" x14ac:dyDescent="0.35">
      <c r="O42" s="99" t="s">
        <v>19</v>
      </c>
      <c r="P42" s="99" t="s">
        <v>12</v>
      </c>
      <c r="Q42" s="99" t="s">
        <v>62</v>
      </c>
      <c r="R42" s="99" t="s">
        <v>42</v>
      </c>
    </row>
    <row r="43" spans="15:31" x14ac:dyDescent="0.35">
      <c r="O43" s="97" t="s">
        <v>63</v>
      </c>
      <c r="P43" s="98">
        <f>MIN(IF(S20&gt;0,S20,0),1)</f>
        <v>8.8830434475094342E-3</v>
      </c>
      <c r="Q43" s="98">
        <f>MIN(IF(S21&gt;0,S21,0),1)</f>
        <v>3.587752570308822E-2</v>
      </c>
      <c r="R43" s="98">
        <f>MIN(IF(S22&gt;0,S22,0),1)</f>
        <v>0.25293457924868329</v>
      </c>
    </row>
    <row r="44" spans="15:31" x14ac:dyDescent="0.35">
      <c r="O44" s="97" t="s">
        <v>64</v>
      </c>
      <c r="P44" s="98">
        <f>MAX(IF(S20&gt;0,1-P43,0),0)</f>
        <v>0.99111695655249055</v>
      </c>
      <c r="Q44" s="98">
        <f>MAX(IF(S21&gt;0,1-Q43,0),0)</f>
        <v>0.96412247429691178</v>
      </c>
      <c r="R44" s="98">
        <f>MAX(IF(S22&gt;0,1-R43,0),0)</f>
        <v>0.74706542075131677</v>
      </c>
    </row>
    <row r="45" spans="15:31" x14ac:dyDescent="0.35">
      <c r="O45" s="97" t="s">
        <v>65</v>
      </c>
      <c r="P45" s="98">
        <f>ABS(MIN(IF(S20&lt;0,S20,0),1))</f>
        <v>0</v>
      </c>
      <c r="Q45" s="98">
        <f>ABS(MIN(IF(S21&lt;0,S21,0),1))</f>
        <v>0</v>
      </c>
      <c r="R45" s="98">
        <f>ABS(MIN(IF(S22&lt;0,S22,0),1))</f>
        <v>0</v>
      </c>
    </row>
    <row r="46" spans="15:31" x14ac:dyDescent="0.35">
      <c r="O46" s="97" t="s">
        <v>66</v>
      </c>
      <c r="P46" s="98">
        <f>IF(S20&lt;0,MIN(1-P45,1),0)</f>
        <v>0</v>
      </c>
      <c r="Q46" s="98">
        <f>IF(S21&lt;0,MIN(1-Q45,1),0)</f>
        <v>0</v>
      </c>
      <c r="R46" s="98">
        <f>IF(S22&lt;0,MIN(1-R45,1),0)</f>
        <v>0</v>
      </c>
    </row>
    <row r="47" spans="15:31" x14ac:dyDescent="0.35">
      <c r="O47" s="97" t="s">
        <v>67</v>
      </c>
      <c r="P47" s="97" t="str">
        <f t="shared" ref="P47" si="2">IF(P43&gt;0,TEXT(P43,"0%")&amp; " hit",IF(P45&gt;0,TEXT(P45,"0%")&amp;" miss",""))</f>
        <v>1% hit</v>
      </c>
      <c r="Q47" s="97" t="str">
        <f>IF(Q43&gt;0,TEXT(Q43,"0%")&amp; " hit",IF(Q45&gt;0,TEXT(Q45,"0%")&amp;" miss",""))</f>
        <v>4% hit</v>
      </c>
      <c r="R47" s="97" t="str">
        <f t="shared" ref="R47" si="3">IF(R43&gt;0,TEXT(R43,"0%")&amp; " hit",IF(R45&gt;0,TEXT(R45,"0%")&amp;" miss",""))</f>
        <v>25% hit</v>
      </c>
    </row>
    <row r="49" spans="15:18" x14ac:dyDescent="0.35">
      <c r="O49" s="99" t="s">
        <v>21</v>
      </c>
      <c r="P49" s="99" t="s">
        <v>12</v>
      </c>
      <c r="Q49" s="99" t="s">
        <v>62</v>
      </c>
      <c r="R49" s="99" t="s">
        <v>42</v>
      </c>
    </row>
    <row r="50" spans="15:18" x14ac:dyDescent="0.35">
      <c r="O50" s="97" t="s">
        <v>63</v>
      </c>
      <c r="P50" s="98">
        <f>MIN(IF(S30&gt;0,S30,0),1)</f>
        <v>0.1214624449755719</v>
      </c>
      <c r="Q50" s="98">
        <f>MIN(IF(S31&gt;0,S31,0),1)</f>
        <v>0.13535490367314468</v>
      </c>
      <c r="R50" s="98">
        <f>MIN(IF(S32&gt;0,S32,0),1)</f>
        <v>0.34978231005100852</v>
      </c>
    </row>
    <row r="51" spans="15:18" x14ac:dyDescent="0.35">
      <c r="O51" s="97" t="s">
        <v>64</v>
      </c>
      <c r="P51" s="98">
        <f>MAX(IF(S30&gt;0,1-P50,0),0)</f>
        <v>0.8785375550244281</v>
      </c>
      <c r="Q51" s="98">
        <f>MAX(IF(S31&gt;0,1-Q50,0),0)</f>
        <v>0.86464509632685527</v>
      </c>
      <c r="R51" s="98">
        <f>MAX(IF(S32&gt;0,1-R50,0),0)</f>
        <v>0.65021768994899154</v>
      </c>
    </row>
    <row r="52" spans="15:18" x14ac:dyDescent="0.35">
      <c r="O52" s="97" t="s">
        <v>65</v>
      </c>
      <c r="P52" s="98">
        <f>ABS(MIN(IF(S30&lt;0,S30,0),1))</f>
        <v>0</v>
      </c>
      <c r="Q52" s="98">
        <f>ABS(MIN(IF(S31&lt;0,S31,0),1))</f>
        <v>0</v>
      </c>
      <c r="R52" s="98">
        <f>ABS(MIN(IF(S32&lt;0,S32,0),1))</f>
        <v>0</v>
      </c>
    </row>
    <row r="53" spans="15:18" x14ac:dyDescent="0.35">
      <c r="O53" s="97" t="s">
        <v>66</v>
      </c>
      <c r="P53" s="98">
        <f>IF(S30&lt;0,MIN(1-P52,1),0)</f>
        <v>0</v>
      </c>
      <c r="Q53" s="98">
        <f>IF(S31&lt;0,MIN(1-Q52,1),0)</f>
        <v>0</v>
      </c>
      <c r="R53" s="98">
        <f>IF(S32&lt;0,MIN(1-R52,1),0)</f>
        <v>0</v>
      </c>
    </row>
    <row r="54" spans="15:18" x14ac:dyDescent="0.35">
      <c r="O54" s="97" t="s">
        <v>67</v>
      </c>
      <c r="P54" s="97" t="str">
        <f t="shared" ref="P54" si="4">IF(P50&gt;0,TEXT(P50,"0%")&amp; " hit",IF(P52&gt;0,TEXT(P52,"0%")&amp;" miss",""))</f>
        <v>12% hit</v>
      </c>
      <c r="Q54" s="97" t="str">
        <f>IF(Q50&gt;0,TEXT(Q50,"0%")&amp; " hit",IF(Q52&gt;0,TEXT(Q52,"0%")&amp;" miss",""))</f>
        <v>14% hit</v>
      </c>
      <c r="R54" s="97" t="str">
        <f t="shared" ref="R54" si="5">IF(R50&gt;0,TEXT(R50,"0%")&amp; " hit",IF(R52&gt;0,TEXT(R52,"0%")&amp;" miss",""))</f>
        <v>35% hit</v>
      </c>
    </row>
    <row r="56" spans="15:18" x14ac:dyDescent="0.35">
      <c r="O56" s="99" t="s">
        <v>68</v>
      </c>
      <c r="P56" s="99" t="s">
        <v>12</v>
      </c>
      <c r="Q56" s="99" t="s">
        <v>62</v>
      </c>
      <c r="R56" s="99" t="s">
        <v>42</v>
      </c>
    </row>
    <row r="57" spans="15:18" x14ac:dyDescent="0.35">
      <c r="O57" s="97" t="s">
        <v>69</v>
      </c>
      <c r="P57" s="100">
        <f>R10</f>
        <v>-9573.1751779394108</v>
      </c>
      <c r="Q57" s="100">
        <f>R11</f>
        <v>-58936.262700000021</v>
      </c>
      <c r="R57" s="100">
        <f>R12</f>
        <v>44677.999300000025</v>
      </c>
    </row>
    <row r="58" spans="15:18" x14ac:dyDescent="0.35">
      <c r="O58" s="97" t="s">
        <v>70</v>
      </c>
      <c r="P58" s="100">
        <f>R20</f>
        <v>3046.55182745005</v>
      </c>
      <c r="Q58" s="100">
        <f>R21</f>
        <v>9899.6857999999775</v>
      </c>
      <c r="R58" s="100">
        <f>R22</f>
        <v>7601.2912000000506</v>
      </c>
    </row>
    <row r="59" spans="15:18" x14ac:dyDescent="0.35">
      <c r="O59" s="97" t="s">
        <v>71</v>
      </c>
      <c r="P59" s="100">
        <f>R30</f>
        <v>37475.280438377988</v>
      </c>
      <c r="Q59" s="100">
        <f>R31</f>
        <v>34076.084899999958</v>
      </c>
      <c r="R59" s="100">
        <f>R32</f>
        <v>12077.494800000029</v>
      </c>
    </row>
    <row r="61" spans="15:18" x14ac:dyDescent="0.35">
      <c r="O61" s="99" t="s">
        <v>72</v>
      </c>
      <c r="P61" s="99" t="s">
        <v>12</v>
      </c>
      <c r="Q61" s="99" t="s">
        <v>62</v>
      </c>
      <c r="R61" s="99" t="s">
        <v>42</v>
      </c>
    </row>
    <row r="62" spans="15:18" x14ac:dyDescent="0.35">
      <c r="O62" s="97" t="s">
        <v>69</v>
      </c>
      <c r="P62" s="97" t="str">
        <f t="shared" ref="P62:R64" si="6">IF(P57&gt;0,"Exceeded Budget","Missed Budget")</f>
        <v>Missed Budget</v>
      </c>
      <c r="Q62" s="97" t="str">
        <f t="shared" si="6"/>
        <v>Missed Budget</v>
      </c>
      <c r="R62" s="97" t="str">
        <f t="shared" si="6"/>
        <v>Exceeded Budget</v>
      </c>
    </row>
    <row r="63" spans="15:18" x14ac:dyDescent="0.35">
      <c r="O63" s="97" t="s">
        <v>70</v>
      </c>
      <c r="P63" s="97" t="str">
        <f t="shared" si="6"/>
        <v>Exceeded Budget</v>
      </c>
      <c r="Q63" s="97" t="str">
        <f t="shared" si="6"/>
        <v>Exceeded Budget</v>
      </c>
      <c r="R63" s="97" t="str">
        <f t="shared" si="6"/>
        <v>Exceeded Budget</v>
      </c>
    </row>
    <row r="64" spans="15:18" x14ac:dyDescent="0.35">
      <c r="O64" s="97" t="s">
        <v>71</v>
      </c>
      <c r="P64" s="97" t="str">
        <f t="shared" si="6"/>
        <v>Exceeded Budget</v>
      </c>
      <c r="Q64" s="97" t="str">
        <f t="shared" si="6"/>
        <v>Exceeded Budget</v>
      </c>
      <c r="R64" s="97" t="str">
        <f t="shared" si="6"/>
        <v>Exceeded Budget</v>
      </c>
    </row>
  </sheetData>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topLeftCell="B1" workbookViewId="0">
      <selection activeCell="S13" sqref="S13"/>
    </sheetView>
  </sheetViews>
  <sheetFormatPr defaultRowHeight="14.5" x14ac:dyDescent="0.35"/>
  <cols>
    <col min="1" max="1" width="2.26953125" customWidth="1"/>
    <col min="2" max="2" width="23.1796875" bestFit="1" customWidth="1"/>
    <col min="3" max="3" width="2.26953125" customWidth="1"/>
    <col min="4" max="4" width="19.1796875" bestFit="1" customWidth="1"/>
    <col min="5" max="5" width="2.26953125" customWidth="1"/>
    <col min="6" max="6" width="23.1796875" bestFit="1" customWidth="1"/>
    <col min="7" max="7" width="2.26953125" customWidth="1"/>
    <col min="9" max="9" width="2.26953125" customWidth="1"/>
    <col min="10" max="10" width="5.1796875" bestFit="1" customWidth="1"/>
    <col min="11" max="11" width="2.26953125" customWidth="1"/>
    <col min="12" max="12" width="20" style="2" bestFit="1" customWidth="1"/>
    <col min="13" max="13" width="2.26953125" customWidth="1"/>
    <col min="14" max="15" width="42.26953125" style="2" customWidth="1"/>
    <col min="16" max="17" width="20.26953125" customWidth="1"/>
    <col min="19" max="19" width="29.26953125" bestFit="1" customWidth="1"/>
    <col min="20" max="20" width="10.453125" bestFit="1" customWidth="1"/>
    <col min="21" max="21" width="4.1796875" customWidth="1"/>
    <col min="22" max="22" width="13.54296875" bestFit="1" customWidth="1"/>
    <col min="23" max="23" width="9.453125" bestFit="1" customWidth="1"/>
    <col min="25" max="25" width="22" bestFit="1" customWidth="1"/>
  </cols>
  <sheetData>
    <row r="2" spans="2:26" s="1" customFormat="1" x14ac:dyDescent="0.35">
      <c r="B2" s="1" t="s">
        <v>24</v>
      </c>
      <c r="D2" s="1" t="s">
        <v>73</v>
      </c>
      <c r="F2" s="1" t="s">
        <v>74</v>
      </c>
      <c r="H2" s="1" t="s">
        <v>75</v>
      </c>
      <c r="J2" s="1" t="s">
        <v>76</v>
      </c>
      <c r="L2" s="1" t="s">
        <v>77</v>
      </c>
      <c r="N2" s="27" t="s">
        <v>78</v>
      </c>
      <c r="O2" s="27" t="s">
        <v>22</v>
      </c>
      <c r="P2" s="1" t="s">
        <v>79</v>
      </c>
      <c r="Q2" s="1" t="s">
        <v>80</v>
      </c>
      <c r="S2" s="1" t="s">
        <v>77</v>
      </c>
      <c r="T2" s="1" t="s">
        <v>81</v>
      </c>
      <c r="V2" s="1" t="s">
        <v>68</v>
      </c>
      <c r="W2" s="1" t="s">
        <v>82</v>
      </c>
      <c r="Y2" s="27" t="s">
        <v>22</v>
      </c>
      <c r="Z2" s="1" t="s">
        <v>80</v>
      </c>
    </row>
    <row r="3" spans="2:26" x14ac:dyDescent="0.35">
      <c r="B3" s="35" t="s">
        <v>8</v>
      </c>
      <c r="D3" t="s">
        <v>30</v>
      </c>
      <c r="F3" t="s">
        <v>30</v>
      </c>
      <c r="H3" t="s">
        <v>5</v>
      </c>
      <c r="J3">
        <f>2*4</f>
        <v>8</v>
      </c>
      <c r="L3" s="2">
        <v>2023</v>
      </c>
      <c r="N3" s="2" t="s">
        <v>30</v>
      </c>
      <c r="O3" s="2" t="s">
        <v>39</v>
      </c>
      <c r="P3" t="s">
        <v>30</v>
      </c>
      <c r="Q3">
        <v>1</v>
      </c>
      <c r="S3" t="s">
        <v>83</v>
      </c>
      <c r="T3" s="34">
        <v>44927</v>
      </c>
      <c r="V3" t="s">
        <v>84</v>
      </c>
      <c r="W3" s="37">
        <v>45504</v>
      </c>
      <c r="Y3" s="2" t="s">
        <v>39</v>
      </c>
      <c r="Z3">
        <v>1</v>
      </c>
    </row>
    <row r="4" spans="2:26" x14ac:dyDescent="0.35">
      <c r="B4" s="35" t="s">
        <v>10</v>
      </c>
      <c r="D4" t="s">
        <v>85</v>
      </c>
      <c r="F4" t="s">
        <v>85</v>
      </c>
      <c r="H4" t="s">
        <v>4</v>
      </c>
      <c r="L4" s="2">
        <v>2024</v>
      </c>
      <c r="N4" s="28" t="s">
        <v>86</v>
      </c>
      <c r="O4" s="2" t="s">
        <v>39</v>
      </c>
      <c r="P4" t="s">
        <v>30</v>
      </c>
      <c r="Q4">
        <v>1</v>
      </c>
      <c r="S4" t="s">
        <v>87</v>
      </c>
      <c r="T4" s="34">
        <v>45291</v>
      </c>
      <c r="Y4" s="2" t="s">
        <v>40</v>
      </c>
      <c r="Z4">
        <v>-1</v>
      </c>
    </row>
    <row r="5" spans="2:26" x14ac:dyDescent="0.35">
      <c r="B5" s="35" t="s">
        <v>13</v>
      </c>
      <c r="D5" t="s">
        <v>41</v>
      </c>
      <c r="F5" t="s">
        <v>41</v>
      </c>
      <c r="L5" s="2">
        <v>2025</v>
      </c>
      <c r="N5" s="2" t="s">
        <v>40</v>
      </c>
      <c r="O5" s="2" t="s">
        <v>40</v>
      </c>
      <c r="P5" t="s">
        <v>85</v>
      </c>
      <c r="Q5">
        <v>-1</v>
      </c>
      <c r="S5" t="s">
        <v>88</v>
      </c>
      <c r="T5" s="34">
        <f>EDATE(T3,12)</f>
        <v>45292</v>
      </c>
      <c r="Y5" s="2" t="s">
        <v>41</v>
      </c>
      <c r="Z5">
        <v>1</v>
      </c>
    </row>
    <row r="6" spans="2:26" x14ac:dyDescent="0.35">
      <c r="B6" s="36" t="s">
        <v>15</v>
      </c>
      <c r="D6" t="s">
        <v>14</v>
      </c>
      <c r="F6" t="s">
        <v>10</v>
      </c>
      <c r="L6" s="2" t="s">
        <v>89</v>
      </c>
      <c r="N6" s="28" t="s">
        <v>90</v>
      </c>
      <c r="O6" s="2" t="s">
        <v>40</v>
      </c>
      <c r="P6" t="s">
        <v>85</v>
      </c>
      <c r="Q6">
        <v>-1</v>
      </c>
      <c r="S6" t="s">
        <v>91</v>
      </c>
      <c r="T6" s="34">
        <f t="shared" ref="T6:T8" si="0">EDATE(T4,12)</f>
        <v>45657</v>
      </c>
      <c r="Y6" s="2" t="s">
        <v>23</v>
      </c>
      <c r="Z6">
        <v>-1</v>
      </c>
    </row>
    <row r="7" spans="2:26" x14ac:dyDescent="0.35">
      <c r="D7" t="s">
        <v>9</v>
      </c>
      <c r="F7" t="s">
        <v>13</v>
      </c>
      <c r="L7" s="2" t="s">
        <v>84</v>
      </c>
      <c r="N7" s="28" t="s">
        <v>92</v>
      </c>
      <c r="O7" s="2" t="s">
        <v>40</v>
      </c>
      <c r="P7" t="s">
        <v>85</v>
      </c>
      <c r="Q7">
        <v>-1</v>
      </c>
      <c r="S7" t="s">
        <v>93</v>
      </c>
      <c r="T7" s="34">
        <f t="shared" si="0"/>
        <v>45658</v>
      </c>
      <c r="Y7" s="2" t="s">
        <v>42</v>
      </c>
      <c r="Z7">
        <v>1</v>
      </c>
    </row>
    <row r="8" spans="2:26" x14ac:dyDescent="0.35">
      <c r="D8" t="s">
        <v>16</v>
      </c>
      <c r="F8" t="s">
        <v>15</v>
      </c>
      <c r="L8" s="2" t="s">
        <v>94</v>
      </c>
      <c r="N8" s="2" t="s">
        <v>41</v>
      </c>
      <c r="O8" s="2" t="s">
        <v>41</v>
      </c>
      <c r="P8" t="s">
        <v>41</v>
      </c>
      <c r="Q8">
        <v>1</v>
      </c>
      <c r="S8" t="s">
        <v>95</v>
      </c>
      <c r="T8" s="34">
        <f t="shared" si="0"/>
        <v>46022</v>
      </c>
      <c r="Y8" s="2" t="s">
        <v>52</v>
      </c>
      <c r="Z8">
        <v>1</v>
      </c>
    </row>
    <row r="9" spans="2:26" x14ac:dyDescent="0.35">
      <c r="D9" t="s">
        <v>11</v>
      </c>
      <c r="F9" t="s">
        <v>8</v>
      </c>
      <c r="L9" s="2" t="s">
        <v>96</v>
      </c>
      <c r="N9" s="2" t="s">
        <v>23</v>
      </c>
      <c r="O9" s="2" t="s">
        <v>23</v>
      </c>
      <c r="P9" t="s">
        <v>11</v>
      </c>
      <c r="Q9">
        <v>-1</v>
      </c>
      <c r="S9" t="s">
        <v>97</v>
      </c>
      <c r="T9" s="34">
        <f>EOMONTH(CurrentMonth,-1)+1</f>
        <v>45474</v>
      </c>
      <c r="Y9" s="2" t="s">
        <v>53</v>
      </c>
      <c r="Z9">
        <v>-1</v>
      </c>
    </row>
    <row r="10" spans="2:26" x14ac:dyDescent="0.35">
      <c r="D10" t="s">
        <v>42</v>
      </c>
      <c r="F10" t="s">
        <v>42</v>
      </c>
      <c r="L10" s="2" t="s">
        <v>98</v>
      </c>
      <c r="N10" s="28" t="s">
        <v>44</v>
      </c>
      <c r="O10" s="2" t="s">
        <v>23</v>
      </c>
      <c r="P10" t="s">
        <v>9</v>
      </c>
      <c r="Q10">
        <v>-1</v>
      </c>
      <c r="S10" t="s">
        <v>99</v>
      </c>
      <c r="T10" s="38">
        <f>CurrentMonth</f>
        <v>45504</v>
      </c>
      <c r="Y10" s="2" t="s">
        <v>55</v>
      </c>
      <c r="Z10">
        <v>1</v>
      </c>
    </row>
    <row r="11" spans="2:26" x14ac:dyDescent="0.35">
      <c r="D11" t="s">
        <v>55</v>
      </c>
      <c r="F11" t="s">
        <v>55</v>
      </c>
      <c r="N11" s="28" t="s">
        <v>100</v>
      </c>
      <c r="O11" s="2" t="s">
        <v>23</v>
      </c>
      <c r="P11" t="s">
        <v>11</v>
      </c>
      <c r="Q11">
        <v>-1</v>
      </c>
      <c r="S11" t="s">
        <v>101</v>
      </c>
      <c r="T11" s="34">
        <f>EOMONTH(CurrentMonth,-3)+1</f>
        <v>45413</v>
      </c>
      <c r="Y11" s="2" t="s">
        <v>56</v>
      </c>
      <c r="Z11">
        <v>1</v>
      </c>
    </row>
    <row r="12" spans="2:26" x14ac:dyDescent="0.35">
      <c r="D12" t="s">
        <v>56</v>
      </c>
      <c r="F12" t="s">
        <v>56</v>
      </c>
      <c r="N12" s="28" t="s">
        <v>45</v>
      </c>
      <c r="O12" s="2" t="s">
        <v>23</v>
      </c>
      <c r="P12" t="s">
        <v>9</v>
      </c>
      <c r="Q12">
        <v>-1</v>
      </c>
      <c r="S12" t="s">
        <v>102</v>
      </c>
      <c r="T12" s="34">
        <f>EOMONTH(T11,2)</f>
        <v>45504</v>
      </c>
      <c r="Y12" s="2"/>
    </row>
    <row r="13" spans="2:26" x14ac:dyDescent="0.35">
      <c r="D13" t="s">
        <v>103</v>
      </c>
      <c r="N13" s="28" t="s">
        <v>104</v>
      </c>
      <c r="O13" s="2" t="s">
        <v>23</v>
      </c>
      <c r="P13" t="s">
        <v>11</v>
      </c>
      <c r="Q13">
        <v>-1</v>
      </c>
      <c r="S13" t="s">
        <v>105</v>
      </c>
      <c r="T13" s="34">
        <f>EOMONTH(T11,-4)+1</f>
        <v>45323</v>
      </c>
    </row>
    <row r="14" spans="2:26" x14ac:dyDescent="0.35">
      <c r="N14" s="28" t="s">
        <v>106</v>
      </c>
      <c r="O14" s="2" t="s">
        <v>23</v>
      </c>
      <c r="P14" t="s">
        <v>11</v>
      </c>
      <c r="Q14">
        <v>-1</v>
      </c>
      <c r="S14" t="s">
        <v>107</v>
      </c>
      <c r="T14" s="34">
        <f>EOMONTH(T13,5)</f>
        <v>45504</v>
      </c>
    </row>
    <row r="15" spans="2:26" x14ac:dyDescent="0.35">
      <c r="N15" s="28" t="s">
        <v>108</v>
      </c>
      <c r="O15" s="2" t="s">
        <v>23</v>
      </c>
      <c r="P15" t="s">
        <v>11</v>
      </c>
      <c r="Q15">
        <v>-1</v>
      </c>
      <c r="S15" t="s">
        <v>109</v>
      </c>
      <c r="T15" s="34">
        <f>EDATE(T9,-11)</f>
        <v>45139</v>
      </c>
    </row>
    <row r="16" spans="2:26" x14ac:dyDescent="0.35">
      <c r="N16" s="29" t="s">
        <v>110</v>
      </c>
      <c r="O16" s="2" t="s">
        <v>23</v>
      </c>
      <c r="P16" t="s">
        <v>11</v>
      </c>
      <c r="Q16">
        <v>-1</v>
      </c>
      <c r="S16" t="s">
        <v>111</v>
      </c>
      <c r="T16" s="34">
        <f>EOMONTH(T15,11)</f>
        <v>45504</v>
      </c>
    </row>
    <row r="17" spans="14:20" x14ac:dyDescent="0.35">
      <c r="N17" s="29" t="s">
        <v>112</v>
      </c>
      <c r="O17" s="2" t="s">
        <v>23</v>
      </c>
      <c r="P17" t="s">
        <v>11</v>
      </c>
      <c r="Q17">
        <v>-1</v>
      </c>
      <c r="S17" t="s">
        <v>113</v>
      </c>
      <c r="T17" s="34">
        <f>DATE(YEAR(CurrentMonth),1,1)</f>
        <v>45292</v>
      </c>
    </row>
    <row r="18" spans="14:20" x14ac:dyDescent="0.35">
      <c r="N18" s="29" t="s">
        <v>114</v>
      </c>
      <c r="O18" s="2" t="s">
        <v>23</v>
      </c>
      <c r="P18" t="s">
        <v>11</v>
      </c>
      <c r="Q18">
        <v>-1</v>
      </c>
      <c r="S18" t="s">
        <v>115</v>
      </c>
      <c r="T18" s="34">
        <f>CurrentMonth</f>
        <v>45504</v>
      </c>
    </row>
    <row r="19" spans="14:20" x14ac:dyDescent="0.35">
      <c r="N19" s="28" t="s">
        <v>116</v>
      </c>
      <c r="O19" s="2" t="s">
        <v>23</v>
      </c>
      <c r="P19" t="s">
        <v>16</v>
      </c>
      <c r="Q19">
        <v>-1</v>
      </c>
      <c r="S19" t="str">
        <f t="shared" ref="S19:S28" si="1">"Prior Period "&amp;S9</f>
        <v>Prior Period Current Month Start</v>
      </c>
      <c r="T19" s="34">
        <f>EDATE(T9,-1)</f>
        <v>45444</v>
      </c>
    </row>
    <row r="20" spans="14:20" x14ac:dyDescent="0.35">
      <c r="N20" s="29" t="s">
        <v>117</v>
      </c>
      <c r="O20" s="2" t="s">
        <v>23</v>
      </c>
      <c r="P20" t="s">
        <v>16</v>
      </c>
      <c r="Q20">
        <v>-1</v>
      </c>
      <c r="S20" t="str">
        <f t="shared" si="1"/>
        <v>Prior Period Current Month End</v>
      </c>
      <c r="T20" s="34">
        <f>EDATE(CurrentMonth,-1)</f>
        <v>45473</v>
      </c>
    </row>
    <row r="21" spans="14:20" x14ac:dyDescent="0.35">
      <c r="N21" s="29" t="s">
        <v>118</v>
      </c>
      <c r="O21" s="2" t="s">
        <v>23</v>
      </c>
      <c r="P21" t="s">
        <v>16</v>
      </c>
      <c r="Q21">
        <v>-1</v>
      </c>
      <c r="S21" t="str">
        <f t="shared" si="1"/>
        <v>Prior Period Trailing 3 Mo Start</v>
      </c>
      <c r="T21" s="34">
        <f>EDATE(T11,-3)</f>
        <v>45323</v>
      </c>
    </row>
    <row r="22" spans="14:20" x14ac:dyDescent="0.35">
      <c r="N22" s="29" t="s">
        <v>119</v>
      </c>
      <c r="O22" s="2" t="s">
        <v>23</v>
      </c>
      <c r="P22" t="s">
        <v>16</v>
      </c>
      <c r="Q22">
        <v>-1</v>
      </c>
      <c r="S22" t="str">
        <f t="shared" si="1"/>
        <v>Prior Period Trailing 3 mo End</v>
      </c>
      <c r="T22" s="34">
        <f>EDATE(T12,-3)</f>
        <v>45412</v>
      </c>
    </row>
    <row r="23" spans="14:20" x14ac:dyDescent="0.35">
      <c r="N23" s="29" t="s">
        <v>120</v>
      </c>
      <c r="O23" s="2" t="s">
        <v>23</v>
      </c>
      <c r="P23" t="s">
        <v>16</v>
      </c>
      <c r="Q23">
        <v>-1</v>
      </c>
      <c r="S23" t="str">
        <f t="shared" si="1"/>
        <v>Prior Period Trailing 6 Mo Start</v>
      </c>
      <c r="T23" s="34">
        <f>EDATE(T13,-6)</f>
        <v>45139</v>
      </c>
    </row>
    <row r="24" spans="14:20" x14ac:dyDescent="0.35">
      <c r="N24" s="28" t="s">
        <v>121</v>
      </c>
      <c r="O24" s="2" t="s">
        <v>23</v>
      </c>
      <c r="P24" t="s">
        <v>14</v>
      </c>
      <c r="Q24">
        <v>-1</v>
      </c>
      <c r="S24" t="str">
        <f t="shared" si="1"/>
        <v>Prior Period Trailing 6 Mo End</v>
      </c>
      <c r="T24" s="34">
        <f>EDATE(T14,-6)</f>
        <v>45322</v>
      </c>
    </row>
    <row r="25" spans="14:20" x14ac:dyDescent="0.35">
      <c r="N25" s="29" t="s">
        <v>122</v>
      </c>
      <c r="O25" s="2" t="s">
        <v>23</v>
      </c>
      <c r="P25" t="s">
        <v>14</v>
      </c>
      <c r="Q25">
        <v>-1</v>
      </c>
      <c r="S25" t="str">
        <f t="shared" si="1"/>
        <v>Prior Period Trailing 12 Mo Start</v>
      </c>
      <c r="T25" s="34">
        <f>EDATE(T15,-12)</f>
        <v>44774</v>
      </c>
    </row>
    <row r="26" spans="14:20" x14ac:dyDescent="0.35">
      <c r="N26" s="29" t="s">
        <v>123</v>
      </c>
      <c r="O26" s="2" t="s">
        <v>23</v>
      </c>
      <c r="P26" t="s">
        <v>14</v>
      </c>
      <c r="Q26">
        <v>-1</v>
      </c>
      <c r="S26" t="str">
        <f t="shared" si="1"/>
        <v>Prior Period Trailing 12 Mo End</v>
      </c>
      <c r="T26" s="34">
        <f>EDATE(T16,-12)</f>
        <v>45138</v>
      </c>
    </row>
    <row r="27" spans="14:20" x14ac:dyDescent="0.35">
      <c r="N27" s="29" t="s">
        <v>124</v>
      </c>
      <c r="O27" s="2" t="s">
        <v>23</v>
      </c>
      <c r="P27" t="s">
        <v>14</v>
      </c>
      <c r="Q27">
        <v>-1</v>
      </c>
      <c r="S27" t="str">
        <f t="shared" si="1"/>
        <v>Prior Period YTD Start</v>
      </c>
      <c r="T27" s="34">
        <f>EOMONTH(T28,-(MONTH(T18)-MONTH(T17)+1))+1</f>
        <v>45078</v>
      </c>
    </row>
    <row r="28" spans="14:20" x14ac:dyDescent="0.35">
      <c r="N28" s="29" t="s">
        <v>125</v>
      </c>
      <c r="O28" s="2" t="s">
        <v>23</v>
      </c>
      <c r="P28" t="s">
        <v>14</v>
      </c>
      <c r="Q28">
        <v>-1</v>
      </c>
      <c r="S28" t="str">
        <f t="shared" si="1"/>
        <v>Prior Period YTD End</v>
      </c>
      <c r="T28" s="34">
        <f>EOMONTH(T17,-1)</f>
        <v>45291</v>
      </c>
    </row>
    <row r="29" spans="14:20" x14ac:dyDescent="0.35">
      <c r="N29" s="29" t="s">
        <v>126</v>
      </c>
      <c r="O29" s="2" t="s">
        <v>23</v>
      </c>
      <c r="P29" t="s">
        <v>14</v>
      </c>
      <c r="Q29">
        <v>-1</v>
      </c>
      <c r="S29" t="str">
        <f>"Prior Year "&amp;S9</f>
        <v>Prior Year Current Month Start</v>
      </c>
      <c r="T29" s="34">
        <f>EDATE(T9,-12)</f>
        <v>45108</v>
      </c>
    </row>
    <row r="30" spans="14:20" x14ac:dyDescent="0.35">
      <c r="N30" s="29" t="s">
        <v>127</v>
      </c>
      <c r="O30" s="2" t="s">
        <v>23</v>
      </c>
      <c r="P30" t="s">
        <v>11</v>
      </c>
      <c r="Q30">
        <v>-1</v>
      </c>
      <c r="S30" t="str">
        <f t="shared" ref="S30:S38" si="2">"Prior Year "&amp;S10</f>
        <v>Prior Year Current Month End</v>
      </c>
      <c r="T30" s="34">
        <f>EDATE(CurrentMonth,-12)</f>
        <v>45138</v>
      </c>
    </row>
    <row r="31" spans="14:20" x14ac:dyDescent="0.35">
      <c r="N31" s="28" t="s">
        <v>128</v>
      </c>
      <c r="O31" s="2" t="s">
        <v>23</v>
      </c>
      <c r="P31" t="s">
        <v>11</v>
      </c>
      <c r="Q31">
        <v>-1</v>
      </c>
      <c r="S31" t="str">
        <f t="shared" si="2"/>
        <v>Prior Year Trailing 3 Mo Start</v>
      </c>
      <c r="T31" s="34">
        <f t="shared" ref="T31:T38" si="3">EDATE(T11,-12)</f>
        <v>45047</v>
      </c>
    </row>
    <row r="32" spans="14:20" x14ac:dyDescent="0.35">
      <c r="N32" s="29" t="s">
        <v>129</v>
      </c>
      <c r="O32" s="2" t="s">
        <v>23</v>
      </c>
      <c r="P32" t="s">
        <v>11</v>
      </c>
      <c r="Q32">
        <v>-1</v>
      </c>
      <c r="S32" t="str">
        <f t="shared" si="2"/>
        <v>Prior Year Trailing 3 mo End</v>
      </c>
      <c r="T32" s="34">
        <f t="shared" si="3"/>
        <v>45138</v>
      </c>
    </row>
    <row r="33" spans="14:20" x14ac:dyDescent="0.35">
      <c r="N33" s="29" t="s">
        <v>130</v>
      </c>
      <c r="O33" s="2" t="s">
        <v>23</v>
      </c>
      <c r="P33" t="s">
        <v>11</v>
      </c>
      <c r="Q33">
        <v>-1</v>
      </c>
      <c r="S33" t="str">
        <f t="shared" si="2"/>
        <v>Prior Year Trailing 6 Mo Start</v>
      </c>
      <c r="T33" s="34">
        <f t="shared" si="3"/>
        <v>44958</v>
      </c>
    </row>
    <row r="34" spans="14:20" x14ac:dyDescent="0.35">
      <c r="N34" s="29" t="s">
        <v>131</v>
      </c>
      <c r="O34" s="2" t="s">
        <v>23</v>
      </c>
      <c r="P34" t="s">
        <v>11</v>
      </c>
      <c r="Q34">
        <v>-1</v>
      </c>
      <c r="S34" t="str">
        <f t="shared" si="2"/>
        <v>Prior Year Trailing 6 Mo End</v>
      </c>
      <c r="T34" s="34">
        <f t="shared" si="3"/>
        <v>45138</v>
      </c>
    </row>
    <row r="35" spans="14:20" x14ac:dyDescent="0.35">
      <c r="N35" s="2" t="s">
        <v>132</v>
      </c>
      <c r="O35" s="2" t="s">
        <v>42</v>
      </c>
      <c r="P35" s="2" t="s">
        <v>42</v>
      </c>
      <c r="Q35">
        <v>1</v>
      </c>
      <c r="S35" t="str">
        <f t="shared" si="2"/>
        <v>Prior Year Trailing 12 Mo Start</v>
      </c>
      <c r="T35" s="34">
        <f t="shared" si="3"/>
        <v>44774</v>
      </c>
    </row>
    <row r="36" spans="14:20" x14ac:dyDescent="0.35">
      <c r="N36" s="2" t="s">
        <v>52</v>
      </c>
      <c r="O36" s="2" t="s">
        <v>52</v>
      </c>
      <c r="P36" t="s">
        <v>52</v>
      </c>
      <c r="Q36">
        <v>1</v>
      </c>
      <c r="S36" t="str">
        <f t="shared" si="2"/>
        <v>Prior Year Trailing 12 Mo End</v>
      </c>
      <c r="T36" s="34">
        <f t="shared" si="3"/>
        <v>45138</v>
      </c>
    </row>
    <row r="37" spans="14:20" x14ac:dyDescent="0.35">
      <c r="N37" s="2" t="s">
        <v>133</v>
      </c>
      <c r="O37" s="2" t="s">
        <v>52</v>
      </c>
      <c r="P37" t="s">
        <v>52</v>
      </c>
      <c r="Q37">
        <v>1</v>
      </c>
      <c r="S37" t="str">
        <f t="shared" si="2"/>
        <v>Prior Year YTD Start</v>
      </c>
      <c r="T37" s="34">
        <f t="shared" si="3"/>
        <v>44927</v>
      </c>
    </row>
    <row r="38" spans="14:20" x14ac:dyDescent="0.35">
      <c r="N38" s="2" t="s">
        <v>53</v>
      </c>
      <c r="O38" s="2" t="s">
        <v>53</v>
      </c>
      <c r="P38" t="s">
        <v>53</v>
      </c>
      <c r="Q38">
        <v>-1</v>
      </c>
      <c r="S38" t="str">
        <f t="shared" si="2"/>
        <v>Prior Year YTD End</v>
      </c>
      <c r="T38" s="34">
        <f t="shared" si="3"/>
        <v>45138</v>
      </c>
    </row>
    <row r="39" spans="14:20" x14ac:dyDescent="0.35">
      <c r="N39" s="2" t="s">
        <v>134</v>
      </c>
      <c r="O39" s="2" t="s">
        <v>53</v>
      </c>
      <c r="P39" t="s">
        <v>53</v>
      </c>
      <c r="Q39">
        <v>-1</v>
      </c>
    </row>
    <row r="40" spans="14:20" x14ac:dyDescent="0.35">
      <c r="N40" s="2" t="s">
        <v>54</v>
      </c>
      <c r="O40" s="2" t="s">
        <v>53</v>
      </c>
      <c r="P40" t="s">
        <v>53</v>
      </c>
      <c r="Q40">
        <v>-1</v>
      </c>
    </row>
    <row r="41" spans="14:20" x14ac:dyDescent="0.35">
      <c r="N41" s="2" t="s">
        <v>55</v>
      </c>
      <c r="O41" s="2" t="str">
        <f>Mappings[[#This Row],[Account]]</f>
        <v>Net Other Income</v>
      </c>
      <c r="P41" t="s">
        <v>55</v>
      </c>
      <c r="Q41">
        <v>1</v>
      </c>
    </row>
    <row r="42" spans="14:20" x14ac:dyDescent="0.35">
      <c r="N42" s="2" t="s">
        <v>56</v>
      </c>
      <c r="O42" s="2" t="str">
        <f>Mappings[[#This Row],[Account]]</f>
        <v>Net Income</v>
      </c>
      <c r="P42" t="s">
        <v>56</v>
      </c>
      <c r="Q42">
        <v>1</v>
      </c>
    </row>
    <row r="267" spans="14:15" x14ac:dyDescent="0.35">
      <c r="N267" s="9"/>
      <c r="O267" s="9"/>
    </row>
    <row r="268" spans="14:15" x14ac:dyDescent="0.35">
      <c r="N268" s="9"/>
      <c r="O268" s="9"/>
    </row>
    <row r="269" spans="14:15" x14ac:dyDescent="0.35">
      <c r="N269" s="9"/>
      <c r="O269" s="9"/>
    </row>
    <row r="270" spans="14:15" x14ac:dyDescent="0.35">
      <c r="N270" s="9"/>
      <c r="O270" s="9"/>
    </row>
    <row r="271" spans="14:15" x14ac:dyDescent="0.35">
      <c r="N271" s="9"/>
      <c r="O271" s="9"/>
    </row>
    <row r="272" spans="14:15" x14ac:dyDescent="0.35">
      <c r="N272" s="9"/>
      <c r="O272" s="9"/>
    </row>
    <row r="273" spans="14:15" x14ac:dyDescent="0.35">
      <c r="N273" s="9"/>
      <c r="O273" s="9"/>
    </row>
    <row r="274" spans="14:15" x14ac:dyDescent="0.35">
      <c r="N274" s="9"/>
      <c r="O274" s="9"/>
    </row>
    <row r="275" spans="14:15" x14ac:dyDescent="0.35">
      <c r="N275" s="9"/>
      <c r="O275" s="9"/>
    </row>
    <row r="276" spans="14:15" x14ac:dyDescent="0.35">
      <c r="N276" s="9"/>
      <c r="O276" s="9"/>
    </row>
    <row r="277" spans="14:15" x14ac:dyDescent="0.35">
      <c r="N277" s="9"/>
      <c r="O277" s="9"/>
    </row>
    <row r="278" spans="14:15" x14ac:dyDescent="0.35">
      <c r="N278" s="9"/>
      <c r="O278" s="9"/>
    </row>
    <row r="279" spans="14:15" x14ac:dyDescent="0.35">
      <c r="N279" s="9"/>
      <c r="O279" s="9"/>
    </row>
  </sheetData>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136</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x14ac:dyDescent="0.35">
      <c r="A7" s="15"/>
      <c r="B7" s="6" t="s">
        <v>138</v>
      </c>
      <c r="C7" s="31"/>
      <c r="D7" s="16"/>
      <c r="E7" s="20">
        <f t="shared" ref="E7" si="59">SUM(E6 + E5)</f>
        <v>100000</v>
      </c>
      <c r="F7" s="20">
        <f t="shared" ref="F7:AM7" si="60">SUM(F6 + F5)</f>
        <v>103000</v>
      </c>
      <c r="G7" s="20">
        <f t="shared" si="60"/>
        <v>99910</v>
      </c>
      <c r="H7" s="20">
        <f t="shared" si="60"/>
        <v>102907.3</v>
      </c>
      <c r="I7" s="20">
        <f t="shared" si="60"/>
        <v>99820.081000000006</v>
      </c>
      <c r="J7" s="20">
        <f t="shared" si="60"/>
        <v>102814.68343</v>
      </c>
      <c r="K7" s="20">
        <f t="shared" si="60"/>
        <v>105899.12393290001</v>
      </c>
      <c r="L7" s="20">
        <f t="shared" si="60"/>
        <v>102722.15021491301</v>
      </c>
      <c r="M7" s="20">
        <f t="shared" si="60"/>
        <v>105803.81472136041</v>
      </c>
      <c r="N7" s="20">
        <f t="shared" si="60"/>
        <v>108977.92916300123</v>
      </c>
      <c r="O7" s="20">
        <f t="shared" si="60"/>
        <v>112247.26703789127</v>
      </c>
      <c r="P7" s="20">
        <f t="shared" si="60"/>
        <v>108879.84902675453</v>
      </c>
      <c r="Q7" s="20">
        <f t="shared" si="60"/>
        <v>112146.24449755717</v>
      </c>
      <c r="R7" s="20">
        <f t="shared" si="60"/>
        <v>115510.63183248389</v>
      </c>
      <c r="S7" s="20">
        <f t="shared" si="60"/>
        <v>112045.31287750938</v>
      </c>
      <c r="T7" s="20">
        <f t="shared" si="60"/>
        <v>115406.67226383467</v>
      </c>
      <c r="U7" s="20">
        <f t="shared" si="60"/>
        <v>111944.47209591963</v>
      </c>
      <c r="V7" s="20">
        <f t="shared" si="60"/>
        <v>115302.80625879722</v>
      </c>
      <c r="W7" s="20">
        <f t="shared" si="60"/>
        <v>118761.89044656114</v>
      </c>
      <c r="X7" s="20">
        <f t="shared" si="60"/>
        <v>115199.03373316431</v>
      </c>
      <c r="Y7" s="20">
        <f t="shared" si="60"/>
        <v>111743.06272116938</v>
      </c>
      <c r="Z7" s="20">
        <f t="shared" si="60"/>
        <v>115095.35460280447</v>
      </c>
      <c r="AA7" s="20">
        <f t="shared" si="60"/>
        <v>118548.2152408886</v>
      </c>
      <c r="AB7" s="20">
        <f t="shared" si="60"/>
        <v>122104.66169811526</v>
      </c>
      <c r="AC7" s="20">
        <f t="shared" si="60"/>
        <v>118441.5218471718</v>
      </c>
      <c r="AD7" s="20">
        <f t="shared" si="60"/>
        <v>121994.76750258695</v>
      </c>
      <c r="AE7" s="20">
        <f t="shared" si="60"/>
        <v>125654.61052766457</v>
      </c>
      <c r="AF7" s="20">
        <f t="shared" si="60"/>
        <v>129424.24884349451</v>
      </c>
      <c r="AG7" s="20">
        <f t="shared" si="60"/>
        <v>125541.52137818967</v>
      </c>
      <c r="AH7" s="20">
        <f t="shared" si="60"/>
        <v>129307.76701953537</v>
      </c>
      <c r="AI7" s="20">
        <f t="shared" si="60"/>
        <v>133187.00003012145</v>
      </c>
      <c r="AJ7" s="20">
        <f t="shared" si="60"/>
        <v>129191.3900292178</v>
      </c>
      <c r="AK7" s="20">
        <f t="shared" si="60"/>
        <v>133067.13173009435</v>
      </c>
      <c r="AL7" s="20">
        <f t="shared" si="60"/>
        <v>137059.14568199718</v>
      </c>
      <c r="AM7" s="20">
        <f t="shared" si="60"/>
        <v>141170.92005245711</v>
      </c>
      <c r="AN7" s="20">
        <f t="shared" ref="AN7" si="61">SUM(AN6 + AN5)</f>
        <v>136935.7924508834</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x14ac:dyDescent="0.35">
      <c r="A10" s="15"/>
      <c r="B10" s="5" t="s">
        <v>92</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x14ac:dyDescent="0.35">
      <c r="A11" s="15"/>
      <c r="B11" s="6" t="s">
        <v>139</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x14ac:dyDescent="0.35">
      <c r="B12" s="6" t="s">
        <v>41</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x14ac:dyDescent="0.35">
      <c r="B16" s="5" t="s">
        <v>45</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x14ac:dyDescent="0.35">
      <c r="B17" s="5" t="s">
        <v>104</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x14ac:dyDescent="0.35">
      <c r="B18" s="5" t="s">
        <v>106</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x14ac:dyDescent="0.35">
      <c r="B19" s="7" t="s">
        <v>108</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x14ac:dyDescent="0.35">
      <c r="B20" s="8" t="s">
        <v>110</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x14ac:dyDescent="0.35">
      <c r="B21" s="8" t="s">
        <v>112</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x14ac:dyDescent="0.35">
      <c r="B22" s="8" t="s">
        <v>114</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x14ac:dyDescent="0.35">
      <c r="B23" s="7" t="s">
        <v>140</v>
      </c>
      <c r="C23" s="32"/>
      <c r="D23" s="16"/>
      <c r="E23" s="20">
        <f t="shared" ref="E23:AM23" si="162">SUM(E22, E21, E20 + E19)</f>
        <v>4650</v>
      </c>
      <c r="F23" s="20">
        <f t="shared" si="162"/>
        <v>4805.5</v>
      </c>
      <c r="G23" s="20">
        <f t="shared" si="162"/>
        <v>4709.3900000000003</v>
      </c>
      <c r="H23" s="20">
        <f t="shared" si="162"/>
        <v>4867.1356999999998</v>
      </c>
      <c r="I23" s="20">
        <f t="shared" si="162"/>
        <v>5030.436971000001</v>
      </c>
      <c r="J23" s="20">
        <f t="shared" si="162"/>
        <v>4929.8282315800006</v>
      </c>
      <c r="K23" s="20">
        <f t="shared" si="162"/>
        <v>5095.5116073274003</v>
      </c>
      <c r="L23" s="20">
        <f t="shared" si="162"/>
        <v>5267.054910787223</v>
      </c>
      <c r="M23" s="20">
        <f t="shared" si="162"/>
        <v>5444.67841111284</v>
      </c>
      <c r="N23" s="20">
        <f t="shared" si="162"/>
        <v>5335.7848428905827</v>
      </c>
      <c r="O23" s="20">
        <f t="shared" si="162"/>
        <v>5516.0389849163585</v>
      </c>
      <c r="P23" s="20">
        <f t="shared" si="162"/>
        <v>5702.7097810398609</v>
      </c>
      <c r="Q23" s="20">
        <f t="shared" si="162"/>
        <v>5896.0401823758675</v>
      </c>
      <c r="R23" s="20">
        <f t="shared" si="162"/>
        <v>5778.1193787283501</v>
      </c>
      <c r="S23" s="20">
        <f t="shared" si="162"/>
        <v>5974.3572921242521</v>
      </c>
      <c r="T23" s="20">
        <f t="shared" si="162"/>
        <v>6177.6270595237329</v>
      </c>
      <c r="U23" s="20">
        <f t="shared" si="162"/>
        <v>6388.196872376986</v>
      </c>
      <c r="V23" s="20">
        <f t="shared" si="162"/>
        <v>6260.4329349294467</v>
      </c>
      <c r="W23" s="20">
        <f t="shared" si="162"/>
        <v>6474.2189130758297</v>
      </c>
      <c r="X23" s="20">
        <f t="shared" si="162"/>
        <v>6695.7171200715293</v>
      </c>
      <c r="Y23" s="20">
        <f t="shared" si="162"/>
        <v>6561.8027776700992</v>
      </c>
      <c r="Z23" s="20">
        <f t="shared" si="162"/>
        <v>6786.7193781521273</v>
      </c>
      <c r="AA23" s="20">
        <f t="shared" si="162"/>
        <v>7019.7866025062112</v>
      </c>
      <c r="AB23" s="20">
        <f t="shared" si="162"/>
        <v>6879.3908704560863</v>
      </c>
      <c r="AC23" s="20">
        <f t="shared" si="162"/>
        <v>7116.0927432265653</v>
      </c>
      <c r="AD23" s="20">
        <f t="shared" si="162"/>
        <v>6572.004703362416</v>
      </c>
      <c r="AE23" s="20">
        <f t="shared" si="162"/>
        <v>6212.7812298111912</v>
      </c>
      <c r="AF23" s="20">
        <f t="shared" si="162"/>
        <v>5763.0949953652762</v>
      </c>
      <c r="AG23" s="20">
        <f t="shared" si="162"/>
        <v>5492.1497927272922</v>
      </c>
      <c r="AH23" s="20">
        <f t="shared" si="162"/>
        <v>5382.3067968727464</v>
      </c>
      <c r="AI23" s="20">
        <f t="shared" si="162"/>
        <v>5576.8112374029379</v>
      </c>
      <c r="AJ23" s="20">
        <f t="shared" si="162"/>
        <v>5778.8025729802366</v>
      </c>
      <c r="AK23" s="20">
        <f t="shared" si="162"/>
        <v>5988.5879985476149</v>
      </c>
      <c r="AL23" s="20">
        <f t="shared" si="162"/>
        <v>5586.5355496161419</v>
      </c>
      <c r="AM23" s="20">
        <f t="shared" si="162"/>
        <v>5378.7736759807958</v>
      </c>
      <c r="AN23" s="20">
        <f t="shared" ref="AN23" si="163">SUM(AN22, AN21, AN20 + AN19)</f>
        <v>5207.9363752709123</v>
      </c>
    </row>
    <row r="24" spans="2:40" s="22" customFormat="1" ht="21" customHeight="1" x14ac:dyDescent="0.35">
      <c r="B24" s="7" t="s">
        <v>116</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x14ac:dyDescent="0.35">
      <c r="B25" s="8" t="s">
        <v>117</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x14ac:dyDescent="0.35">
      <c r="B26" s="8" t="s">
        <v>118</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x14ac:dyDescent="0.35">
      <c r="B27" s="8" t="s">
        <v>119</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x14ac:dyDescent="0.35">
      <c r="B28" s="8" t="s">
        <v>120</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x14ac:dyDescent="0.35">
      <c r="B29" s="7" t="s">
        <v>141</v>
      </c>
      <c r="C29" s="32"/>
      <c r="D29" s="16"/>
      <c r="E29" s="20">
        <f t="shared" ref="E29:AM29" si="199">SUM(E28, E27, E26, E25 + E24)</f>
        <v>7000</v>
      </c>
      <c r="F29" s="20">
        <f t="shared" si="199"/>
        <v>7200</v>
      </c>
      <c r="G29" s="20">
        <f t="shared" si="199"/>
        <v>7056</v>
      </c>
      <c r="H29" s="20">
        <f t="shared" si="199"/>
        <v>7257.6839999999993</v>
      </c>
      <c r="I29" s="20">
        <f t="shared" si="199"/>
        <v>7465.2185999999992</v>
      </c>
      <c r="J29" s="20">
        <f t="shared" si="199"/>
        <v>7315.9142279999996</v>
      </c>
      <c r="K29" s="20">
        <f t="shared" si="199"/>
        <v>7525.1998132080007</v>
      </c>
      <c r="L29" s="20">
        <f t="shared" si="199"/>
        <v>7740.5601291395997</v>
      </c>
      <c r="M29" s="20">
        <f t="shared" si="199"/>
        <v>7962.1733409798562</v>
      </c>
      <c r="N29" s="20">
        <f t="shared" si="199"/>
        <v>7802.9298741602588</v>
      </c>
      <c r="O29" s="20">
        <f t="shared" si="199"/>
        <v>8026.4184197879476</v>
      </c>
      <c r="P29" s="20">
        <f t="shared" si="199"/>
        <v>8256.3996347725242</v>
      </c>
      <c r="Q29" s="20">
        <f t="shared" si="199"/>
        <v>8493.0640594544584</v>
      </c>
      <c r="R29" s="20">
        <f t="shared" si="199"/>
        <v>8323.2027782653695</v>
      </c>
      <c r="S29" s="20">
        <f t="shared" si="199"/>
        <v>8561.875708277832</v>
      </c>
      <c r="T29" s="20">
        <f t="shared" si="199"/>
        <v>8807.4883631239591</v>
      </c>
      <c r="U29" s="20">
        <f t="shared" si="199"/>
        <v>9060.2445252874259</v>
      </c>
      <c r="V29" s="20">
        <f t="shared" si="199"/>
        <v>8879.0396347816768</v>
      </c>
      <c r="W29" s="20">
        <f t="shared" si="199"/>
        <v>9133.946922490366</v>
      </c>
      <c r="X29" s="20">
        <f t="shared" si="199"/>
        <v>9396.2721508036229</v>
      </c>
      <c r="Y29" s="20">
        <f t="shared" si="199"/>
        <v>9208.3467077875484</v>
      </c>
      <c r="Z29" s="20">
        <f t="shared" si="199"/>
        <v>9472.9086069314653</v>
      </c>
      <c r="AA29" s="20">
        <f t="shared" si="199"/>
        <v>9745.1735930079049</v>
      </c>
      <c r="AB29" s="20">
        <f t="shared" si="199"/>
        <v>9550.2701211477452</v>
      </c>
      <c r="AC29" s="20">
        <f t="shared" si="199"/>
        <v>9824.8607215595239</v>
      </c>
      <c r="AD29" s="20">
        <f t="shared" si="199"/>
        <v>9628.3635071283352</v>
      </c>
      <c r="AE29" s="20">
        <f t="shared" si="199"/>
        <v>9905.30167612082</v>
      </c>
      <c r="AF29" s="20">
        <f t="shared" si="199"/>
        <v>9707.1956425984044</v>
      </c>
      <c r="AG29" s="20">
        <f t="shared" si="199"/>
        <v>9986.5035407494815</v>
      </c>
      <c r="AH29" s="20">
        <f t="shared" si="199"/>
        <v>9786.7734699344928</v>
      </c>
      <c r="AI29" s="20">
        <f t="shared" si="199"/>
        <v>10068.473466094103</v>
      </c>
      <c r="AJ29" s="20">
        <f t="shared" si="199"/>
        <v>10358.386397979733</v>
      </c>
      <c r="AK29" s="20">
        <f t="shared" si="199"/>
        <v>10656.753892379991</v>
      </c>
      <c r="AL29" s="20">
        <f t="shared" si="199"/>
        <v>10443.61881453239</v>
      </c>
      <c r="AM29" s="20">
        <f t="shared" si="199"/>
        <v>10744.54823506824</v>
      </c>
      <c r="AN29" s="20">
        <f t="shared" ref="AN29" si="200">SUM(AN28, AN27, AN26, AN25 + AN24)</f>
        <v>11054.257955342164</v>
      </c>
    </row>
    <row r="30" spans="2:40" s="22" customFormat="1" ht="21" customHeight="1" x14ac:dyDescent="0.35">
      <c r="B30" s="7" t="s">
        <v>121</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x14ac:dyDescent="0.35">
      <c r="B31" s="8" t="s">
        <v>122</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x14ac:dyDescent="0.35">
      <c r="B32" s="8" t="s">
        <v>123</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x14ac:dyDescent="0.35">
      <c r="B33" s="8" t="s">
        <v>124</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x14ac:dyDescent="0.35">
      <c r="B34" s="8" t="s">
        <v>125</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x14ac:dyDescent="0.35">
      <c r="B35" s="8" t="s">
        <v>126</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x14ac:dyDescent="0.35">
      <c r="B36" s="7" t="s">
        <v>142</v>
      </c>
      <c r="C36" s="32"/>
      <c r="D36" s="16"/>
      <c r="E36" s="20">
        <f t="shared" ref="E36:AM36" si="240">SUM(E35, E34, E33, E32, E31 + E30)</f>
        <v>6000</v>
      </c>
      <c r="F36" s="20">
        <f t="shared" si="240"/>
        <v>6281</v>
      </c>
      <c r="G36" s="20">
        <f t="shared" si="240"/>
        <v>6155.38</v>
      </c>
      <c r="H36" s="20">
        <f t="shared" si="240"/>
        <v>5672.2204000000002</v>
      </c>
      <c r="I36" s="20">
        <f t="shared" si="240"/>
        <v>5241.5024620000004</v>
      </c>
      <c r="J36" s="20">
        <f t="shared" si="240"/>
        <v>4803.2764127600003</v>
      </c>
      <c r="K36" s="20">
        <f t="shared" si="240"/>
        <v>5023.5005881928009</v>
      </c>
      <c r="L36" s="20">
        <f t="shared" si="240"/>
        <v>5254.1377830410847</v>
      </c>
      <c r="M36" s="20">
        <f t="shared" si="240"/>
        <v>5495.6907025949422</v>
      </c>
      <c r="N36" s="20">
        <f t="shared" si="240"/>
        <v>5385.7768885430432</v>
      </c>
      <c r="O36" s="20">
        <f t="shared" si="240"/>
        <v>5633.7129160577761</v>
      </c>
      <c r="P36" s="20">
        <f t="shared" si="240"/>
        <v>5893.4051604408724</v>
      </c>
      <c r="Q36" s="20">
        <f t="shared" si="240"/>
        <v>6165.4222150005298</v>
      </c>
      <c r="R36" s="20">
        <f t="shared" si="240"/>
        <v>6042.11377070052</v>
      </c>
      <c r="S36" s="20">
        <f t="shared" si="240"/>
        <v>5597.2640450084909</v>
      </c>
      <c r="T36" s="20">
        <f t="shared" si="240"/>
        <v>5201.894775789825</v>
      </c>
      <c r="U36" s="20">
        <f t="shared" si="240"/>
        <v>5437.7308228606698</v>
      </c>
      <c r="V36" s="20">
        <f t="shared" si="240"/>
        <v>5328.9762064034567</v>
      </c>
      <c r="W36" s="20">
        <f t="shared" si="240"/>
        <v>5570.9382933028282</v>
      </c>
      <c r="X36" s="20">
        <f t="shared" si="240"/>
        <v>5824.2638828445452</v>
      </c>
      <c r="Y36" s="20">
        <f t="shared" si="240"/>
        <v>5707.7786051876537</v>
      </c>
      <c r="Z36" s="20">
        <f t="shared" si="240"/>
        <v>5315.6346858511579</v>
      </c>
      <c r="AA36" s="20">
        <f t="shared" si="240"/>
        <v>4968.3272627820788</v>
      </c>
      <c r="AB36" s="20">
        <f t="shared" si="240"/>
        <v>4587.264557711399</v>
      </c>
      <c r="AC36" s="20">
        <f t="shared" si="240"/>
        <v>4790.1591395671749</v>
      </c>
      <c r="AD36" s="20">
        <f t="shared" si="240"/>
        <v>4694.3559567758311</v>
      </c>
      <c r="AE36" s="20">
        <f t="shared" si="240"/>
        <v>4902.3563033121482</v>
      </c>
      <c r="AF36" s="20">
        <f t="shared" si="240"/>
        <v>4804.3091772459047</v>
      </c>
      <c r="AG36" s="20">
        <f t="shared" si="240"/>
        <v>5017.5560407634821</v>
      </c>
      <c r="AH36" s="20">
        <f t="shared" si="240"/>
        <v>4635.3384057890071</v>
      </c>
      <c r="AI36" s="20">
        <f t="shared" si="240"/>
        <v>4364.2334832938395</v>
      </c>
      <c r="AJ36" s="20">
        <f t="shared" si="240"/>
        <v>4126.3216259340506</v>
      </c>
      <c r="AK36" s="20">
        <f t="shared" si="240"/>
        <v>4303.7577811912106</v>
      </c>
      <c r="AL36" s="20">
        <f t="shared" si="240"/>
        <v>4217.6826255673859</v>
      </c>
      <c r="AM36" s="20">
        <f t="shared" si="240"/>
        <v>4399.4153595014413</v>
      </c>
      <c r="AN36" s="20">
        <f t="shared" ref="AN36" si="241">SUM(AN35, AN34, AN33, AN32, AN31 + AN30)</f>
        <v>4589.360188211871</v>
      </c>
    </row>
    <row r="37" spans="2:40" s="18" customFormat="1" ht="21" customHeight="1" x14ac:dyDescent="0.35">
      <c r="B37" s="8" t="s">
        <v>127</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x14ac:dyDescent="0.35">
      <c r="B38" s="7" t="s">
        <v>128</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x14ac:dyDescent="0.35">
      <c r="B39" s="8" t="s">
        <v>129</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x14ac:dyDescent="0.35">
      <c r="B40" s="8" t="s">
        <v>130</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x14ac:dyDescent="0.35">
      <c r="B41" s="8" t="s">
        <v>131</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x14ac:dyDescent="0.35">
      <c r="B42" s="41" t="s">
        <v>143</v>
      </c>
      <c r="C42" s="42"/>
      <c r="D42" s="16"/>
      <c r="E42" s="43">
        <f t="shared" ref="E42" si="277">SUM(E41, E40, E39 + E38)</f>
        <v>1700</v>
      </c>
      <c r="F42" s="43">
        <f t="shared" ref="F42" si="278">E42*(1+$C42)</f>
        <v>1700</v>
      </c>
      <c r="G42" s="43">
        <f t="shared" ref="G42" si="279">F42*(1+$C42)</f>
        <v>1700</v>
      </c>
      <c r="H42" s="43">
        <f t="shared" ref="H42" si="280">G42*(1+$C42)</f>
        <v>1700</v>
      </c>
      <c r="I42" s="43">
        <f t="shared" ref="I42" si="281">H42*(1+$C42)</f>
        <v>1700</v>
      </c>
      <c r="J42" s="43">
        <f t="shared" ref="J42" si="282">I42*(1+$C42)</f>
        <v>1700</v>
      </c>
      <c r="K42" s="43">
        <f t="shared" ref="K42" si="283">J42*(1+$C42)</f>
        <v>1700</v>
      </c>
      <c r="L42" s="43">
        <f t="shared" ref="L42" si="284">K42*(1+$C42)</f>
        <v>1700</v>
      </c>
      <c r="M42" s="43">
        <f t="shared" ref="M42" si="285">L42*(1+$C42)</f>
        <v>1700</v>
      </c>
      <c r="N42" s="43">
        <f t="shared" ref="N42" si="286">M42*(1+$C42)</f>
        <v>1700</v>
      </c>
      <c r="O42" s="43">
        <f t="shared" ref="O42" si="287">N42*(1+$C42)</f>
        <v>1700</v>
      </c>
      <c r="P42" s="43">
        <f t="shared" ref="P42" si="288">O42*(1+$C42)</f>
        <v>1700</v>
      </c>
      <c r="Q42" s="43">
        <f t="shared" ref="Q42" si="289">P42*(1+$C42)</f>
        <v>1700</v>
      </c>
      <c r="R42" s="43">
        <f t="shared" ref="R42" si="290">Q42*(1+$C42)</f>
        <v>1700</v>
      </c>
      <c r="S42" s="43">
        <f t="shared" ref="S42" si="291">R42*(1+$C42)</f>
        <v>1700</v>
      </c>
      <c r="T42" s="43">
        <f t="shared" ref="T42" si="292">S42*(1+$C42)</f>
        <v>1700</v>
      </c>
      <c r="U42" s="43">
        <f t="shared" ref="U42" si="293">T42*(1+$C42)</f>
        <v>1700</v>
      </c>
      <c r="V42" s="43">
        <f t="shared" ref="V42" si="294">U42*(1+$C42)</f>
        <v>1700</v>
      </c>
      <c r="W42" s="43">
        <f t="shared" ref="W42" si="295">V42*(1+$C42)</f>
        <v>1700</v>
      </c>
      <c r="X42" s="43">
        <f t="shared" ref="X42" si="296">W42*(1+$C42)</f>
        <v>1700</v>
      </c>
      <c r="Y42" s="43">
        <f t="shared" ref="Y42" si="297">X42*(1+$C42)</f>
        <v>1700</v>
      </c>
      <c r="Z42" s="43">
        <f t="shared" ref="Z42" si="298">Y42*(1+$C42)</f>
        <v>1700</v>
      </c>
      <c r="AA42" s="43">
        <f t="shared" ref="AA42" si="299">Z42*(1+$C42)</f>
        <v>1700</v>
      </c>
      <c r="AB42" s="43">
        <f t="shared" ref="AB42" si="300">AA42*(1+$C42)</f>
        <v>1700</v>
      </c>
      <c r="AC42" s="43">
        <f t="shared" ref="AC42" si="301">AB42*(1+$C42)</f>
        <v>1700</v>
      </c>
      <c r="AD42" s="43">
        <f t="shared" ref="AD42" si="302">AC42*(1+$C42)</f>
        <v>1700</v>
      </c>
      <c r="AE42" s="43">
        <f t="shared" ref="AE42" si="303">AD42*(1+$C42)</f>
        <v>1700</v>
      </c>
      <c r="AF42" s="43">
        <f t="shared" ref="AF42" si="304">AE42*(1+$C42)</f>
        <v>1700</v>
      </c>
      <c r="AG42" s="43">
        <f t="shared" ref="AG42" si="305">AF42*(1+$C42)</f>
        <v>1700</v>
      </c>
      <c r="AH42" s="43">
        <f t="shared" ref="AH42" si="306">AG42*(1+$C42)</f>
        <v>1700</v>
      </c>
      <c r="AI42" s="43">
        <f t="shared" ref="AI42" si="307">AH42*(1+$C42)</f>
        <v>1700</v>
      </c>
      <c r="AJ42" s="43">
        <f t="shared" ref="AJ42" si="308">AI42*(1+$C42)</f>
        <v>1700</v>
      </c>
      <c r="AK42" s="43">
        <f t="shared" ref="AK42" si="309">AJ42*(1+$C42)</f>
        <v>1700</v>
      </c>
      <c r="AL42" s="43">
        <f t="shared" ref="AL42" si="310">AK42*(1+$C42)</f>
        <v>1700</v>
      </c>
      <c r="AM42" s="43">
        <f t="shared" ref="AM42" si="311">AL42*(1+$C42)</f>
        <v>1700</v>
      </c>
      <c r="AN42" s="43">
        <f t="shared" ref="AN42" si="312">AM42*(1+$C42)</f>
        <v>1700</v>
      </c>
    </row>
    <row r="43" spans="2:40" s="18" customFormat="1" ht="21" customHeight="1" x14ac:dyDescent="0.35">
      <c r="B43" s="6" t="s">
        <v>144</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x14ac:dyDescent="0.35">
      <c r="B44" s="6" t="s">
        <v>132</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x14ac:dyDescent="0.35">
      <c r="B45" s="6" t="s">
        <v>52</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x14ac:dyDescent="0.35">
      <c r="B47" s="6" t="s">
        <v>145</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x14ac:dyDescent="0.35">
      <c r="B50" s="5" t="s">
        <v>54</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x14ac:dyDescent="0.35">
      <c r="B51" s="6" t="s">
        <v>146</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x14ac:dyDescent="0.35">
      <c r="B52" s="6" t="s">
        <v>55</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x14ac:dyDescent="0.35">
      <c r="B53" s="6" t="s">
        <v>56</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E28" activePane="bottomRight" state="frozen"/>
      <selection pane="topRight" activeCell="Q6" sqref="Q6:AB6"/>
      <selection pane="bottomLeft" activeCell="Q6" sqref="Q6:AB6"/>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12" width="12.453125" style="26" customWidth="1"/>
    <col min="13"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13</v>
      </c>
      <c r="B3" s="2"/>
      <c r="C3" s="2"/>
    </row>
    <row r="4" spans="1:40" s="12" customFormat="1" ht="16" x14ac:dyDescent="0.4">
      <c r="B4" s="3"/>
      <c r="C4" s="3" t="s">
        <v>137</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x14ac:dyDescent="0.35">
      <c r="B12" s="6" t="s">
        <v>41</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x14ac:dyDescent="0.35">
      <c r="B17" s="5" t="s">
        <v>104</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x14ac:dyDescent="0.35">
      <c r="B18" s="5" t="s">
        <v>106</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x14ac:dyDescent="0.35">
      <c r="B19" s="7" t="s">
        <v>108</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x14ac:dyDescent="0.35">
      <c r="B20" s="8" t="s">
        <v>110</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20">SUM(E22, E21, E20 + E19)</f>
        <v>400</v>
      </c>
      <c r="F23" s="20">
        <f t="shared" ref="F23:P23" si="21">SUM(F22, F21, F20 + F19)</f>
        <v>412</v>
      </c>
      <c r="G23" s="20">
        <f t="shared" si="21"/>
        <v>424.36</v>
      </c>
      <c r="H23" s="20">
        <f t="shared" si="21"/>
        <v>437.0908</v>
      </c>
      <c r="I23" s="20">
        <f t="shared" si="21"/>
        <v>450.20352400000002</v>
      </c>
      <c r="J23" s="20">
        <f t="shared" si="21"/>
        <v>463.70962972000001</v>
      </c>
      <c r="K23" s="20">
        <f t="shared" si="21"/>
        <v>477.62091861160002</v>
      </c>
      <c r="L23" s="20">
        <f t="shared" si="21"/>
        <v>491.94954616994801</v>
      </c>
      <c r="M23" s="20">
        <f t="shared" si="21"/>
        <v>506.70803255504649</v>
      </c>
      <c r="N23" s="20">
        <f t="shared" si="21"/>
        <v>521.90927353169786</v>
      </c>
      <c r="O23" s="20">
        <f t="shared" si="21"/>
        <v>537.56655173764887</v>
      </c>
      <c r="P23" s="20">
        <f t="shared" si="21"/>
        <v>553.69354828977839</v>
      </c>
      <c r="Q23" s="20">
        <f t="shared" si="20"/>
        <v>570.30435473847172</v>
      </c>
      <c r="R23" s="20">
        <f t="shared" si="20"/>
        <v>587.41348538062584</v>
      </c>
      <c r="S23" s="20">
        <f t="shared" si="20"/>
        <v>605.03588994204461</v>
      </c>
      <c r="T23" s="20">
        <f t="shared" si="20"/>
        <v>623.18696664030597</v>
      </c>
      <c r="U23" s="20">
        <f t="shared" si="20"/>
        <v>641.88257563951515</v>
      </c>
      <c r="V23" s="20">
        <f t="shared" si="20"/>
        <v>661.13905290870059</v>
      </c>
      <c r="W23" s="20">
        <f t="shared" si="20"/>
        <v>680.97322449596163</v>
      </c>
      <c r="X23" s="20">
        <f t="shared" si="20"/>
        <v>701.40242123084045</v>
      </c>
      <c r="Y23" s="20">
        <f t="shared" si="20"/>
        <v>722.44449386776569</v>
      </c>
      <c r="Z23" s="20">
        <f t="shared" si="20"/>
        <v>744.11782868379862</v>
      </c>
      <c r="AA23" s="20">
        <f t="shared" si="20"/>
        <v>766.44136354431259</v>
      </c>
      <c r="AB23" s="20">
        <f t="shared" si="20"/>
        <v>789.43460445064204</v>
      </c>
      <c r="AC23" s="20">
        <f t="shared" si="20"/>
        <v>813.11764258416133</v>
      </c>
      <c r="AD23" s="20">
        <f t="shared" si="20"/>
        <v>837.51117186168619</v>
      </c>
      <c r="AE23" s="20">
        <f t="shared" si="20"/>
        <v>862.63650701753681</v>
      </c>
      <c r="AF23" s="20">
        <f t="shared" si="20"/>
        <v>888.5156022280629</v>
      </c>
      <c r="AG23" s="20">
        <f t="shared" si="20"/>
        <v>915.17107029490478</v>
      </c>
      <c r="AH23" s="20">
        <f t="shared" si="20"/>
        <v>942.6262024037519</v>
      </c>
      <c r="AI23" s="20">
        <f t="shared" si="20"/>
        <v>970.90498847586446</v>
      </c>
      <c r="AJ23" s="20">
        <f t="shared" si="20"/>
        <v>1000.0321381301404</v>
      </c>
      <c r="AK23" s="20">
        <f t="shared" si="20"/>
        <v>1030.0331022740447</v>
      </c>
      <c r="AL23" s="20">
        <f t="shared" si="20"/>
        <v>1060.9340953422661</v>
      </c>
      <c r="AM23" s="20">
        <f t="shared" si="20"/>
        <v>1092.7621182025341</v>
      </c>
      <c r="AN23" s="20">
        <f t="shared" si="20"/>
        <v>1125.5449817486101</v>
      </c>
    </row>
    <row r="24" spans="2:40" s="22" customFormat="1" ht="21" customHeight="1" x14ac:dyDescent="0.35">
      <c r="B24" s="7" t="s">
        <v>116</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x14ac:dyDescent="0.35">
      <c r="B27" s="8" t="s">
        <v>119</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x14ac:dyDescent="0.35">
      <c r="B28" s="8" t="s">
        <v>120</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x14ac:dyDescent="0.35">
      <c r="B29" s="7" t="s">
        <v>141</v>
      </c>
      <c r="C29" s="32"/>
      <c r="D29" s="16"/>
      <c r="E29" s="20">
        <f t="shared" ref="E29:AN29" si="46">SUM(E28, E27, E26, E25 + E24)</f>
        <v>2500</v>
      </c>
      <c r="F29" s="20">
        <f t="shared" ref="F29:P29" si="47">SUM(F28, F27, F26, F25 + F24)</f>
        <v>2575</v>
      </c>
      <c r="G29" s="20">
        <f t="shared" si="47"/>
        <v>2652.25</v>
      </c>
      <c r="H29" s="20">
        <f t="shared" si="47"/>
        <v>2731.8175000000001</v>
      </c>
      <c r="I29" s="20">
        <f t="shared" si="47"/>
        <v>2529.6630050000003</v>
      </c>
      <c r="J29" s="20">
        <f t="shared" si="47"/>
        <v>2605.5528951500005</v>
      </c>
      <c r="K29" s="20">
        <f t="shared" si="47"/>
        <v>2683.7194820045006</v>
      </c>
      <c r="L29" s="20">
        <f t="shared" si="47"/>
        <v>2764.2310664646357</v>
      </c>
      <c r="M29" s="20">
        <f t="shared" si="47"/>
        <v>2847.1579984585751</v>
      </c>
      <c r="N29" s="20">
        <f t="shared" si="47"/>
        <v>2932.5727384123325</v>
      </c>
      <c r="O29" s="20">
        <f t="shared" si="47"/>
        <v>3020.5499205647025</v>
      </c>
      <c r="P29" s="20">
        <f t="shared" si="47"/>
        <v>2805.8494931656005</v>
      </c>
      <c r="Q29" s="20">
        <f t="shared" si="46"/>
        <v>2890.0249779605683</v>
      </c>
      <c r="R29" s="20">
        <f t="shared" si="46"/>
        <v>2976.7257272993857</v>
      </c>
      <c r="S29" s="20">
        <f t="shared" si="46"/>
        <v>3066.0274991183674</v>
      </c>
      <c r="T29" s="20">
        <f t="shared" si="46"/>
        <v>3158.0083240919184</v>
      </c>
      <c r="U29" s="20">
        <f t="shared" si="46"/>
        <v>2943.4753737617762</v>
      </c>
      <c r="V29" s="20">
        <f t="shared" si="46"/>
        <v>3031.7796349746295</v>
      </c>
      <c r="W29" s="20">
        <f t="shared" si="46"/>
        <v>3122.7330240238684</v>
      </c>
      <c r="X29" s="20">
        <f t="shared" si="46"/>
        <v>3216.4150147445844</v>
      </c>
      <c r="Y29" s="20">
        <f t="shared" si="46"/>
        <v>3312.9074651869219</v>
      </c>
      <c r="Z29" s="20">
        <f t="shared" si="46"/>
        <v>3412.2946891425299</v>
      </c>
      <c r="AA29" s="20">
        <f t="shared" si="46"/>
        <v>3514.6635298168057</v>
      </c>
      <c r="AB29" s="20">
        <f t="shared" si="46"/>
        <v>3287.7438984110763</v>
      </c>
      <c r="AC29" s="20">
        <f t="shared" si="46"/>
        <v>3386.3762153634084</v>
      </c>
      <c r="AD29" s="20">
        <f t="shared" si="46"/>
        <v>3487.9675018243106</v>
      </c>
      <c r="AE29" s="20">
        <f t="shared" si="46"/>
        <v>3592.6065268790398</v>
      </c>
      <c r="AF29" s="20">
        <f t="shared" si="46"/>
        <v>3373.5243065814857</v>
      </c>
      <c r="AG29" s="20">
        <f t="shared" si="46"/>
        <v>3474.7300357789309</v>
      </c>
      <c r="AH29" s="20">
        <f t="shared" si="46"/>
        <v>3578.9719368522988</v>
      </c>
      <c r="AI29" s="20">
        <f t="shared" si="46"/>
        <v>3374.251501057679</v>
      </c>
      <c r="AJ29" s="20">
        <f t="shared" si="46"/>
        <v>3194.5984115792389</v>
      </c>
      <c r="AK29" s="20">
        <f t="shared" si="46"/>
        <v>3290.4363639266167</v>
      </c>
      <c r="AL29" s="20">
        <f t="shared" si="46"/>
        <v>3389.1494548444152</v>
      </c>
      <c r="AM29" s="20">
        <f t="shared" si="46"/>
        <v>3490.8239384897474</v>
      </c>
      <c r="AN29" s="20">
        <f t="shared" si="46"/>
        <v>3595.5486566444397</v>
      </c>
    </row>
    <row r="30" spans="2:40" s="22" customFormat="1" ht="21" customHeight="1" x14ac:dyDescent="0.35">
      <c r="B30" s="7" t="s">
        <v>121</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x14ac:dyDescent="0.35">
      <c r="B31" s="8" t="s">
        <v>122</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x14ac:dyDescent="0.35">
      <c r="B32" s="8" t="s">
        <v>123</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x14ac:dyDescent="0.35">
      <c r="B33" s="8" t="s">
        <v>124</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x14ac:dyDescent="0.35">
      <c r="B34" s="8" t="s">
        <v>125</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x14ac:dyDescent="0.35">
      <c r="B35" s="8" t="s">
        <v>126</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x14ac:dyDescent="0.35">
      <c r="B36" s="7" t="s">
        <v>142</v>
      </c>
      <c r="C36" s="32"/>
      <c r="D36" s="16"/>
      <c r="E36" s="20">
        <f t="shared" ref="E36:AN36" si="98">SUM(E35, E34, E33, E32, E31 + E30)</f>
        <v>12510</v>
      </c>
      <c r="F36" s="20">
        <f t="shared" ref="F36:P36" si="99">SUM(F35, F34, F33, F32, F31 + F30)</f>
        <v>12885.3</v>
      </c>
      <c r="G36" s="20">
        <f t="shared" si="99"/>
        <v>11596.77</v>
      </c>
      <c r="H36" s="20">
        <f t="shared" si="99"/>
        <v>11944.6731</v>
      </c>
      <c r="I36" s="20">
        <f t="shared" si="99"/>
        <v>12303.013293000002</v>
      </c>
      <c r="J36" s="20">
        <f t="shared" si="99"/>
        <v>12672.103691790002</v>
      </c>
      <c r="K36" s="20">
        <f t="shared" si="99"/>
        <v>13052.266802543701</v>
      </c>
      <c r="L36" s="20">
        <f t="shared" si="99"/>
        <v>13443.834806620012</v>
      </c>
      <c r="M36" s="20">
        <f t="shared" si="99"/>
        <v>13847.149850818612</v>
      </c>
      <c r="N36" s="20">
        <f t="shared" si="99"/>
        <v>14262.564346343173</v>
      </c>
      <c r="O36" s="20">
        <f t="shared" si="99"/>
        <v>14690.441276733469</v>
      </c>
      <c r="P36" s="20">
        <f t="shared" si="99"/>
        <v>13221.397149060123</v>
      </c>
      <c r="Q36" s="20">
        <f t="shared" si="98"/>
        <v>13618.039063531927</v>
      </c>
      <c r="R36" s="20">
        <f t="shared" si="98"/>
        <v>14026.580235437885</v>
      </c>
      <c r="S36" s="20">
        <f t="shared" si="98"/>
        <v>14447.377642501022</v>
      </c>
      <c r="T36" s="20">
        <f t="shared" si="98"/>
        <v>14880.798971776052</v>
      </c>
      <c r="U36" s="20">
        <f t="shared" si="98"/>
        <v>15327.222940929332</v>
      </c>
      <c r="V36" s="20">
        <f t="shared" si="98"/>
        <v>15787.039629157214</v>
      </c>
      <c r="W36" s="20">
        <f t="shared" si="98"/>
        <v>14208.335666241492</v>
      </c>
      <c r="X36" s="20">
        <f t="shared" si="98"/>
        <v>14634.585736228739</v>
      </c>
      <c r="Y36" s="20">
        <f t="shared" si="98"/>
        <v>15073.6233083156</v>
      </c>
      <c r="Z36" s="20">
        <f t="shared" si="98"/>
        <v>15525.83200756507</v>
      </c>
      <c r="AA36" s="20">
        <f t="shared" si="98"/>
        <v>15991.60696779202</v>
      </c>
      <c r="AB36" s="20">
        <f t="shared" si="98"/>
        <v>16471.355176825782</v>
      </c>
      <c r="AC36" s="20">
        <f t="shared" si="98"/>
        <v>16965.495832130553</v>
      </c>
      <c r="AD36" s="20">
        <f t="shared" si="98"/>
        <v>15268.946248917498</v>
      </c>
      <c r="AE36" s="20">
        <f t="shared" si="98"/>
        <v>13742.051624025749</v>
      </c>
      <c r="AF36" s="20">
        <f t="shared" si="98"/>
        <v>14154.313172746522</v>
      </c>
      <c r="AG36" s="20">
        <f t="shared" si="98"/>
        <v>14578.942567928918</v>
      </c>
      <c r="AH36" s="20">
        <f t="shared" si="98"/>
        <v>15016.310844966785</v>
      </c>
      <c r="AI36" s="20">
        <f t="shared" si="98"/>
        <v>15466.80017031579</v>
      </c>
      <c r="AJ36" s="20">
        <f t="shared" si="98"/>
        <v>13920.12015328421</v>
      </c>
      <c r="AK36" s="20">
        <f t="shared" si="98"/>
        <v>14337.723757882737</v>
      </c>
      <c r="AL36" s="20">
        <f t="shared" si="98"/>
        <v>14767.855470619219</v>
      </c>
      <c r="AM36" s="20">
        <f t="shared" si="98"/>
        <v>15210.891134737794</v>
      </c>
      <c r="AN36" s="20">
        <f t="shared" si="98"/>
        <v>15667.217868779931</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x14ac:dyDescent="0.35">
      <c r="B39" s="8" t="s">
        <v>129</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x14ac:dyDescent="0.35">
      <c r="B40" s="8" t="s">
        <v>130</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x14ac:dyDescent="0.35">
      <c r="B41" s="8" t="s">
        <v>131</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x14ac:dyDescent="0.35">
      <c r="B42" s="7" t="s">
        <v>143</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x14ac:dyDescent="0.35">
      <c r="B43" s="6" t="s">
        <v>144</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x14ac:dyDescent="0.35">
      <c r="B44" s="6" t="s">
        <v>132</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x14ac:dyDescent="0.35">
      <c r="B47" s="6" t="s">
        <v>145</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x14ac:dyDescent="0.35">
      <c r="B52" s="6" t="s">
        <v>55</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x14ac:dyDescent="0.35">
      <c r="B53" s="6" t="s">
        <v>56</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8</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x14ac:dyDescent="0.35">
      <c r="B17" s="5" t="s">
        <v>104</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x14ac:dyDescent="0.35">
      <c r="B18" s="5" t="s">
        <v>106</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x14ac:dyDescent="0.35">
      <c r="B20" s="8" t="s">
        <v>110</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116">SUM(E22, E21, E20 + E19)</f>
        <v>250</v>
      </c>
      <c r="F23" s="20">
        <f t="shared" ref="F23:AM23" si="117">SUM(F22, F21, F20 + F19)</f>
        <v>257.5</v>
      </c>
      <c r="G23" s="20">
        <f t="shared" si="117"/>
        <v>236.9</v>
      </c>
      <c r="H23" s="20">
        <f t="shared" si="117"/>
        <v>217.94800000000001</v>
      </c>
      <c r="I23" s="20">
        <f t="shared" si="117"/>
        <v>224.48644000000002</v>
      </c>
      <c r="J23" s="20">
        <f t="shared" si="117"/>
        <v>231.22103320000002</v>
      </c>
      <c r="K23" s="20">
        <f t="shared" si="117"/>
        <v>238.15766419600004</v>
      </c>
      <c r="L23" s="20">
        <f t="shared" si="117"/>
        <v>245.30239412188004</v>
      </c>
      <c r="M23" s="20">
        <f t="shared" si="117"/>
        <v>252.66146594553646</v>
      </c>
      <c r="N23" s="20">
        <f t="shared" si="117"/>
        <v>260.24130992390258</v>
      </c>
      <c r="O23" s="20">
        <f t="shared" si="117"/>
        <v>268.04854922161968</v>
      </c>
      <c r="P23" s="20">
        <f t="shared" si="117"/>
        <v>276.09000569826827</v>
      </c>
      <c r="Q23" s="20">
        <f t="shared" si="117"/>
        <v>284.3727058692163</v>
      </c>
      <c r="R23" s="20">
        <f t="shared" si="117"/>
        <v>292.90388704529278</v>
      </c>
      <c r="S23" s="20">
        <f t="shared" si="117"/>
        <v>301.69100365665156</v>
      </c>
      <c r="T23" s="20">
        <f t="shared" si="117"/>
        <v>310.7417337663511</v>
      </c>
      <c r="U23" s="20">
        <f t="shared" si="117"/>
        <v>320.06398577934164</v>
      </c>
      <c r="V23" s="20">
        <f t="shared" si="117"/>
        <v>329.66590535272189</v>
      </c>
      <c r="W23" s="20">
        <f t="shared" si="117"/>
        <v>339.55588251330357</v>
      </c>
      <c r="X23" s="20">
        <f t="shared" si="117"/>
        <v>349.74255898870268</v>
      </c>
      <c r="Y23" s="20">
        <f t="shared" si="117"/>
        <v>360.23483575836377</v>
      </c>
      <c r="Z23" s="20">
        <f t="shared" si="117"/>
        <v>371.04188083111467</v>
      </c>
      <c r="AA23" s="20">
        <f t="shared" si="117"/>
        <v>382.17313725604811</v>
      </c>
      <c r="AB23" s="20">
        <f t="shared" si="117"/>
        <v>393.63833137372956</v>
      </c>
      <c r="AC23" s="20">
        <f t="shared" si="117"/>
        <v>405.44748131494146</v>
      </c>
      <c r="AD23" s="20">
        <f t="shared" si="117"/>
        <v>417.61090575438971</v>
      </c>
      <c r="AE23" s="20">
        <f t="shared" si="117"/>
        <v>430.1392329270214</v>
      </c>
      <c r="AF23" s="20">
        <f t="shared" si="117"/>
        <v>443.04340991483207</v>
      </c>
      <c r="AG23" s="20">
        <f t="shared" si="117"/>
        <v>456.33471221227705</v>
      </c>
      <c r="AH23" s="20">
        <f t="shared" si="117"/>
        <v>470.0247535786454</v>
      </c>
      <c r="AI23" s="20">
        <f t="shared" si="117"/>
        <v>484.1254961860048</v>
      </c>
      <c r="AJ23" s="20">
        <f t="shared" si="117"/>
        <v>498.64926107158493</v>
      </c>
      <c r="AK23" s="20">
        <f t="shared" si="117"/>
        <v>513.6087389037325</v>
      </c>
      <c r="AL23" s="20">
        <f t="shared" si="117"/>
        <v>529.01700107084446</v>
      </c>
      <c r="AM23" s="20">
        <f t="shared" si="117"/>
        <v>544.88751110296982</v>
      </c>
      <c r="AN23" s="20">
        <f t="shared" si="116"/>
        <v>561.23413643605898</v>
      </c>
    </row>
    <row r="24" spans="2:40" s="22" customFormat="1" ht="21" customHeight="1" x14ac:dyDescent="0.35">
      <c r="B24" s="7" t="s">
        <v>116</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x14ac:dyDescent="0.35">
      <c r="B27" s="8" t="s">
        <v>119</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x14ac:dyDescent="0.35">
      <c r="B28" s="8" t="s">
        <v>120</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x14ac:dyDescent="0.35">
      <c r="B29" s="7" t="s">
        <v>141</v>
      </c>
      <c r="C29" s="32"/>
      <c r="D29" s="16"/>
      <c r="E29" s="20">
        <f t="shared" ref="E29:AN29" si="190">SUM(E28, E27, E26, E25 + E24)</f>
        <v>2000</v>
      </c>
      <c r="F29" s="20">
        <f t="shared" ref="F29:AM29" si="191">SUM(F28, F27, F26, F25 + F24)</f>
        <v>2060</v>
      </c>
      <c r="G29" s="20">
        <f t="shared" si="191"/>
        <v>2121.8000000000002</v>
      </c>
      <c r="H29" s="20">
        <f t="shared" si="191"/>
        <v>2185.4540000000002</v>
      </c>
      <c r="I29" s="20">
        <f t="shared" si="191"/>
        <v>2251.0176200000001</v>
      </c>
      <c r="J29" s="20">
        <f t="shared" si="191"/>
        <v>2318.5481486000003</v>
      </c>
      <c r="K29" s="20">
        <f t="shared" si="191"/>
        <v>2388.1045930580003</v>
      </c>
      <c r="L29" s="20">
        <f t="shared" si="191"/>
        <v>2459.7477308497405</v>
      </c>
      <c r="M29" s="20">
        <f t="shared" si="191"/>
        <v>2262.9679123817614</v>
      </c>
      <c r="N29" s="20">
        <f t="shared" si="191"/>
        <v>2081.9304793912206</v>
      </c>
      <c r="O29" s="20">
        <f t="shared" si="191"/>
        <v>1915.3760410399229</v>
      </c>
      <c r="P29" s="20">
        <f t="shared" si="191"/>
        <v>1972.8373222711207</v>
      </c>
      <c r="Q29" s="20">
        <f t="shared" si="191"/>
        <v>2032.0224419392543</v>
      </c>
      <c r="R29" s="20">
        <f t="shared" si="191"/>
        <v>2092.9831151974322</v>
      </c>
      <c r="S29" s="20">
        <f t="shared" si="191"/>
        <v>2155.7726086533553</v>
      </c>
      <c r="T29" s="20">
        <f t="shared" si="191"/>
        <v>2220.445786912956</v>
      </c>
      <c r="U29" s="20">
        <f t="shared" si="191"/>
        <v>2287.0591605203449</v>
      </c>
      <c r="V29" s="20">
        <f t="shared" si="191"/>
        <v>2355.6709353359552</v>
      </c>
      <c r="W29" s="20">
        <f t="shared" si="191"/>
        <v>2426.3410633960339</v>
      </c>
      <c r="X29" s="20">
        <f t="shared" si="191"/>
        <v>2499.1312952979151</v>
      </c>
      <c r="Y29" s="20">
        <f t="shared" si="191"/>
        <v>2574.1052341568525</v>
      </c>
      <c r="Z29" s="20">
        <f t="shared" si="191"/>
        <v>2368.1768154243046</v>
      </c>
      <c r="AA29" s="20">
        <f t="shared" si="191"/>
        <v>2178.7226701903601</v>
      </c>
      <c r="AB29" s="20">
        <f t="shared" si="191"/>
        <v>2244.0843502960711</v>
      </c>
      <c r="AC29" s="20">
        <f t="shared" si="191"/>
        <v>2311.4068808049533</v>
      </c>
      <c r="AD29" s="20">
        <f t="shared" si="191"/>
        <v>2380.7490872291019</v>
      </c>
      <c r="AE29" s="20">
        <f t="shared" si="191"/>
        <v>2452.171559845975</v>
      </c>
      <c r="AF29" s="20">
        <f t="shared" si="191"/>
        <v>2525.7367066413544</v>
      </c>
      <c r="AG29" s="20">
        <f t="shared" si="191"/>
        <v>2323.6777701100464</v>
      </c>
      <c r="AH29" s="20">
        <f t="shared" si="191"/>
        <v>2393.3881032133477</v>
      </c>
      <c r="AI29" s="20">
        <f t="shared" si="191"/>
        <v>2465.189746309748</v>
      </c>
      <c r="AJ29" s="20">
        <f t="shared" si="191"/>
        <v>2539.1454386990404</v>
      </c>
      <c r="AK29" s="20">
        <f t="shared" si="191"/>
        <v>2615.3198018600115</v>
      </c>
      <c r="AL29" s="20">
        <f t="shared" si="191"/>
        <v>2406.0942177112106</v>
      </c>
      <c r="AM29" s="20">
        <f t="shared" si="191"/>
        <v>2213.6066802943137</v>
      </c>
      <c r="AN29" s="20">
        <f t="shared" si="190"/>
        <v>2280.0148807031433</v>
      </c>
    </row>
    <row r="30" spans="2:40" s="22" customFormat="1" ht="21" customHeight="1" x14ac:dyDescent="0.35">
      <c r="B30" s="7" t="s">
        <v>121</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x14ac:dyDescent="0.35">
      <c r="B31" s="8" t="s">
        <v>122</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x14ac:dyDescent="0.35">
      <c r="B32" s="8" t="s">
        <v>123</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x14ac:dyDescent="0.35">
      <c r="B33" s="8" t="s">
        <v>124</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x14ac:dyDescent="0.35">
      <c r="B34" s="8" t="s">
        <v>125</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x14ac:dyDescent="0.35">
      <c r="B35" s="8" t="s">
        <v>126</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x14ac:dyDescent="0.35">
      <c r="B36" s="7" t="s">
        <v>142</v>
      </c>
      <c r="C36" s="32"/>
      <c r="D36" s="16"/>
      <c r="E36" s="20">
        <f t="shared" ref="E36:AN36" si="230">SUM(E35, E34, E33, E32, E31 + E30)</f>
        <v>4225</v>
      </c>
      <c r="F36" s="20">
        <f t="shared" ref="F36:AM36" si="231">SUM(F35, F34, F33, F32, F31 + F30)</f>
        <v>4351.75</v>
      </c>
      <c r="G36" s="20">
        <f t="shared" si="231"/>
        <v>4482.3024999999998</v>
      </c>
      <c r="H36" s="20">
        <f t="shared" si="231"/>
        <v>4208.3250750000007</v>
      </c>
      <c r="I36" s="20">
        <f t="shared" si="231"/>
        <v>3958.8040472500006</v>
      </c>
      <c r="J36" s="20">
        <f t="shared" si="231"/>
        <v>3731.8590510675003</v>
      </c>
      <c r="K36" s="20">
        <f t="shared" si="231"/>
        <v>3843.8148225995255</v>
      </c>
      <c r="L36" s="20">
        <f t="shared" si="231"/>
        <v>3959.1292672775116</v>
      </c>
      <c r="M36" s="20">
        <f t="shared" si="231"/>
        <v>4077.903145295837</v>
      </c>
      <c r="N36" s="20">
        <f t="shared" si="231"/>
        <v>4200.2402396547122</v>
      </c>
      <c r="O36" s="20">
        <f t="shared" si="231"/>
        <v>4326.2474468443534</v>
      </c>
      <c r="P36" s="20">
        <f t="shared" si="231"/>
        <v>4456.0348702496849</v>
      </c>
      <c r="Q36" s="20">
        <f t="shared" si="231"/>
        <v>4589.715916357175</v>
      </c>
      <c r="R36" s="20">
        <f t="shared" si="231"/>
        <v>4727.4073938478905</v>
      </c>
      <c r="S36" s="20">
        <f t="shared" si="231"/>
        <v>4869.2296156633274</v>
      </c>
      <c r="T36" s="20">
        <f t="shared" si="231"/>
        <v>5015.3065041332266</v>
      </c>
      <c r="U36" s="20">
        <f t="shared" si="231"/>
        <v>5165.7656992572238</v>
      </c>
      <c r="V36" s="20">
        <f t="shared" si="231"/>
        <v>4880.4797818347743</v>
      </c>
      <c r="W36" s="20">
        <f t="shared" si="231"/>
        <v>4621.8559979616648</v>
      </c>
      <c r="X36" s="20">
        <f t="shared" si="231"/>
        <v>4760.5116779005148</v>
      </c>
      <c r="Y36" s="20">
        <f t="shared" si="231"/>
        <v>4903.3270282375306</v>
      </c>
      <c r="Z36" s="20">
        <f t="shared" si="231"/>
        <v>5050.4268390846564</v>
      </c>
      <c r="AA36" s="20">
        <f t="shared" si="231"/>
        <v>4794.7511840517163</v>
      </c>
      <c r="AB36" s="20">
        <f t="shared" si="231"/>
        <v>4563.9803361842269</v>
      </c>
      <c r="AC36" s="20">
        <f t="shared" si="231"/>
        <v>4700.8997462697535</v>
      </c>
      <c r="AD36" s="20">
        <f t="shared" si="231"/>
        <v>4841.9267386578458</v>
      </c>
      <c r="AE36" s="20">
        <f t="shared" si="231"/>
        <v>4987.1845408175814</v>
      </c>
      <c r="AF36" s="20">
        <f t="shared" si="231"/>
        <v>5136.8000770421095</v>
      </c>
      <c r="AG36" s="20">
        <f t="shared" si="231"/>
        <v>5290.9040793533732</v>
      </c>
      <c r="AH36" s="20">
        <f t="shared" si="231"/>
        <v>5449.6312017339733</v>
      </c>
      <c r="AI36" s="20">
        <f t="shared" si="231"/>
        <v>5613.1201377859934</v>
      </c>
      <c r="AJ36" s="20">
        <f t="shared" si="231"/>
        <v>5781.5137419195726</v>
      </c>
      <c r="AK36" s="20">
        <f t="shared" si="231"/>
        <v>5954.9591541771606</v>
      </c>
      <c r="AL36" s="20">
        <f t="shared" si="231"/>
        <v>6133.6079288024757</v>
      </c>
      <c r="AM36" s="20">
        <f t="shared" si="231"/>
        <v>6317.6161666665503</v>
      </c>
      <c r="AN36" s="20">
        <f t="shared" si="230"/>
        <v>6507.1446516665455</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x14ac:dyDescent="0.35">
      <c r="B39" s="8" t="s">
        <v>129</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x14ac:dyDescent="0.35">
      <c r="B40" s="8" t="s">
        <v>130</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x14ac:dyDescent="0.35">
      <c r="B41" s="8" t="s">
        <v>131</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x14ac:dyDescent="0.35">
      <c r="B42" s="7" t="s">
        <v>143</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x14ac:dyDescent="0.35">
      <c r="B43" s="6" t="s">
        <v>144</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x14ac:dyDescent="0.35">
      <c r="B44" s="6" t="s">
        <v>132</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x14ac:dyDescent="0.35">
      <c r="B45" s="6" t="s">
        <v>52</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x14ac:dyDescent="0.35">
      <c r="B47" s="6" t="s">
        <v>145</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x14ac:dyDescent="0.35">
      <c r="B48" s="6" t="s">
        <v>53</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x14ac:dyDescent="0.35">
      <c r="B52" s="6" t="s">
        <v>55</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x14ac:dyDescent="0.35">
      <c r="B53" s="6" t="s">
        <v>56</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15</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x14ac:dyDescent="0.35">
      <c r="B17" s="5" t="s">
        <v>104</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x14ac:dyDescent="0.35">
      <c r="B18" s="5" t="s">
        <v>106</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x14ac:dyDescent="0.35">
      <c r="B20" s="8" t="s">
        <v>110</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140">SUM(E22, E21, E20 + E19)</f>
        <v>650</v>
      </c>
      <c r="F23" s="20">
        <f t="shared" ref="F23:AM23" si="141">SUM(F22, F21, F20 + F19)</f>
        <v>669.5</v>
      </c>
      <c r="G23" s="20">
        <f t="shared" si="141"/>
        <v>689.58500000000004</v>
      </c>
      <c r="H23" s="20">
        <f t="shared" si="141"/>
        <v>710.27255000000002</v>
      </c>
      <c r="I23" s="20">
        <f t="shared" si="141"/>
        <v>731.58072650000008</v>
      </c>
      <c r="J23" s="20">
        <f t="shared" si="141"/>
        <v>753.52814829500005</v>
      </c>
      <c r="K23" s="20">
        <f t="shared" si="141"/>
        <v>776.13399274385006</v>
      </c>
      <c r="L23" s="20">
        <f t="shared" si="141"/>
        <v>799.41801252616563</v>
      </c>
      <c r="M23" s="20">
        <f t="shared" si="141"/>
        <v>823.40055290195062</v>
      </c>
      <c r="N23" s="20">
        <f t="shared" si="141"/>
        <v>848.10256948900917</v>
      </c>
      <c r="O23" s="20">
        <f t="shared" si="141"/>
        <v>873.54564657367951</v>
      </c>
      <c r="P23" s="20">
        <f t="shared" si="141"/>
        <v>899.75201597088994</v>
      </c>
      <c r="Q23" s="20">
        <f t="shared" si="141"/>
        <v>926.74457645001667</v>
      </c>
      <c r="R23" s="20">
        <f t="shared" si="141"/>
        <v>954.54691374351717</v>
      </c>
      <c r="S23" s="20">
        <f t="shared" si="141"/>
        <v>983.18332115582268</v>
      </c>
      <c r="T23" s="20">
        <f t="shared" si="141"/>
        <v>1012.6788207904974</v>
      </c>
      <c r="U23" s="20">
        <f t="shared" si="141"/>
        <v>1043.0591854142124</v>
      </c>
      <c r="V23" s="20">
        <f t="shared" si="141"/>
        <v>1074.3509609766388</v>
      </c>
      <c r="W23" s="20">
        <f t="shared" si="141"/>
        <v>1106.581489805938</v>
      </c>
      <c r="X23" s="20">
        <f t="shared" si="141"/>
        <v>1139.7789345001161</v>
      </c>
      <c r="Y23" s="20">
        <f t="shared" si="141"/>
        <v>1173.9723025351195</v>
      </c>
      <c r="Z23" s="20">
        <f t="shared" si="141"/>
        <v>1209.191471611173</v>
      </c>
      <c r="AA23" s="20">
        <f t="shared" si="141"/>
        <v>1245.4672157595082</v>
      </c>
      <c r="AB23" s="20">
        <f t="shared" si="141"/>
        <v>1282.8312322322936</v>
      </c>
      <c r="AC23" s="20">
        <f t="shared" si="141"/>
        <v>1321.3161691992625</v>
      </c>
      <c r="AD23" s="20">
        <f t="shared" si="141"/>
        <v>1360.9556542752405</v>
      </c>
      <c r="AE23" s="20">
        <f t="shared" si="141"/>
        <v>1401.7843239034978</v>
      </c>
      <c r="AF23" s="20">
        <f t="shared" si="141"/>
        <v>1443.8378536206028</v>
      </c>
      <c r="AG23" s="20">
        <f t="shared" si="141"/>
        <v>1487.152989229221</v>
      </c>
      <c r="AH23" s="20">
        <f t="shared" si="141"/>
        <v>1531.7675789060977</v>
      </c>
      <c r="AI23" s="20">
        <f t="shared" si="141"/>
        <v>1577.7206062732807</v>
      </c>
      <c r="AJ23" s="20">
        <f t="shared" si="141"/>
        <v>1625.0522244614792</v>
      </c>
      <c r="AK23" s="20">
        <f t="shared" si="141"/>
        <v>1673.8037911953236</v>
      </c>
      <c r="AL23" s="20">
        <f t="shared" si="141"/>
        <v>1724.0179049311832</v>
      </c>
      <c r="AM23" s="20">
        <f t="shared" si="141"/>
        <v>1775.7384420791188</v>
      </c>
      <c r="AN23" s="20">
        <f t="shared" si="140"/>
        <v>1829.0105953414925</v>
      </c>
    </row>
    <row r="24" spans="2:40" s="22" customFormat="1" ht="21" customHeight="1" x14ac:dyDescent="0.35">
      <c r="B24" s="7" t="s">
        <v>116</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x14ac:dyDescent="0.35">
      <c r="B27" s="8" t="s">
        <v>119</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x14ac:dyDescent="0.35">
      <c r="B29" s="7" t="s">
        <v>141</v>
      </c>
      <c r="C29" s="32"/>
      <c r="D29" s="16"/>
      <c r="E29" s="20">
        <f t="shared" ref="E29:AN29" si="240">SUM(E28, E27, E26, E25 + E24)</f>
        <v>1000</v>
      </c>
      <c r="F29" s="20">
        <f t="shared" ref="F29:AM29" si="241">SUM(F28, F27, F26, F25 + F24)</f>
        <v>1030</v>
      </c>
      <c r="G29" s="20">
        <f t="shared" si="241"/>
        <v>1060.9000000000001</v>
      </c>
      <c r="H29" s="20">
        <f t="shared" si="241"/>
        <v>1092.7270000000001</v>
      </c>
      <c r="I29" s="20">
        <f t="shared" si="241"/>
        <v>983.4543000000001</v>
      </c>
      <c r="J29" s="20">
        <f t="shared" si="241"/>
        <v>1012.9579290000001</v>
      </c>
      <c r="K29" s="20">
        <f t="shared" si="241"/>
        <v>1043.3466668700003</v>
      </c>
      <c r="L29" s="20">
        <f t="shared" si="241"/>
        <v>1074.6470668761003</v>
      </c>
      <c r="M29" s="20">
        <f t="shared" si="241"/>
        <v>1106.8864788823835</v>
      </c>
      <c r="N29" s="20">
        <f t="shared" si="241"/>
        <v>1140.093073248855</v>
      </c>
      <c r="O29" s="20">
        <f t="shared" si="241"/>
        <v>1174.2958654463207</v>
      </c>
      <c r="P29" s="20">
        <f t="shared" si="241"/>
        <v>1209.5247414097103</v>
      </c>
      <c r="Q29" s="20">
        <f t="shared" si="241"/>
        <v>1245.8104836520015</v>
      </c>
      <c r="R29" s="20">
        <f t="shared" si="241"/>
        <v>1121.2294352868014</v>
      </c>
      <c r="S29" s="20">
        <f t="shared" si="241"/>
        <v>1154.8663183454055</v>
      </c>
      <c r="T29" s="20">
        <f t="shared" si="241"/>
        <v>1189.5123078957677</v>
      </c>
      <c r="U29" s="20">
        <f t="shared" si="241"/>
        <v>1225.1976771326408</v>
      </c>
      <c r="V29" s="20">
        <f t="shared" si="241"/>
        <v>1261.95360744662</v>
      </c>
      <c r="W29" s="20">
        <f t="shared" si="241"/>
        <v>1299.8122156700188</v>
      </c>
      <c r="X29" s="20">
        <f t="shared" si="241"/>
        <v>1338.8065821401194</v>
      </c>
      <c r="Y29" s="20">
        <f t="shared" si="241"/>
        <v>1378.9707796043231</v>
      </c>
      <c r="Z29" s="20">
        <f t="shared" si="241"/>
        <v>1420.3399029924528</v>
      </c>
      <c r="AA29" s="20">
        <f t="shared" si="241"/>
        <v>1278.3059126932076</v>
      </c>
      <c r="AB29" s="20">
        <f t="shared" si="241"/>
        <v>1316.6550900740037</v>
      </c>
      <c r="AC29" s="20">
        <f t="shared" si="241"/>
        <v>1356.1547427762239</v>
      </c>
      <c r="AD29" s="20">
        <f t="shared" si="241"/>
        <v>1396.8393850595107</v>
      </c>
      <c r="AE29" s="20">
        <f t="shared" si="241"/>
        <v>1438.744566611296</v>
      </c>
      <c r="AF29" s="20">
        <f t="shared" si="241"/>
        <v>1481.906903609635</v>
      </c>
      <c r="AG29" s="20">
        <f t="shared" si="241"/>
        <v>1333.7162132486715</v>
      </c>
      <c r="AH29" s="20">
        <f t="shared" si="241"/>
        <v>1373.7276996461317</v>
      </c>
      <c r="AI29" s="20">
        <f t="shared" si="241"/>
        <v>1414.9395306355157</v>
      </c>
      <c r="AJ29" s="20">
        <f t="shared" si="241"/>
        <v>1457.3877165545812</v>
      </c>
      <c r="AK29" s="20">
        <f t="shared" si="241"/>
        <v>1501.1093480512186</v>
      </c>
      <c r="AL29" s="20">
        <f t="shared" si="241"/>
        <v>1546.1426284927552</v>
      </c>
      <c r="AM29" s="20">
        <f t="shared" si="241"/>
        <v>1391.5283656434797</v>
      </c>
      <c r="AN29" s="20">
        <f t="shared" si="240"/>
        <v>1433.2742166127841</v>
      </c>
    </row>
    <row r="30" spans="2:40" s="22" customFormat="1" ht="21" customHeight="1" x14ac:dyDescent="0.35">
      <c r="B30" s="7" t="s">
        <v>121</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x14ac:dyDescent="0.35">
      <c r="B31" s="8" t="s">
        <v>122</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x14ac:dyDescent="0.35">
      <c r="B32" s="8" t="s">
        <v>123</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x14ac:dyDescent="0.35">
      <c r="B33" s="8" t="s">
        <v>124</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x14ac:dyDescent="0.35">
      <c r="B34" s="8" t="s">
        <v>125</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x14ac:dyDescent="0.35">
      <c r="B35" s="8" t="s">
        <v>126</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x14ac:dyDescent="0.35">
      <c r="B36" s="7" t="s">
        <v>142</v>
      </c>
      <c r="C36" s="32"/>
      <c r="D36" s="16"/>
      <c r="E36" s="20">
        <f t="shared" ref="E36:AN36" si="277">SUM(E35, E34, E33, E32, E31 + E30)</f>
        <v>18000</v>
      </c>
      <c r="F36" s="20">
        <f t="shared" ref="F36:AM36" si="278">SUM(F35, F34, F33, F32, F31 + F30)</f>
        <v>18540</v>
      </c>
      <c r="G36" s="20">
        <f t="shared" si="278"/>
        <v>13997.7</v>
      </c>
      <c r="H36" s="20">
        <f t="shared" si="278"/>
        <v>14417.631000000001</v>
      </c>
      <c r="I36" s="20">
        <f t="shared" si="278"/>
        <v>14309.260065000002</v>
      </c>
      <c r="J36" s="20">
        <f t="shared" si="278"/>
        <v>14738.537866950002</v>
      </c>
      <c r="K36" s="20">
        <f t="shared" si="278"/>
        <v>14625.981358405952</v>
      </c>
      <c r="L36" s="20">
        <f t="shared" si="278"/>
        <v>15064.760799158132</v>
      </c>
      <c r="M36" s="20">
        <f t="shared" si="278"/>
        <v>15516.703623132875</v>
      </c>
      <c r="N36" s="20">
        <f t="shared" si="278"/>
        <v>11294.540493759967</v>
      </c>
      <c r="O36" s="20">
        <f t="shared" si="278"/>
        <v>11633.376708572767</v>
      </c>
      <c r="P36" s="20">
        <f t="shared" si="278"/>
        <v>11545.344231906345</v>
      </c>
      <c r="Q36" s="20">
        <f t="shared" si="278"/>
        <v>11891.704558863536</v>
      </c>
      <c r="R36" s="20">
        <f t="shared" si="278"/>
        <v>12248.45569562944</v>
      </c>
      <c r="S36" s="20">
        <f t="shared" si="278"/>
        <v>12615.909366498325</v>
      </c>
      <c r="T36" s="20">
        <f t="shared" si="278"/>
        <v>12994.386647493277</v>
      </c>
      <c r="U36" s="20">
        <f t="shared" si="278"/>
        <v>12683.705637595976</v>
      </c>
      <c r="V36" s="20">
        <f t="shared" si="278"/>
        <v>13064.216806723856</v>
      </c>
      <c r="W36" s="20">
        <f t="shared" si="278"/>
        <v>13456.143310925572</v>
      </c>
      <c r="X36" s="20">
        <f t="shared" si="278"/>
        <v>9703.0926443916687</v>
      </c>
      <c r="Y36" s="20">
        <f t="shared" si="278"/>
        <v>9730.8121770531106</v>
      </c>
      <c r="Z36" s="20">
        <f t="shared" si="278"/>
        <v>10022.736542364704</v>
      </c>
      <c r="AA36" s="20">
        <f t="shared" si="278"/>
        <v>10323.418638635645</v>
      </c>
      <c r="AB36" s="20">
        <f t="shared" si="278"/>
        <v>10633.121197794717</v>
      </c>
      <c r="AC36" s="20">
        <f t="shared" si="278"/>
        <v>10952.114833728556</v>
      </c>
      <c r="AD36" s="20">
        <f t="shared" si="278"/>
        <v>11280.678278740414</v>
      </c>
      <c r="AE36" s="20">
        <f t="shared" si="278"/>
        <v>11619.098627102625</v>
      </c>
      <c r="AF36" s="20">
        <f t="shared" si="278"/>
        <v>11967.671585915705</v>
      </c>
      <c r="AG36" s="20">
        <f t="shared" si="278"/>
        <v>12326.701733493175</v>
      </c>
      <c r="AH36" s="20">
        <f t="shared" si="278"/>
        <v>12696.502785497971</v>
      </c>
      <c r="AI36" s="20">
        <f t="shared" si="278"/>
        <v>9415.8293854635958</v>
      </c>
      <c r="AJ36" s="20">
        <f t="shared" si="278"/>
        <v>9698.3042670275045</v>
      </c>
      <c r="AK36" s="20">
        <f t="shared" si="278"/>
        <v>9989.2533950383295</v>
      </c>
      <c r="AL36" s="20">
        <f t="shared" si="278"/>
        <v>10288.93099688948</v>
      </c>
      <c r="AM36" s="20">
        <f t="shared" si="278"/>
        <v>10597.598926796165</v>
      </c>
      <c r="AN36" s="20">
        <f t="shared" si="277"/>
        <v>8030.7375839034921</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x14ac:dyDescent="0.35">
      <c r="B39" s="8" t="s">
        <v>129</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x14ac:dyDescent="0.35">
      <c r="B40" s="8" t="s">
        <v>130</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x14ac:dyDescent="0.35">
      <c r="B41" s="8" t="s">
        <v>131</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61" customFormat="1" ht="21" customHeight="1" x14ac:dyDescent="0.35">
      <c r="B42" s="44" t="s">
        <v>143</v>
      </c>
      <c r="C42" s="44"/>
      <c r="D42" s="45"/>
      <c r="E42" s="60">
        <f t="shared" ref="E42" si="314">SUM(E41, E40, E39 + E38)</f>
        <v>1700</v>
      </c>
      <c r="F42" s="60">
        <f t="shared" si="279"/>
        <v>1700</v>
      </c>
      <c r="G42" s="60">
        <f t="shared" si="280"/>
        <v>1700</v>
      </c>
      <c r="H42" s="60">
        <f t="shared" si="281"/>
        <v>1700</v>
      </c>
      <c r="I42" s="60">
        <f t="shared" si="282"/>
        <v>1700</v>
      </c>
      <c r="J42" s="60">
        <f t="shared" si="283"/>
        <v>1700</v>
      </c>
      <c r="K42" s="60">
        <f t="shared" si="284"/>
        <v>1700</v>
      </c>
      <c r="L42" s="60">
        <f t="shared" si="285"/>
        <v>1700</v>
      </c>
      <c r="M42" s="60">
        <f t="shared" si="286"/>
        <v>1700</v>
      </c>
      <c r="N42" s="60">
        <f t="shared" si="287"/>
        <v>1700</v>
      </c>
      <c r="O42" s="60">
        <f t="shared" si="288"/>
        <v>1700</v>
      </c>
      <c r="P42" s="60">
        <f t="shared" si="289"/>
        <v>1700</v>
      </c>
      <c r="Q42" s="60">
        <f t="shared" si="290"/>
        <v>1700</v>
      </c>
      <c r="R42" s="60">
        <f t="shared" si="291"/>
        <v>1700</v>
      </c>
      <c r="S42" s="60">
        <f t="shared" si="292"/>
        <v>1700</v>
      </c>
      <c r="T42" s="60">
        <f t="shared" si="293"/>
        <v>1700</v>
      </c>
      <c r="U42" s="60">
        <f t="shared" si="294"/>
        <v>1700</v>
      </c>
      <c r="V42" s="60">
        <f t="shared" si="295"/>
        <v>1700</v>
      </c>
      <c r="W42" s="60">
        <f t="shared" si="296"/>
        <v>1700</v>
      </c>
      <c r="X42" s="60">
        <f t="shared" si="297"/>
        <v>1700</v>
      </c>
      <c r="Y42" s="60">
        <f t="shared" si="298"/>
        <v>1700</v>
      </c>
      <c r="Z42" s="60">
        <f t="shared" si="299"/>
        <v>1700</v>
      </c>
      <c r="AA42" s="60">
        <f t="shared" si="300"/>
        <v>1700</v>
      </c>
      <c r="AB42" s="60">
        <f t="shared" si="301"/>
        <v>1700</v>
      </c>
      <c r="AC42" s="60">
        <f t="shared" si="302"/>
        <v>1700</v>
      </c>
      <c r="AD42" s="60">
        <f t="shared" si="303"/>
        <v>1700</v>
      </c>
      <c r="AE42" s="60">
        <f t="shared" si="304"/>
        <v>1700</v>
      </c>
      <c r="AF42" s="60">
        <f t="shared" si="305"/>
        <v>1700</v>
      </c>
      <c r="AG42" s="60">
        <f t="shared" si="306"/>
        <v>1700</v>
      </c>
      <c r="AH42" s="60">
        <f t="shared" si="307"/>
        <v>1700</v>
      </c>
      <c r="AI42" s="60">
        <f t="shared" si="308"/>
        <v>1700</v>
      </c>
      <c r="AJ42" s="60">
        <f t="shared" si="309"/>
        <v>1700</v>
      </c>
      <c r="AK42" s="60">
        <f t="shared" si="310"/>
        <v>1700</v>
      </c>
      <c r="AL42" s="60">
        <f t="shared" si="311"/>
        <v>1700</v>
      </c>
      <c r="AM42" s="60">
        <f t="shared" si="312"/>
        <v>1700</v>
      </c>
      <c r="AN42" s="60">
        <f t="shared" si="313"/>
        <v>1700</v>
      </c>
    </row>
    <row r="43" spans="2:40" s="18" customFormat="1" ht="21" customHeight="1" x14ac:dyDescent="0.35">
      <c r="B43" s="6" t="s">
        <v>144</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x14ac:dyDescent="0.35">
      <c r="B44" s="6" t="s">
        <v>132</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x14ac:dyDescent="0.35">
      <c r="B47" s="6" t="s">
        <v>145</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x14ac:dyDescent="0.35">
      <c r="B52" s="6" t="s">
        <v>55</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x14ac:dyDescent="0.35">
      <c r="B53" s="6" t="s">
        <v>56</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136</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x14ac:dyDescent="0.35">
      <c r="A7" s="15"/>
      <c r="B7" s="6" t="s">
        <v>138</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x14ac:dyDescent="0.35">
      <c r="A10" s="15"/>
      <c r="B10" s="5" t="s">
        <v>92</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x14ac:dyDescent="0.35">
      <c r="A11" s="15"/>
      <c r="B11" s="6" t="s">
        <v>139</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x14ac:dyDescent="0.35">
      <c r="B12" s="6" t="s">
        <v>41</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x14ac:dyDescent="0.35">
      <c r="B16" s="5" t="s">
        <v>45</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x14ac:dyDescent="0.35">
      <c r="B17" s="5" t="s">
        <v>104</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x14ac:dyDescent="0.35">
      <c r="B18" s="5" t="s">
        <v>106</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x14ac:dyDescent="0.35">
      <c r="B19" s="7" t="s">
        <v>108</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x14ac:dyDescent="0.35">
      <c r="B20" s="8" t="s">
        <v>110</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x14ac:dyDescent="0.35">
      <c r="B21" s="8" t="s">
        <v>112</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x14ac:dyDescent="0.35">
      <c r="B22" s="8" t="s">
        <v>114</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x14ac:dyDescent="0.35">
      <c r="B23" s="7" t="s">
        <v>140</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x14ac:dyDescent="0.35">
      <c r="B24" s="7" t="s">
        <v>116</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x14ac:dyDescent="0.35">
      <c r="B25" s="8" t="s">
        <v>117</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x14ac:dyDescent="0.35">
      <c r="B26" s="8" t="s">
        <v>118</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x14ac:dyDescent="0.35">
      <c r="B27" s="8" t="s">
        <v>119</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x14ac:dyDescent="0.35">
      <c r="B28" s="8" t="s">
        <v>120</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x14ac:dyDescent="0.35">
      <c r="B29" s="7" t="s">
        <v>141</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x14ac:dyDescent="0.35">
      <c r="B30" s="7" t="s">
        <v>121</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x14ac:dyDescent="0.35">
      <c r="B31" s="8" t="s">
        <v>122</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x14ac:dyDescent="0.35">
      <c r="B32" s="8" t="s">
        <v>123</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x14ac:dyDescent="0.35">
      <c r="B33" s="8" t="s">
        <v>124</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x14ac:dyDescent="0.35">
      <c r="B34" s="8" t="s">
        <v>125</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x14ac:dyDescent="0.35">
      <c r="B35" s="8" t="s">
        <v>126</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x14ac:dyDescent="0.35">
      <c r="B36" s="7" t="s">
        <v>142</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x14ac:dyDescent="0.35">
      <c r="B37" s="8" t="s">
        <v>127</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x14ac:dyDescent="0.35">
      <c r="B38" s="7" t="s">
        <v>128</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x14ac:dyDescent="0.35">
      <c r="B39" s="8" t="s">
        <v>129</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x14ac:dyDescent="0.35">
      <c r="B40" s="8" t="s">
        <v>130</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x14ac:dyDescent="0.35">
      <c r="B41" s="8" t="s">
        <v>131</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61" customFormat="1" ht="21" customHeight="1" x14ac:dyDescent="0.35">
      <c r="B42" s="44" t="s">
        <v>143</v>
      </c>
      <c r="C42" s="44"/>
      <c r="D42" s="45"/>
      <c r="E42" s="60">
        <f t="shared" ref="E42" si="258">SUM(E41, E40, E39 + E38)</f>
        <v>1700</v>
      </c>
      <c r="F42" s="60">
        <f t="shared" si="223"/>
        <v>1700</v>
      </c>
      <c r="G42" s="60">
        <f t="shared" si="224"/>
        <v>1700</v>
      </c>
      <c r="H42" s="60">
        <f t="shared" si="225"/>
        <v>1700</v>
      </c>
      <c r="I42" s="60">
        <f t="shared" si="226"/>
        <v>1700</v>
      </c>
      <c r="J42" s="60">
        <f t="shared" si="227"/>
        <v>1700</v>
      </c>
      <c r="K42" s="60">
        <f t="shared" si="228"/>
        <v>1700</v>
      </c>
      <c r="L42" s="60">
        <f t="shared" si="229"/>
        <v>1700</v>
      </c>
      <c r="M42" s="60">
        <f t="shared" si="230"/>
        <v>1700</v>
      </c>
      <c r="N42" s="60">
        <f t="shared" si="231"/>
        <v>1700</v>
      </c>
      <c r="O42" s="60">
        <f t="shared" si="232"/>
        <v>1700</v>
      </c>
      <c r="P42" s="60">
        <f t="shared" si="233"/>
        <v>1700</v>
      </c>
      <c r="Q42" s="60">
        <f t="shared" si="234"/>
        <v>1700</v>
      </c>
      <c r="R42" s="60">
        <f t="shared" si="235"/>
        <v>1700</v>
      </c>
      <c r="S42" s="60">
        <f t="shared" si="236"/>
        <v>1700</v>
      </c>
      <c r="T42" s="60">
        <f t="shared" si="237"/>
        <v>1700</v>
      </c>
      <c r="U42" s="60">
        <f t="shared" si="238"/>
        <v>1700</v>
      </c>
      <c r="V42" s="60">
        <f t="shared" si="239"/>
        <v>1700</v>
      </c>
      <c r="W42" s="60">
        <f t="shared" si="240"/>
        <v>1700</v>
      </c>
      <c r="X42" s="60">
        <f t="shared" si="241"/>
        <v>1700</v>
      </c>
      <c r="Y42" s="60">
        <f t="shared" si="242"/>
        <v>1700</v>
      </c>
      <c r="Z42" s="60">
        <f t="shared" si="243"/>
        <v>1700</v>
      </c>
      <c r="AA42" s="60">
        <f t="shared" si="244"/>
        <v>1700</v>
      </c>
      <c r="AB42" s="60">
        <f t="shared" si="245"/>
        <v>1700</v>
      </c>
      <c r="AC42" s="60">
        <f t="shared" si="246"/>
        <v>1700</v>
      </c>
      <c r="AD42" s="60">
        <f t="shared" si="247"/>
        <v>1700</v>
      </c>
      <c r="AE42" s="60">
        <f t="shared" si="248"/>
        <v>1700</v>
      </c>
      <c r="AF42" s="60">
        <f t="shared" si="249"/>
        <v>1700</v>
      </c>
      <c r="AG42" s="60">
        <f t="shared" si="250"/>
        <v>1700</v>
      </c>
      <c r="AH42" s="60">
        <f t="shared" si="251"/>
        <v>1700</v>
      </c>
      <c r="AI42" s="60">
        <f t="shared" si="252"/>
        <v>1700</v>
      </c>
      <c r="AJ42" s="60">
        <f t="shared" si="253"/>
        <v>1700</v>
      </c>
      <c r="AK42" s="60">
        <f t="shared" si="254"/>
        <v>1700</v>
      </c>
      <c r="AL42" s="60">
        <f t="shared" si="255"/>
        <v>1700</v>
      </c>
      <c r="AM42" s="60">
        <f t="shared" si="256"/>
        <v>1700</v>
      </c>
      <c r="AN42" s="60">
        <f t="shared" si="257"/>
        <v>1700</v>
      </c>
    </row>
    <row r="43" spans="2:40" s="18" customFormat="1" ht="21" customHeight="1" x14ac:dyDescent="0.35">
      <c r="B43" s="6" t="s">
        <v>144</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x14ac:dyDescent="0.35">
      <c r="B44" s="6" t="s">
        <v>132</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x14ac:dyDescent="0.35">
      <c r="B45" s="6" t="s">
        <v>52</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x14ac:dyDescent="0.35">
      <c r="B47" s="6" t="s">
        <v>145</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x14ac:dyDescent="0.35">
      <c r="B48" s="6" t="s">
        <v>53</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x14ac:dyDescent="0.35">
      <c r="B50" s="5" t="s">
        <v>54</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x14ac:dyDescent="0.35">
      <c r="B51" s="6" t="s">
        <v>146</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x14ac:dyDescent="0.35">
      <c r="B52" s="6" t="s">
        <v>55</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x14ac:dyDescent="0.35">
      <c r="B53" s="6" t="s">
        <v>56</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45" zoomScaleNormal="100" workbookViewId="0">
      <pane xSplit="4" ySplit="4" topLeftCell="E22" activePane="bottomRight" state="frozen"/>
      <selection pane="topRight" activeCell="B5" sqref="B5"/>
      <selection pane="bottomLeft" activeCell="B5" sqref="B5"/>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13</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x14ac:dyDescent="0.35">
      <c r="A10" s="15"/>
      <c r="B10" s="5" t="s">
        <v>92</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x14ac:dyDescent="0.35">
      <c r="B12" s="6" t="s">
        <v>41</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x14ac:dyDescent="0.35">
      <c r="B17" s="5" t="s">
        <v>104</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x14ac:dyDescent="0.35">
      <c r="B18" s="5" t="s">
        <v>106</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x14ac:dyDescent="0.35">
      <c r="B20" s="8" t="s">
        <v>110</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x14ac:dyDescent="0.35">
      <c r="B21" s="8" t="s">
        <v>112</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x14ac:dyDescent="0.35">
      <c r="B24" s="7" t="s">
        <v>116</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x14ac:dyDescent="0.35">
      <c r="B25" s="8" t="s">
        <v>117</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x14ac:dyDescent="0.35">
      <c r="B29" s="7" t="s">
        <v>141</v>
      </c>
      <c r="C29" s="32"/>
      <c r="D29" s="16"/>
      <c r="E29" s="20">
        <f t="shared" ref="E29:AN29" si="175">SUM(E28, E27, E26, E25 + E24)</f>
        <v>1500</v>
      </c>
      <c r="F29" s="20">
        <f t="shared" ref="F29:AM29" si="176">SUM(F28, F27, F26, F25 + F24)</f>
        <v>1515</v>
      </c>
      <c r="G29" s="20">
        <f t="shared" si="176"/>
        <v>1530.15</v>
      </c>
      <c r="H29" s="20">
        <f t="shared" si="176"/>
        <v>1545.4515000000001</v>
      </c>
      <c r="I29" s="20">
        <f t="shared" si="176"/>
        <v>1560.9060150000003</v>
      </c>
      <c r="J29" s="20">
        <f t="shared" si="176"/>
        <v>1576.5150751500003</v>
      </c>
      <c r="K29" s="20">
        <f t="shared" si="176"/>
        <v>1592.2802259015002</v>
      </c>
      <c r="L29" s="20">
        <f t="shared" si="176"/>
        <v>1608.2030281605153</v>
      </c>
      <c r="M29" s="20">
        <f t="shared" si="176"/>
        <v>1624.2850584421203</v>
      </c>
      <c r="N29" s="20">
        <f t="shared" si="176"/>
        <v>1461.8565525979084</v>
      </c>
      <c r="O29" s="20">
        <f t="shared" si="176"/>
        <v>1476.4751181238876</v>
      </c>
      <c r="P29" s="20">
        <f t="shared" si="176"/>
        <v>1491.2398693051264</v>
      </c>
      <c r="Q29" s="20">
        <f t="shared" si="176"/>
        <v>1506.1522679981776</v>
      </c>
      <c r="R29" s="20">
        <f t="shared" si="176"/>
        <v>1521.2137906781595</v>
      </c>
      <c r="S29" s="20">
        <f t="shared" si="176"/>
        <v>1536.4259285849412</v>
      </c>
      <c r="T29" s="20">
        <f t="shared" si="176"/>
        <v>1551.7901878707905</v>
      </c>
      <c r="U29" s="20">
        <f t="shared" si="176"/>
        <v>1396.6111690837115</v>
      </c>
      <c r="V29" s="20">
        <f t="shared" si="176"/>
        <v>1410.5772807745486</v>
      </c>
      <c r="W29" s="20">
        <f t="shared" si="176"/>
        <v>1424.6830535822942</v>
      </c>
      <c r="X29" s="20">
        <f t="shared" si="176"/>
        <v>1438.9298841181171</v>
      </c>
      <c r="Y29" s="20">
        <f t="shared" si="176"/>
        <v>1453.3191829592984</v>
      </c>
      <c r="Z29" s="20">
        <f t="shared" si="176"/>
        <v>1307.9872646633685</v>
      </c>
      <c r="AA29" s="20">
        <f t="shared" si="176"/>
        <v>1321.0671373100022</v>
      </c>
      <c r="AB29" s="20">
        <f t="shared" si="176"/>
        <v>1334.2778086831022</v>
      </c>
      <c r="AC29" s="20">
        <f t="shared" si="176"/>
        <v>1347.6205867699332</v>
      </c>
      <c r="AD29" s="20">
        <f t="shared" si="176"/>
        <v>1361.0967926376325</v>
      </c>
      <c r="AE29" s="20">
        <f t="shared" si="176"/>
        <v>1224.9871133738693</v>
      </c>
      <c r="AF29" s="20">
        <f t="shared" si="176"/>
        <v>1237.236984507608</v>
      </c>
      <c r="AG29" s="20">
        <f t="shared" si="176"/>
        <v>1249.609354352684</v>
      </c>
      <c r="AH29" s="20">
        <f t="shared" si="176"/>
        <v>1262.1054478962108</v>
      </c>
      <c r="AI29" s="20">
        <f t="shared" si="176"/>
        <v>1274.7265023751729</v>
      </c>
      <c r="AJ29" s="20">
        <f t="shared" si="176"/>
        <v>1287.4737673989246</v>
      </c>
      <c r="AK29" s="20">
        <f t="shared" si="176"/>
        <v>1158.7263906590322</v>
      </c>
      <c r="AL29" s="20">
        <f t="shared" si="176"/>
        <v>1170.3136545656225</v>
      </c>
      <c r="AM29" s="20">
        <f t="shared" si="176"/>
        <v>1182.0167911112787</v>
      </c>
      <c r="AN29" s="20">
        <f t="shared" si="175"/>
        <v>1193.8369590223915</v>
      </c>
    </row>
    <row r="30" spans="2:40" s="22" customFormat="1" ht="21" customHeight="1" x14ac:dyDescent="0.35">
      <c r="B30" s="7" t="s">
        <v>121</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x14ac:dyDescent="0.35">
      <c r="B31" s="8" t="s">
        <v>122</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x14ac:dyDescent="0.35">
      <c r="B32" s="8" t="s">
        <v>123</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x14ac:dyDescent="0.35">
      <c r="B33" s="8" t="s">
        <v>124</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x14ac:dyDescent="0.35">
      <c r="B34" s="8" t="s">
        <v>125</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x14ac:dyDescent="0.35">
      <c r="B35" s="8" t="s">
        <v>126</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x14ac:dyDescent="0.35">
      <c r="B36" s="7" t="s">
        <v>142</v>
      </c>
      <c r="C36" s="32"/>
      <c r="D36" s="16"/>
      <c r="E36" s="20">
        <f t="shared" ref="E36:AN36" si="212">SUM(E35, E34, E33, E32, E31 + E30)</f>
        <v>9775.375</v>
      </c>
      <c r="F36" s="20">
        <f t="shared" ref="F36:AM36" si="213">SUM(F35, F34, F33, F32, F31 + F30)</f>
        <v>10006.39</v>
      </c>
      <c r="G36" s="20">
        <f t="shared" si="213"/>
        <v>10243.445600000001</v>
      </c>
      <c r="H36" s="20">
        <f t="shared" si="213"/>
        <v>10347.712192000001</v>
      </c>
      <c r="I36" s="20">
        <f t="shared" si="213"/>
        <v>10591.827399680002</v>
      </c>
      <c r="J36" s="20">
        <f t="shared" si="213"/>
        <v>10842.311350067201</v>
      </c>
      <c r="K36" s="20">
        <f t="shared" si="213"/>
        <v>10039.433304485889</v>
      </c>
      <c r="L36" s="20">
        <f t="shared" si="213"/>
        <v>10282.023001004523</v>
      </c>
      <c r="M36" s="20">
        <f t="shared" si="213"/>
        <v>10531.136532670691</v>
      </c>
      <c r="N36" s="20">
        <f t="shared" si="213"/>
        <v>10786.971257836023</v>
      </c>
      <c r="O36" s="20">
        <f t="shared" si="213"/>
        <v>11049.731157285136</v>
      </c>
      <c r="P36" s="20">
        <f t="shared" si="213"/>
        <v>10287.067094405253</v>
      </c>
      <c r="Q36" s="20">
        <f t="shared" si="213"/>
        <v>10543.665781288011</v>
      </c>
      <c r="R36" s="20">
        <f t="shared" si="213"/>
        <v>10629.365163922359</v>
      </c>
      <c r="S36" s="20">
        <f t="shared" si="213"/>
        <v>10893.398460111308</v>
      </c>
      <c r="T36" s="20">
        <f t="shared" si="213"/>
        <v>11164.770261940455</v>
      </c>
      <c r="U36" s="20">
        <f t="shared" si="213"/>
        <v>11443.709653111262</v>
      </c>
      <c r="V36" s="20">
        <f t="shared" si="213"/>
        <v>11730.453591542764</v>
      </c>
      <c r="W36" s="20">
        <f t="shared" si="213"/>
        <v>10978.699978676825</v>
      </c>
      <c r="X36" s="20">
        <f t="shared" si="213"/>
        <v>11260.865894841771</v>
      </c>
      <c r="Y36" s="20">
        <f t="shared" si="213"/>
        <v>11348.400026925668</v>
      </c>
      <c r="Z36" s="20">
        <f t="shared" si="213"/>
        <v>11639.01186886809</v>
      </c>
      <c r="AA36" s="20">
        <f t="shared" si="213"/>
        <v>11937.981701305518</v>
      </c>
      <c r="AB36" s="20">
        <f t="shared" si="213"/>
        <v>12245.578514194098</v>
      </c>
      <c r="AC36" s="20">
        <f t="shared" si="213"/>
        <v>12562.080750494944</v>
      </c>
      <c r="AD36" s="20">
        <f t="shared" si="213"/>
        <v>11827.052724048968</v>
      </c>
      <c r="AE36" s="20">
        <f t="shared" si="213"/>
        <v>12141.026242893899</v>
      </c>
      <c r="AF36" s="20">
        <f t="shared" si="213"/>
        <v>12233.454669558356</v>
      </c>
      <c r="AG36" s="20">
        <f t="shared" si="213"/>
        <v>12557.256279182933</v>
      </c>
      <c r="AH36" s="20">
        <f t="shared" si="213"/>
        <v>12890.69922164934</v>
      </c>
      <c r="AI36" s="20">
        <f t="shared" si="213"/>
        <v>13009.314359140119</v>
      </c>
      <c r="AJ36" s="20">
        <f t="shared" si="213"/>
        <v>12300.005753698726</v>
      </c>
      <c r="AK36" s="20">
        <f t="shared" si="213"/>
        <v>12633.904117871491</v>
      </c>
      <c r="AL36" s="20">
        <f t="shared" si="213"/>
        <v>12977.996379291662</v>
      </c>
      <c r="AM36" s="20">
        <f t="shared" si="213"/>
        <v>13105.056133517992</v>
      </c>
      <c r="AN36" s="20">
        <f t="shared" si="212"/>
        <v>13461.479413870917</v>
      </c>
    </row>
    <row r="37" spans="2:40" s="18" customFormat="1" ht="21" customHeight="1" x14ac:dyDescent="0.35">
      <c r="B37" s="8" t="s">
        <v>127</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x14ac:dyDescent="0.35">
      <c r="B39" s="8" t="s">
        <v>129</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x14ac:dyDescent="0.35">
      <c r="B40" s="8" t="s">
        <v>130</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x14ac:dyDescent="0.35">
      <c r="B41" s="8" t="s">
        <v>131</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61" customFormat="1" ht="21" customHeight="1" x14ac:dyDescent="0.35">
      <c r="B42" s="44" t="s">
        <v>143</v>
      </c>
      <c r="C42" s="44"/>
      <c r="D42" s="45"/>
      <c r="E42" s="60">
        <f t="shared" ref="E42" si="249">SUM(E41, E40, E39 + E38)</f>
        <v>1700</v>
      </c>
      <c r="F42" s="60">
        <f t="shared" si="214"/>
        <v>1700</v>
      </c>
      <c r="G42" s="60">
        <f t="shared" si="215"/>
        <v>1700</v>
      </c>
      <c r="H42" s="60">
        <f t="shared" si="216"/>
        <v>1700</v>
      </c>
      <c r="I42" s="60">
        <f t="shared" si="217"/>
        <v>1700</v>
      </c>
      <c r="J42" s="60">
        <f t="shared" si="218"/>
        <v>1700</v>
      </c>
      <c r="K42" s="60">
        <f t="shared" si="219"/>
        <v>1700</v>
      </c>
      <c r="L42" s="60">
        <f t="shared" si="220"/>
        <v>1700</v>
      </c>
      <c r="M42" s="60">
        <f t="shared" si="221"/>
        <v>1700</v>
      </c>
      <c r="N42" s="60">
        <f t="shared" si="222"/>
        <v>1700</v>
      </c>
      <c r="O42" s="60">
        <f t="shared" si="223"/>
        <v>1700</v>
      </c>
      <c r="P42" s="60">
        <f t="shared" si="224"/>
        <v>1700</v>
      </c>
      <c r="Q42" s="60">
        <f t="shared" si="225"/>
        <v>1700</v>
      </c>
      <c r="R42" s="60">
        <f t="shared" si="226"/>
        <v>1700</v>
      </c>
      <c r="S42" s="60">
        <f t="shared" si="227"/>
        <v>1700</v>
      </c>
      <c r="T42" s="60">
        <f t="shared" si="228"/>
        <v>1700</v>
      </c>
      <c r="U42" s="60">
        <f t="shared" si="229"/>
        <v>1700</v>
      </c>
      <c r="V42" s="60">
        <f t="shared" si="230"/>
        <v>1700</v>
      </c>
      <c r="W42" s="60">
        <f t="shared" si="231"/>
        <v>1700</v>
      </c>
      <c r="X42" s="60">
        <f t="shared" si="232"/>
        <v>1700</v>
      </c>
      <c r="Y42" s="60">
        <f t="shared" si="233"/>
        <v>1700</v>
      </c>
      <c r="Z42" s="60">
        <f t="shared" si="234"/>
        <v>1700</v>
      </c>
      <c r="AA42" s="60">
        <f t="shared" si="235"/>
        <v>1700</v>
      </c>
      <c r="AB42" s="60">
        <f t="shared" si="236"/>
        <v>1700</v>
      </c>
      <c r="AC42" s="60">
        <f t="shared" si="237"/>
        <v>1700</v>
      </c>
      <c r="AD42" s="60">
        <f t="shared" si="238"/>
        <v>1700</v>
      </c>
      <c r="AE42" s="60">
        <f t="shared" si="239"/>
        <v>1700</v>
      </c>
      <c r="AF42" s="60">
        <f t="shared" si="240"/>
        <v>1700</v>
      </c>
      <c r="AG42" s="60">
        <f t="shared" si="241"/>
        <v>1700</v>
      </c>
      <c r="AH42" s="60">
        <f t="shared" si="242"/>
        <v>1700</v>
      </c>
      <c r="AI42" s="60">
        <f t="shared" si="243"/>
        <v>1700</v>
      </c>
      <c r="AJ42" s="60">
        <f t="shared" si="244"/>
        <v>1700</v>
      </c>
      <c r="AK42" s="60">
        <f t="shared" si="245"/>
        <v>1700</v>
      </c>
      <c r="AL42" s="60">
        <f t="shared" si="246"/>
        <v>1700</v>
      </c>
      <c r="AM42" s="60">
        <f t="shared" si="247"/>
        <v>1700</v>
      </c>
      <c r="AN42" s="60">
        <f t="shared" si="248"/>
        <v>1700</v>
      </c>
    </row>
    <row r="43" spans="2:40" s="18" customFormat="1" ht="21" customHeight="1" x14ac:dyDescent="0.35">
      <c r="B43" s="6" t="s">
        <v>144</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x14ac:dyDescent="0.35">
      <c r="B44" s="6" t="s">
        <v>132</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x14ac:dyDescent="0.35">
      <c r="B47" s="6" t="s">
        <v>145</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x14ac:dyDescent="0.35">
      <c r="B52" s="6" t="s">
        <v>55</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x14ac:dyDescent="0.35">
      <c r="B53" s="6" t="s">
        <v>56</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44" zoomScaleNormal="100" workbookViewId="0">
      <pane xSplit="4" ySplit="4" topLeftCell="H7" activePane="bottomRight" state="frozen"/>
      <selection pane="topRight" activeCell="B5" sqref="B5"/>
      <selection pane="bottomLeft" activeCell="B5" sqref="B5"/>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8</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x14ac:dyDescent="0.35">
      <c r="B17" s="5" t="s">
        <v>104</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x14ac:dyDescent="0.35">
      <c r="B18" s="5" t="s">
        <v>106</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x14ac:dyDescent="0.35">
      <c r="B20" s="8" t="s">
        <v>110</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x14ac:dyDescent="0.35">
      <c r="B21" s="8" t="s">
        <v>112</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110">SUM(E22, E21, E20 + E19)</f>
        <v>800</v>
      </c>
      <c r="F23" s="20">
        <f t="shared" ref="F23:AM23" si="111">SUM(F22, F21, F20 + F19)</f>
        <v>840</v>
      </c>
      <c r="G23" s="20">
        <f t="shared" si="111"/>
        <v>882</v>
      </c>
      <c r="H23" s="20">
        <f t="shared" si="111"/>
        <v>926.1</v>
      </c>
      <c r="I23" s="20">
        <f t="shared" si="111"/>
        <v>972.40500000000009</v>
      </c>
      <c r="J23" s="20">
        <f t="shared" si="111"/>
        <v>1021.0252500000001</v>
      </c>
      <c r="K23" s="20">
        <f t="shared" si="111"/>
        <v>1072.0765125000003</v>
      </c>
      <c r="L23" s="20">
        <f t="shared" si="111"/>
        <v>1125.6803381250004</v>
      </c>
      <c r="M23" s="20">
        <f t="shared" si="111"/>
        <v>1181.9643550312505</v>
      </c>
      <c r="N23" s="20">
        <f t="shared" si="111"/>
        <v>1241.062572782813</v>
      </c>
      <c r="O23" s="20">
        <f t="shared" si="111"/>
        <v>1303.1157014219536</v>
      </c>
      <c r="P23" s="20">
        <f t="shared" si="111"/>
        <v>1368.2714864930515</v>
      </c>
      <c r="Q23" s="20">
        <f t="shared" si="111"/>
        <v>1436.6850608177042</v>
      </c>
      <c r="R23" s="20">
        <f t="shared" si="111"/>
        <v>1508.5193138585894</v>
      </c>
      <c r="S23" s="20">
        <f t="shared" si="111"/>
        <v>1583.945279551519</v>
      </c>
      <c r="T23" s="20">
        <f t="shared" si="111"/>
        <v>1663.1425435290951</v>
      </c>
      <c r="U23" s="20">
        <f t="shared" si="111"/>
        <v>1746.2996707055499</v>
      </c>
      <c r="V23" s="20">
        <f t="shared" si="111"/>
        <v>1833.6146542408276</v>
      </c>
      <c r="W23" s="20">
        <f t="shared" si="111"/>
        <v>1925.295386952869</v>
      </c>
      <c r="X23" s="20">
        <f t="shared" si="111"/>
        <v>2021.5601563005125</v>
      </c>
      <c r="Y23" s="20">
        <f t="shared" si="111"/>
        <v>2122.6381641155381</v>
      </c>
      <c r="Z23" s="20">
        <f t="shared" si="111"/>
        <v>2228.7700723213152</v>
      </c>
      <c r="AA23" s="20">
        <f t="shared" si="111"/>
        <v>2340.2085759373808</v>
      </c>
      <c r="AB23" s="20">
        <f t="shared" si="111"/>
        <v>2457.2190047342501</v>
      </c>
      <c r="AC23" s="20">
        <f t="shared" si="111"/>
        <v>2580.0799549709627</v>
      </c>
      <c r="AD23" s="20">
        <f t="shared" si="111"/>
        <v>2709.0839527195108</v>
      </c>
      <c r="AE23" s="20">
        <f t="shared" si="111"/>
        <v>2844.5381503554863</v>
      </c>
      <c r="AF23" s="20">
        <f t="shared" si="111"/>
        <v>2986.765057873261</v>
      </c>
      <c r="AG23" s="20">
        <f t="shared" si="111"/>
        <v>3136.1033107669241</v>
      </c>
      <c r="AH23" s="20">
        <f t="shared" si="111"/>
        <v>3292.9084763052706</v>
      </c>
      <c r="AI23" s="20">
        <f t="shared" si="111"/>
        <v>3457.5539001205343</v>
      </c>
      <c r="AJ23" s="20">
        <f t="shared" si="111"/>
        <v>3630.4315951265612</v>
      </c>
      <c r="AK23" s="20">
        <f t="shared" si="111"/>
        <v>3811.9531748828895</v>
      </c>
      <c r="AL23" s="20">
        <f t="shared" si="111"/>
        <v>4002.5508336270341</v>
      </c>
      <c r="AM23" s="20">
        <f t="shared" si="111"/>
        <v>4202.6783753083855</v>
      </c>
      <c r="AN23" s="20">
        <f t="shared" si="110"/>
        <v>4412.8122940738049</v>
      </c>
    </row>
    <row r="24" spans="2:40" s="22" customFormat="1" ht="21" customHeight="1" x14ac:dyDescent="0.35">
      <c r="B24" s="7" t="s">
        <v>116</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x14ac:dyDescent="0.35">
      <c r="B25" s="8" t="s">
        <v>117</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x14ac:dyDescent="0.35">
      <c r="B29" s="7" t="s">
        <v>141</v>
      </c>
      <c r="C29" s="32"/>
      <c r="D29" s="16"/>
      <c r="E29" s="20">
        <f t="shared" ref="E29:AN29" si="181">SUM(E28, E27, E26, E25 + E24)</f>
        <v>600</v>
      </c>
      <c r="F29" s="20">
        <f t="shared" ref="F29:AM29" si="182">SUM(F28, F27, F26, F25 + F24)</f>
        <v>648</v>
      </c>
      <c r="G29" s="20">
        <f t="shared" si="182"/>
        <v>699.84</v>
      </c>
      <c r="H29" s="20">
        <f t="shared" si="182"/>
        <v>755.82720000000006</v>
      </c>
      <c r="I29" s="20">
        <f t="shared" si="182"/>
        <v>816.29337600000008</v>
      </c>
      <c r="J29" s="20">
        <f t="shared" si="182"/>
        <v>881.59684608000009</v>
      </c>
      <c r="K29" s="20">
        <f t="shared" si="182"/>
        <v>952.12459376640015</v>
      </c>
      <c r="L29" s="20">
        <f t="shared" si="182"/>
        <v>1028.2945612677122</v>
      </c>
      <c r="M29" s="20">
        <f t="shared" si="182"/>
        <v>1110.5581261691293</v>
      </c>
      <c r="N29" s="20">
        <f t="shared" si="182"/>
        <v>1199.4027762626597</v>
      </c>
      <c r="O29" s="20">
        <f t="shared" si="182"/>
        <v>1295.3549983636726</v>
      </c>
      <c r="P29" s="20">
        <f t="shared" si="182"/>
        <v>1398.9833982327666</v>
      </c>
      <c r="Q29" s="20">
        <f t="shared" si="182"/>
        <v>1510.9020700913879</v>
      </c>
      <c r="R29" s="20">
        <f t="shared" si="182"/>
        <v>1631.7742356986992</v>
      </c>
      <c r="S29" s="20">
        <f t="shared" si="182"/>
        <v>1762.3161745545951</v>
      </c>
      <c r="T29" s="20">
        <f t="shared" si="182"/>
        <v>1903.3014685189628</v>
      </c>
      <c r="U29" s="20">
        <f t="shared" si="182"/>
        <v>2055.5655860004799</v>
      </c>
      <c r="V29" s="20">
        <f t="shared" si="182"/>
        <v>2220.0108328805186</v>
      </c>
      <c r="W29" s="20">
        <f t="shared" si="182"/>
        <v>2397.6116995109601</v>
      </c>
      <c r="X29" s="20">
        <f t="shared" si="182"/>
        <v>2589.4206354718372</v>
      </c>
      <c r="Y29" s="20">
        <f t="shared" si="182"/>
        <v>2796.5742863095843</v>
      </c>
      <c r="Z29" s="20">
        <f t="shared" si="182"/>
        <v>3020.300229214351</v>
      </c>
      <c r="AA29" s="20">
        <f t="shared" si="182"/>
        <v>3261.9242475514993</v>
      </c>
      <c r="AB29" s="20">
        <f t="shared" si="182"/>
        <v>3522.8781873556195</v>
      </c>
      <c r="AC29" s="20">
        <f t="shared" si="182"/>
        <v>3804.7084423440692</v>
      </c>
      <c r="AD29" s="20">
        <f t="shared" si="182"/>
        <v>4109.0851177315953</v>
      </c>
      <c r="AE29" s="20">
        <f t="shared" si="182"/>
        <v>4437.8119271501237</v>
      </c>
      <c r="AF29" s="20">
        <f t="shared" si="182"/>
        <v>4792.8368813221341</v>
      </c>
      <c r="AG29" s="20">
        <f t="shared" si="182"/>
        <v>5176.2638318279051</v>
      </c>
      <c r="AH29" s="20">
        <f t="shared" si="182"/>
        <v>5590.3649383741376</v>
      </c>
      <c r="AI29" s="20">
        <f t="shared" si="182"/>
        <v>6037.5941334440695</v>
      </c>
      <c r="AJ29" s="20">
        <f t="shared" si="182"/>
        <v>6520.6016641195956</v>
      </c>
      <c r="AK29" s="20">
        <f t="shared" si="182"/>
        <v>7042.2497972491637</v>
      </c>
      <c r="AL29" s="20">
        <f t="shared" si="182"/>
        <v>7605.6297810290971</v>
      </c>
      <c r="AM29" s="20">
        <f t="shared" si="182"/>
        <v>8214.0801635114258</v>
      </c>
      <c r="AN29" s="20">
        <f t="shared" si="181"/>
        <v>8871.2065765923398</v>
      </c>
    </row>
    <row r="30" spans="2:40" s="22" customFormat="1" ht="21" customHeight="1" x14ac:dyDescent="0.35">
      <c r="B30" s="7" t="s">
        <v>121</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x14ac:dyDescent="0.35">
      <c r="B31" s="8" t="s">
        <v>122</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x14ac:dyDescent="0.35">
      <c r="B32" s="8" t="s">
        <v>123</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x14ac:dyDescent="0.35">
      <c r="B33" s="8" t="s">
        <v>124</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x14ac:dyDescent="0.35">
      <c r="B34" s="8" t="s">
        <v>125</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x14ac:dyDescent="0.35">
      <c r="B35" s="8" t="s">
        <v>126</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x14ac:dyDescent="0.35">
      <c r="B36" s="7" t="s">
        <v>142</v>
      </c>
      <c r="C36" s="32"/>
      <c r="D36" s="16"/>
      <c r="E36" s="20">
        <f t="shared" ref="E36:AN36" si="219">SUM(E35, E34, E33, E32, E31 + E30)</f>
        <v>7207.375</v>
      </c>
      <c r="F36" s="20">
        <f t="shared" ref="F36:AM36" si="220">SUM(F35, F34, F33, F32, F31 + F30)</f>
        <v>7675.67</v>
      </c>
      <c r="G36" s="20">
        <f t="shared" si="220"/>
        <v>8175.2968000000001</v>
      </c>
      <c r="H36" s="20">
        <f t="shared" si="220"/>
        <v>8708.3906720000014</v>
      </c>
      <c r="I36" s="20">
        <f t="shared" si="220"/>
        <v>6557.6385788800008</v>
      </c>
      <c r="J36" s="20">
        <f t="shared" si="220"/>
        <v>6974.2995400352011</v>
      </c>
      <c r="K36" s="20">
        <f t="shared" si="220"/>
        <v>7418.4318188966099</v>
      </c>
      <c r="L36" s="20">
        <f t="shared" si="220"/>
        <v>7891.8906097206745</v>
      </c>
      <c r="M36" s="20">
        <f t="shared" si="220"/>
        <v>8396.6582584424759</v>
      </c>
      <c r="N36" s="20">
        <f t="shared" si="220"/>
        <v>8934.8530548164563</v>
      </c>
      <c r="O36" s="20">
        <f t="shared" si="220"/>
        <v>9508.7386356679381</v>
      </c>
      <c r="P36" s="20">
        <f t="shared" si="220"/>
        <v>10120.734041859596</v>
      </c>
      <c r="Q36" s="20">
        <f t="shared" si="220"/>
        <v>10773.424474552465</v>
      </c>
      <c r="R36" s="20">
        <f t="shared" si="220"/>
        <v>11469.572799524343</v>
      </c>
      <c r="S36" s="20">
        <f t="shared" si="220"/>
        <v>12212.131851714381</v>
      </c>
      <c r="T36" s="20">
        <f t="shared" si="220"/>
        <v>13004.257595806655</v>
      </c>
      <c r="U36" s="20">
        <f t="shared" si="220"/>
        <v>13849.323202564279</v>
      </c>
      <c r="V36" s="20">
        <f t="shared" si="220"/>
        <v>10463.39909052535</v>
      </c>
      <c r="W36" s="20">
        <f t="shared" si="220"/>
        <v>11125.28163603746</v>
      </c>
      <c r="X36" s="20">
        <f t="shared" si="220"/>
        <v>11830.673744102427</v>
      </c>
      <c r="Y36" s="20">
        <f t="shared" si="220"/>
        <v>12582.508195473638</v>
      </c>
      <c r="Z36" s="20">
        <f t="shared" si="220"/>
        <v>13383.918550012193</v>
      </c>
      <c r="AA36" s="20">
        <f t="shared" si="220"/>
        <v>14238.253020602664</v>
      </c>
      <c r="AB36" s="20">
        <f t="shared" si="220"/>
        <v>15149.089311018051</v>
      </c>
      <c r="AC36" s="20">
        <f t="shared" si="220"/>
        <v>11616.146733548501</v>
      </c>
      <c r="AD36" s="20">
        <f t="shared" si="220"/>
        <v>9183.5582979532519</v>
      </c>
      <c r="AE36" s="20">
        <f t="shared" si="220"/>
        <v>9729.8474545880908</v>
      </c>
      <c r="AF36" s="20">
        <f t="shared" si="220"/>
        <v>10310.514455218494</v>
      </c>
      <c r="AG36" s="20">
        <f t="shared" si="220"/>
        <v>10927.811253045395</v>
      </c>
      <c r="AH36" s="20">
        <f t="shared" si="220"/>
        <v>11584.141258158641</v>
      </c>
      <c r="AI36" s="20">
        <f t="shared" si="220"/>
        <v>12282.069692325818</v>
      </c>
      <c r="AJ36" s="20">
        <f t="shared" si="220"/>
        <v>13024.334658728541</v>
      </c>
      <c r="AK36" s="20">
        <f t="shared" si="220"/>
        <v>13813.858976297051</v>
      </c>
      <c r="AL36" s="20">
        <f t="shared" si="220"/>
        <v>11109.785709428734</v>
      </c>
      <c r="AM36" s="20">
        <f t="shared" si="220"/>
        <v>11755.32178528919</v>
      </c>
      <c r="AN36" s="20">
        <f t="shared" si="219"/>
        <v>12440.759429507896</v>
      </c>
    </row>
    <row r="37" spans="2:40" s="18" customFormat="1" ht="21" customHeight="1" x14ac:dyDescent="0.35">
      <c r="B37" s="8" t="s">
        <v>127</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x14ac:dyDescent="0.35">
      <c r="B39" s="8" t="s">
        <v>129</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x14ac:dyDescent="0.35">
      <c r="B40" s="8" t="s">
        <v>130</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x14ac:dyDescent="0.35">
      <c r="B41" s="8" t="s">
        <v>131</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6" customFormat="1" ht="21" customHeight="1" x14ac:dyDescent="0.35">
      <c r="B42" s="44" t="s">
        <v>143</v>
      </c>
      <c r="C42" s="44"/>
      <c r="D42" s="45"/>
      <c r="E42" s="43">
        <f t="shared" ref="E42" si="256">SUM(E41, E40, E39 + E38)</f>
        <v>600</v>
      </c>
      <c r="F42" s="43">
        <f t="shared" si="221"/>
        <v>600</v>
      </c>
      <c r="G42" s="43">
        <f t="shared" si="222"/>
        <v>600</v>
      </c>
      <c r="H42" s="43">
        <f t="shared" si="223"/>
        <v>600</v>
      </c>
      <c r="I42" s="43">
        <f t="shared" si="224"/>
        <v>600</v>
      </c>
      <c r="J42" s="43">
        <f t="shared" si="225"/>
        <v>600</v>
      </c>
      <c r="K42" s="43">
        <f t="shared" si="226"/>
        <v>600</v>
      </c>
      <c r="L42" s="43">
        <f t="shared" si="227"/>
        <v>600</v>
      </c>
      <c r="M42" s="43">
        <f t="shared" si="228"/>
        <v>600</v>
      </c>
      <c r="N42" s="43">
        <f t="shared" si="229"/>
        <v>600</v>
      </c>
      <c r="O42" s="43">
        <f t="shared" si="230"/>
        <v>600</v>
      </c>
      <c r="P42" s="43">
        <f t="shared" si="231"/>
        <v>600</v>
      </c>
      <c r="Q42" s="43">
        <f t="shared" si="232"/>
        <v>600</v>
      </c>
      <c r="R42" s="43">
        <f t="shared" si="233"/>
        <v>600</v>
      </c>
      <c r="S42" s="43">
        <f t="shared" si="234"/>
        <v>600</v>
      </c>
      <c r="T42" s="43">
        <f t="shared" si="235"/>
        <v>600</v>
      </c>
      <c r="U42" s="43">
        <f t="shared" si="236"/>
        <v>600</v>
      </c>
      <c r="V42" s="43">
        <f t="shared" si="237"/>
        <v>600</v>
      </c>
      <c r="W42" s="43">
        <f t="shared" si="238"/>
        <v>600</v>
      </c>
      <c r="X42" s="43">
        <f t="shared" si="239"/>
        <v>600</v>
      </c>
      <c r="Y42" s="43">
        <f t="shared" si="240"/>
        <v>600</v>
      </c>
      <c r="Z42" s="43">
        <f t="shared" si="241"/>
        <v>600</v>
      </c>
      <c r="AA42" s="43">
        <f t="shared" si="242"/>
        <v>600</v>
      </c>
      <c r="AB42" s="43">
        <f t="shared" si="243"/>
        <v>600</v>
      </c>
      <c r="AC42" s="43">
        <f t="shared" si="244"/>
        <v>600</v>
      </c>
      <c r="AD42" s="43">
        <f t="shared" si="245"/>
        <v>600</v>
      </c>
      <c r="AE42" s="43">
        <f t="shared" si="246"/>
        <v>600</v>
      </c>
      <c r="AF42" s="43">
        <f t="shared" si="247"/>
        <v>600</v>
      </c>
      <c r="AG42" s="43">
        <f t="shared" si="248"/>
        <v>600</v>
      </c>
      <c r="AH42" s="43">
        <f t="shared" si="249"/>
        <v>600</v>
      </c>
      <c r="AI42" s="43">
        <f t="shared" si="250"/>
        <v>600</v>
      </c>
      <c r="AJ42" s="43">
        <f t="shared" si="251"/>
        <v>600</v>
      </c>
      <c r="AK42" s="43">
        <f t="shared" si="252"/>
        <v>600</v>
      </c>
      <c r="AL42" s="43">
        <f t="shared" si="253"/>
        <v>600</v>
      </c>
      <c r="AM42" s="43">
        <f t="shared" si="254"/>
        <v>600</v>
      </c>
      <c r="AN42" s="43">
        <f t="shared" si="255"/>
        <v>600</v>
      </c>
    </row>
    <row r="43" spans="2:40" s="18" customFormat="1" ht="21" customHeight="1" x14ac:dyDescent="0.35">
      <c r="B43" s="6" t="s">
        <v>144</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x14ac:dyDescent="0.35">
      <c r="B44" s="6" t="s">
        <v>132</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x14ac:dyDescent="0.35">
      <c r="B47" s="6" t="s">
        <v>145</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x14ac:dyDescent="0.35">
      <c r="B52" s="6" t="s">
        <v>55</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x14ac:dyDescent="0.35">
      <c r="B53" s="6" t="s">
        <v>56</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tabSelected="1" zoomScaleNormal="100" workbookViewId="0">
      <pane xSplit="4" ySplit="4" topLeftCell="E5" activePane="bottomRight" state="frozen"/>
      <selection pane="topRight" activeCell="B5" sqref="B5"/>
      <selection pane="bottomLeft" activeCell="B5" sqref="B5"/>
      <selection pane="bottomRight" activeCell="A2" sqref="A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c r="B2" s="2"/>
      <c r="C2" s="2"/>
    </row>
    <row r="3" spans="1:40" customFormat="1" x14ac:dyDescent="0.35">
      <c r="A3" t="s">
        <v>15</v>
      </c>
      <c r="B3" s="2"/>
      <c r="C3" s="2"/>
    </row>
    <row r="4" spans="1:40" s="12" customFormat="1" ht="16" x14ac:dyDescent="0.4">
      <c r="B4" s="3"/>
      <c r="C4" s="3" t="s">
        <v>137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139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x14ac:dyDescent="0.35">
      <c r="B15" s="5" t="s">
        <v>100</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x14ac:dyDescent="0.35">
      <c r="B17" s="5" t="s">
        <v>104</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x14ac:dyDescent="0.35">
      <c r="B18" s="5" t="s">
        <v>106</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x14ac:dyDescent="0.35">
      <c r="B20" s="8" t="s">
        <v>110</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x14ac:dyDescent="0.35">
      <c r="B21" s="8" t="s">
        <v>112</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140</v>
      </c>
      <c r="C23" s="32"/>
      <c r="D23" s="16"/>
      <c r="E23" s="20">
        <f t="shared" ref="E23:AN23" si="140">SUM(E22, E21, E20 + E19)</f>
        <v>800</v>
      </c>
      <c r="F23" s="20">
        <f t="shared" ref="F23:AM23" si="141">SUM(F22, F21, F20 + F19)</f>
        <v>840</v>
      </c>
      <c r="G23" s="20">
        <f t="shared" si="141"/>
        <v>882</v>
      </c>
      <c r="H23" s="20">
        <f t="shared" si="141"/>
        <v>926.1</v>
      </c>
      <c r="I23" s="20">
        <f t="shared" si="141"/>
        <v>972.40500000000009</v>
      </c>
      <c r="J23" s="20">
        <f t="shared" si="141"/>
        <v>1021.0252500000001</v>
      </c>
      <c r="K23" s="20">
        <f t="shared" si="141"/>
        <v>1072.0765125000003</v>
      </c>
      <c r="L23" s="20">
        <f t="shared" si="141"/>
        <v>1125.6803381250004</v>
      </c>
      <c r="M23" s="20">
        <f t="shared" si="141"/>
        <v>1181.9643550312505</v>
      </c>
      <c r="N23" s="20">
        <f t="shared" si="141"/>
        <v>1241.062572782813</v>
      </c>
      <c r="O23" s="20">
        <f t="shared" si="141"/>
        <v>1303.1157014219536</v>
      </c>
      <c r="P23" s="20">
        <f t="shared" si="141"/>
        <v>1368.2714864930515</v>
      </c>
      <c r="Q23" s="20">
        <f t="shared" si="141"/>
        <v>1436.6850608177042</v>
      </c>
      <c r="R23" s="20">
        <f t="shared" si="141"/>
        <v>1508.5193138585894</v>
      </c>
      <c r="S23" s="20">
        <f t="shared" si="141"/>
        <v>1583.945279551519</v>
      </c>
      <c r="T23" s="20">
        <f t="shared" si="141"/>
        <v>1663.1425435290951</v>
      </c>
      <c r="U23" s="20">
        <f t="shared" si="141"/>
        <v>1746.2996707055499</v>
      </c>
      <c r="V23" s="20">
        <f t="shared" si="141"/>
        <v>1833.6146542408276</v>
      </c>
      <c r="W23" s="20">
        <f t="shared" si="141"/>
        <v>1925.295386952869</v>
      </c>
      <c r="X23" s="20">
        <f t="shared" si="141"/>
        <v>2021.5601563005125</v>
      </c>
      <c r="Y23" s="20">
        <f t="shared" si="141"/>
        <v>2122.6381641155381</v>
      </c>
      <c r="Z23" s="20">
        <f t="shared" si="141"/>
        <v>2228.7700723213152</v>
      </c>
      <c r="AA23" s="20">
        <f t="shared" si="141"/>
        <v>2340.2085759373808</v>
      </c>
      <c r="AB23" s="20">
        <f t="shared" si="141"/>
        <v>2457.2190047342501</v>
      </c>
      <c r="AC23" s="20">
        <f t="shared" si="141"/>
        <v>2580.0799549709627</v>
      </c>
      <c r="AD23" s="20">
        <f t="shared" si="141"/>
        <v>2709.0839527195108</v>
      </c>
      <c r="AE23" s="20">
        <f t="shared" si="141"/>
        <v>2844.5381503554863</v>
      </c>
      <c r="AF23" s="20">
        <f t="shared" si="141"/>
        <v>2986.765057873261</v>
      </c>
      <c r="AG23" s="20">
        <f t="shared" si="141"/>
        <v>3136.1033107669241</v>
      </c>
      <c r="AH23" s="20">
        <f t="shared" si="141"/>
        <v>3292.9084763052706</v>
      </c>
      <c r="AI23" s="20">
        <f t="shared" si="141"/>
        <v>3457.5539001205343</v>
      </c>
      <c r="AJ23" s="20">
        <f t="shared" si="141"/>
        <v>3630.4315951265612</v>
      </c>
      <c r="AK23" s="20">
        <f t="shared" si="141"/>
        <v>3811.9531748828895</v>
      </c>
      <c r="AL23" s="20">
        <f t="shared" si="141"/>
        <v>4002.5508336270341</v>
      </c>
      <c r="AM23" s="20">
        <f t="shared" si="141"/>
        <v>4202.6783753083855</v>
      </c>
      <c r="AN23" s="20">
        <f t="shared" si="140"/>
        <v>4412.8122940738049</v>
      </c>
    </row>
    <row r="24" spans="2:40" s="22" customFormat="1" ht="21" customHeight="1" x14ac:dyDescent="0.35">
      <c r="B24" s="7" t="s">
        <v>116</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5">
      <c r="B25" s="8" t="s">
        <v>117</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x14ac:dyDescent="0.35">
      <c r="B29" s="7" t="s">
        <v>141</v>
      </c>
      <c r="C29" s="32"/>
      <c r="D29" s="16"/>
      <c r="E29" s="20">
        <f t="shared" ref="E29:AN29" si="211">SUM(E28, E27, E26, E25 + E24)</f>
        <v>2000</v>
      </c>
      <c r="F29" s="20">
        <f t="shared" ref="F29:AM29" si="212">SUM(F28, F27, F26, F25 + F24)</f>
        <v>2100</v>
      </c>
      <c r="G29" s="20">
        <f t="shared" si="212"/>
        <v>2205</v>
      </c>
      <c r="H29" s="20">
        <f t="shared" si="212"/>
        <v>2315.25</v>
      </c>
      <c r="I29" s="20">
        <f t="shared" si="212"/>
        <v>2431.0125000000003</v>
      </c>
      <c r="J29" s="20">
        <f t="shared" si="212"/>
        <v>2552.5631250000006</v>
      </c>
      <c r="K29" s="20">
        <f t="shared" si="212"/>
        <v>2680.1912812500009</v>
      </c>
      <c r="L29" s="20">
        <f t="shared" si="212"/>
        <v>2814.2008453125009</v>
      </c>
      <c r="M29" s="20">
        <f t="shared" si="212"/>
        <v>2954.9108875781262</v>
      </c>
      <c r="N29" s="20">
        <f t="shared" si="212"/>
        <v>3102.6564319570325</v>
      </c>
      <c r="O29" s="20">
        <f t="shared" si="212"/>
        <v>3257.7892535548845</v>
      </c>
      <c r="P29" s="20">
        <f t="shared" si="212"/>
        <v>3420.6787162326286</v>
      </c>
      <c r="Q29" s="20">
        <f t="shared" si="212"/>
        <v>3591.7126520442603</v>
      </c>
      <c r="R29" s="20">
        <f t="shared" si="212"/>
        <v>3771.2982846464733</v>
      </c>
      <c r="S29" s="20">
        <f t="shared" si="212"/>
        <v>3959.863198878797</v>
      </c>
      <c r="T29" s="20">
        <f t="shared" si="212"/>
        <v>4157.8563588227371</v>
      </c>
      <c r="U29" s="20">
        <f t="shared" si="212"/>
        <v>4365.7491767638739</v>
      </c>
      <c r="V29" s="20">
        <f t="shared" si="212"/>
        <v>4584.0366356020677</v>
      </c>
      <c r="W29" s="20">
        <f t="shared" si="212"/>
        <v>4813.2384673821716</v>
      </c>
      <c r="X29" s="20">
        <f t="shared" si="212"/>
        <v>5053.9003907512806</v>
      </c>
      <c r="Y29" s="20">
        <f t="shared" si="212"/>
        <v>5306.5954102888445</v>
      </c>
      <c r="Z29" s="20">
        <f t="shared" si="212"/>
        <v>5571.9251808032868</v>
      </c>
      <c r="AA29" s="20">
        <f t="shared" si="212"/>
        <v>5850.5214398434518</v>
      </c>
      <c r="AB29" s="20">
        <f t="shared" si="212"/>
        <v>6143.0475118356244</v>
      </c>
      <c r="AC29" s="20">
        <f t="shared" si="212"/>
        <v>6450.1998874274059</v>
      </c>
      <c r="AD29" s="20">
        <f t="shared" si="212"/>
        <v>6772.7098817987762</v>
      </c>
      <c r="AE29" s="20">
        <f t="shared" si="212"/>
        <v>7111.3453758887154</v>
      </c>
      <c r="AF29" s="20">
        <f t="shared" si="212"/>
        <v>7466.9126446831515</v>
      </c>
      <c r="AG29" s="20">
        <f t="shared" si="212"/>
        <v>7840.2582769173096</v>
      </c>
      <c r="AH29" s="20">
        <f t="shared" si="212"/>
        <v>8232.2711907631747</v>
      </c>
      <c r="AI29" s="20">
        <f t="shared" si="212"/>
        <v>8643.884750301333</v>
      </c>
      <c r="AJ29" s="20">
        <f t="shared" si="212"/>
        <v>9076.0789878163996</v>
      </c>
      <c r="AK29" s="20">
        <f t="shared" si="212"/>
        <v>9529.8829372072196</v>
      </c>
      <c r="AL29" s="20">
        <f t="shared" si="212"/>
        <v>10006.377084067581</v>
      </c>
      <c r="AM29" s="20">
        <f t="shared" si="212"/>
        <v>10506.695938270959</v>
      </c>
      <c r="AN29" s="20">
        <f t="shared" si="211"/>
        <v>11032.030735184508</v>
      </c>
    </row>
    <row r="30" spans="2:40" s="22" customFormat="1" ht="21" customHeight="1" x14ac:dyDescent="0.35">
      <c r="B30" s="7" t="s">
        <v>121</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x14ac:dyDescent="0.35">
      <c r="B31" s="8" t="s">
        <v>122</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x14ac:dyDescent="0.35">
      <c r="B32" s="8" t="s">
        <v>123</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x14ac:dyDescent="0.35">
      <c r="B33" s="8" t="s">
        <v>124</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x14ac:dyDescent="0.35">
      <c r="B34" s="8" t="s">
        <v>125</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x14ac:dyDescent="0.35">
      <c r="B35" s="8" t="s">
        <v>126</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x14ac:dyDescent="0.35">
      <c r="B36" s="7" t="s">
        <v>142</v>
      </c>
      <c r="C36" s="32"/>
      <c r="D36" s="16"/>
      <c r="E36" s="20">
        <f t="shared" ref="E36:AN36" si="249">SUM(E35, E34, E33, E32, E31 + E30)</f>
        <v>13597.875</v>
      </c>
      <c r="F36" s="20">
        <f t="shared" ref="F36:AM36" si="250">SUM(F35, F34, F33, F32, F31 + F30)</f>
        <v>13933.518749999999</v>
      </c>
      <c r="G36" s="20">
        <f t="shared" si="250"/>
        <v>14630.194687499999</v>
      </c>
      <c r="H36" s="20">
        <f t="shared" si="250"/>
        <v>12198.907546875002</v>
      </c>
      <c r="I36" s="20">
        <f t="shared" si="250"/>
        <v>12808.852924218751</v>
      </c>
      <c r="J36" s="20">
        <f t="shared" si="250"/>
        <v>13449.295570429689</v>
      </c>
      <c r="K36" s="20">
        <f t="shared" si="250"/>
        <v>13770.272406638675</v>
      </c>
      <c r="L36" s="20">
        <f t="shared" si="250"/>
        <v>14458.786026970607</v>
      </c>
      <c r="M36" s="20">
        <f t="shared" si="250"/>
        <v>14835.729385105271</v>
      </c>
      <c r="N36" s="20">
        <f t="shared" si="250"/>
        <v>12348.220384364442</v>
      </c>
      <c r="O36" s="20">
        <f t="shared" si="250"/>
        <v>12965.631403582665</v>
      </c>
      <c r="P36" s="20">
        <f t="shared" si="250"/>
        <v>13613.912973761799</v>
      </c>
      <c r="Q36" s="20">
        <f t="shared" si="250"/>
        <v>14294.608622449887</v>
      </c>
      <c r="R36" s="20">
        <f t="shared" si="250"/>
        <v>15009.339053572385</v>
      </c>
      <c r="S36" s="20">
        <f t="shared" si="250"/>
        <v>15759.806006251005</v>
      </c>
      <c r="T36" s="20">
        <f t="shared" si="250"/>
        <v>16158.315476216691</v>
      </c>
      <c r="U36" s="20">
        <f t="shared" si="250"/>
        <v>16601.092971577338</v>
      </c>
      <c r="V36" s="20">
        <f t="shared" si="250"/>
        <v>13795.993203585471</v>
      </c>
      <c r="W36" s="20">
        <f t="shared" si="250"/>
        <v>11577.669330508157</v>
      </c>
      <c r="X36" s="20">
        <f t="shared" si="250"/>
        <v>12156.552797033566</v>
      </c>
      <c r="Y36" s="20">
        <f t="shared" si="250"/>
        <v>12764.380436885243</v>
      </c>
      <c r="Z36" s="20">
        <f t="shared" si="250"/>
        <v>12696.913162012506</v>
      </c>
      <c r="AA36" s="20">
        <f t="shared" si="250"/>
        <v>13331.758820113133</v>
      </c>
      <c r="AB36" s="20">
        <f t="shared" si="250"/>
        <v>13998.34676111879</v>
      </c>
      <c r="AC36" s="20">
        <f t="shared" si="250"/>
        <v>11728.996541600538</v>
      </c>
      <c r="AD36" s="20">
        <f t="shared" si="250"/>
        <v>12315.446368680565</v>
      </c>
      <c r="AE36" s="20">
        <f t="shared" si="250"/>
        <v>12931.218687114593</v>
      </c>
      <c r="AF36" s="20">
        <f t="shared" si="250"/>
        <v>13577.779621470323</v>
      </c>
      <c r="AG36" s="20">
        <f t="shared" si="250"/>
        <v>14256.668602543841</v>
      </c>
      <c r="AH36" s="20">
        <f t="shared" si="250"/>
        <v>14969.502032671035</v>
      </c>
      <c r="AI36" s="20">
        <f t="shared" si="250"/>
        <v>12686.279984015506</v>
      </c>
      <c r="AJ36" s="20">
        <f t="shared" si="250"/>
        <v>13320.593983216282</v>
      </c>
      <c r="AK36" s="20">
        <f t="shared" si="250"/>
        <v>13986.623682377098</v>
      </c>
      <c r="AL36" s="20">
        <f t="shared" si="250"/>
        <v>14685.954866495953</v>
      </c>
      <c r="AM36" s="20">
        <f t="shared" si="250"/>
        <v>15420.252609820751</v>
      </c>
      <c r="AN36" s="20">
        <f t="shared" si="249"/>
        <v>16191.26524031179</v>
      </c>
    </row>
    <row r="37" spans="2:40" s="18" customFormat="1" ht="21" customHeight="1" x14ac:dyDescent="0.35">
      <c r="B37" s="8" t="s">
        <v>127</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x14ac:dyDescent="0.35">
      <c r="B39" s="8" t="s">
        <v>129</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x14ac:dyDescent="0.35">
      <c r="B40" s="8" t="s">
        <v>130</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x14ac:dyDescent="0.35">
      <c r="B41" s="8" t="s">
        <v>131</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61" customFormat="1" ht="21" customHeight="1" x14ac:dyDescent="0.35">
      <c r="B42" s="44" t="s">
        <v>143</v>
      </c>
      <c r="C42" s="44"/>
      <c r="D42" s="45"/>
      <c r="E42" s="60">
        <f t="shared" ref="E42" si="286">SUM(E41, E40, E39 + E38)</f>
        <v>1700</v>
      </c>
      <c r="F42" s="60">
        <f t="shared" si="251"/>
        <v>1700</v>
      </c>
      <c r="G42" s="60">
        <f t="shared" si="252"/>
        <v>1700</v>
      </c>
      <c r="H42" s="60">
        <f t="shared" si="253"/>
        <v>1700</v>
      </c>
      <c r="I42" s="60">
        <f t="shared" si="254"/>
        <v>1700</v>
      </c>
      <c r="J42" s="60">
        <f t="shared" si="255"/>
        <v>1700</v>
      </c>
      <c r="K42" s="60">
        <f t="shared" si="256"/>
        <v>1700</v>
      </c>
      <c r="L42" s="60">
        <f t="shared" si="257"/>
        <v>1700</v>
      </c>
      <c r="M42" s="60">
        <f t="shared" si="258"/>
        <v>1700</v>
      </c>
      <c r="N42" s="60">
        <f t="shared" si="259"/>
        <v>1700</v>
      </c>
      <c r="O42" s="60">
        <f t="shared" si="260"/>
        <v>1700</v>
      </c>
      <c r="P42" s="60">
        <f t="shared" si="261"/>
        <v>1700</v>
      </c>
      <c r="Q42" s="60">
        <f t="shared" si="262"/>
        <v>1700</v>
      </c>
      <c r="R42" s="60">
        <f t="shared" si="263"/>
        <v>1700</v>
      </c>
      <c r="S42" s="60">
        <f t="shared" si="264"/>
        <v>1700</v>
      </c>
      <c r="T42" s="60">
        <f t="shared" si="265"/>
        <v>1700</v>
      </c>
      <c r="U42" s="60">
        <f t="shared" si="266"/>
        <v>1700</v>
      </c>
      <c r="V42" s="60">
        <f t="shared" si="267"/>
        <v>1700</v>
      </c>
      <c r="W42" s="60">
        <f t="shared" si="268"/>
        <v>1700</v>
      </c>
      <c r="X42" s="60">
        <f t="shared" si="269"/>
        <v>1700</v>
      </c>
      <c r="Y42" s="60">
        <f t="shared" si="270"/>
        <v>1700</v>
      </c>
      <c r="Z42" s="60">
        <f t="shared" si="271"/>
        <v>1700</v>
      </c>
      <c r="AA42" s="60">
        <f t="shared" si="272"/>
        <v>1700</v>
      </c>
      <c r="AB42" s="60">
        <f t="shared" si="273"/>
        <v>1700</v>
      </c>
      <c r="AC42" s="60">
        <f t="shared" si="274"/>
        <v>1700</v>
      </c>
      <c r="AD42" s="60">
        <f t="shared" si="275"/>
        <v>1700</v>
      </c>
      <c r="AE42" s="60">
        <f t="shared" si="276"/>
        <v>1700</v>
      </c>
      <c r="AF42" s="60">
        <f t="shared" si="277"/>
        <v>1700</v>
      </c>
      <c r="AG42" s="60">
        <f t="shared" si="278"/>
        <v>1700</v>
      </c>
      <c r="AH42" s="60">
        <f t="shared" si="279"/>
        <v>1700</v>
      </c>
      <c r="AI42" s="60">
        <f t="shared" si="280"/>
        <v>1700</v>
      </c>
      <c r="AJ42" s="60">
        <f t="shared" si="281"/>
        <v>1700</v>
      </c>
      <c r="AK42" s="60">
        <f t="shared" si="282"/>
        <v>1700</v>
      </c>
      <c r="AL42" s="60">
        <f t="shared" si="283"/>
        <v>1700</v>
      </c>
      <c r="AM42" s="60">
        <f t="shared" si="284"/>
        <v>1700</v>
      </c>
      <c r="AN42" s="60">
        <f t="shared" si="285"/>
        <v>1700</v>
      </c>
    </row>
    <row r="43" spans="2:40" s="18" customFormat="1" ht="21" customHeight="1" x14ac:dyDescent="0.35">
      <c r="B43" s="6" t="s">
        <v>144</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x14ac:dyDescent="0.35">
      <c r="B44" s="6" t="s">
        <v>132</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x14ac:dyDescent="0.35">
      <c r="B47" s="6" t="s">
        <v>145</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146</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x14ac:dyDescent="0.35">
      <c r="B52" s="6" t="s">
        <v>55</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x14ac:dyDescent="0.35">
      <c r="B53" s="6" t="s">
        <v>56</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147</v>
      </c>
      <c r="NSC272" s="9">
        <v>79</v>
      </c>
      <c r="NSE272" s="9" t="s">
        <v>147</v>
      </c>
      <c r="NTO272" s="25"/>
      <c r="NTQ272" s="9" t="s">
        <v>147</v>
      </c>
    </row>
    <row r="273" spans="9946:10001" s="9" customFormat="1" ht="21" customHeight="1" x14ac:dyDescent="0.35">
      <c r="NRN273" s="9" t="s">
        <v>147</v>
      </c>
      <c r="NSC273" s="9">
        <v>80</v>
      </c>
      <c r="NSE273" s="9" t="s">
        <v>147</v>
      </c>
      <c r="NTO273" s="25"/>
      <c r="NTQ273" s="9" t="s">
        <v>147</v>
      </c>
    </row>
    <row r="274" spans="9946:10001" s="9" customFormat="1" ht="21" customHeight="1" x14ac:dyDescent="0.35">
      <c r="NRN274" s="9" t="s">
        <v>147</v>
      </c>
      <c r="NSC274" s="9">
        <v>81</v>
      </c>
      <c r="NSE274" s="9" t="s">
        <v>147</v>
      </c>
      <c r="NTO274" s="25"/>
      <c r="NTQ274" s="9" t="s">
        <v>147</v>
      </c>
    </row>
    <row r="275" spans="9946:10001" s="9" customFormat="1" ht="21" customHeight="1" x14ac:dyDescent="0.35">
      <c r="NRN275" s="9" t="s">
        <v>147</v>
      </c>
      <c r="NSC275" s="9">
        <v>82</v>
      </c>
      <c r="NSE275" s="9" t="s">
        <v>147</v>
      </c>
      <c r="NTO275" s="25"/>
      <c r="NTQ275" s="9" t="s">
        <v>147</v>
      </c>
    </row>
    <row r="276" spans="9946:10001" s="9" customFormat="1" ht="21" customHeight="1" x14ac:dyDescent="0.35">
      <c r="NRN276" s="9" t="s">
        <v>147</v>
      </c>
      <c r="NSC276" s="9">
        <v>83</v>
      </c>
      <c r="NSE276" s="9" t="s">
        <v>147</v>
      </c>
      <c r="NTO276" s="25">
        <v>74</v>
      </c>
      <c r="NTQ276" s="9" t="s">
        <v>147</v>
      </c>
    </row>
    <row r="277" spans="9946:10001" s="9" customFormat="1" ht="21" customHeight="1" x14ac:dyDescent="0.35">
      <c r="NRN277" s="9" t="s">
        <v>147</v>
      </c>
      <c r="NSC277" s="9">
        <v>84</v>
      </c>
      <c r="NSE277" s="9" t="s">
        <v>147</v>
      </c>
      <c r="NTO277" s="25">
        <v>75</v>
      </c>
      <c r="NTQ277" s="9" t="s">
        <v>147</v>
      </c>
    </row>
    <row r="278" spans="9946:10001" s="9" customFormat="1" ht="21" customHeight="1" x14ac:dyDescent="0.35">
      <c r="NSC278" s="9">
        <v>85</v>
      </c>
      <c r="NTO278" s="25">
        <v>76</v>
      </c>
    </row>
    <row r="279" spans="9946:10001" s="9" customFormat="1" ht="21" customHeight="1" x14ac:dyDescent="0.35">
      <c r="NRN279" s="9" t="s">
        <v>147</v>
      </c>
      <c r="NSC279" s="9">
        <v>86</v>
      </c>
      <c r="NSE279" s="9" t="s">
        <v>147</v>
      </c>
      <c r="NTO279" s="25">
        <v>77</v>
      </c>
      <c r="NTQ279" s="9" t="s">
        <v>147</v>
      </c>
    </row>
    <row r="280" spans="9946:10001" ht="21" customHeight="1" x14ac:dyDescent="0.35">
      <c r="NRN280" s="26" t="s">
        <v>147</v>
      </c>
      <c r="NSC280" s="26">
        <v>87</v>
      </c>
      <c r="NSE280" s="26" t="s">
        <v>147</v>
      </c>
      <c r="NTO280" s="25">
        <v>78</v>
      </c>
      <c r="NTQ280" s="26" t="s">
        <v>147</v>
      </c>
    </row>
    <row r="281" spans="9946:10001" ht="21" customHeight="1" x14ac:dyDescent="0.35">
      <c r="NRN281" s="26" t="s">
        <v>147</v>
      </c>
      <c r="NSC281" s="26">
        <v>88</v>
      </c>
      <c r="NSE281" s="26" t="s">
        <v>147</v>
      </c>
      <c r="NTO281" s="25">
        <v>79</v>
      </c>
      <c r="NTQ281" s="26" t="s">
        <v>147</v>
      </c>
    </row>
    <row r="282" spans="9946:10001" ht="21" customHeight="1" x14ac:dyDescent="0.35">
      <c r="NRN282" s="26" t="s">
        <v>147</v>
      </c>
      <c r="NSC282" s="26">
        <v>89</v>
      </c>
      <c r="NSE282" s="26" t="s">
        <v>147</v>
      </c>
      <c r="NTO282" s="25">
        <v>80</v>
      </c>
      <c r="NTQ282" s="26" t="s">
        <v>147</v>
      </c>
    </row>
    <row r="283" spans="9946:10001" ht="21" customHeight="1" x14ac:dyDescent="0.35">
      <c r="NRN283" s="26" t="s">
        <v>147</v>
      </c>
      <c r="NSC283" s="26">
        <v>90</v>
      </c>
      <c r="NSE283" s="26" t="s">
        <v>147</v>
      </c>
      <c r="NTO283" s="25">
        <v>81</v>
      </c>
      <c r="NTQ283" s="26" t="s">
        <v>147</v>
      </c>
    </row>
    <row r="284" spans="9946:10001" ht="21" customHeight="1" x14ac:dyDescent="0.35">
      <c r="NRN284" s="26" t="s">
        <v>148</v>
      </c>
      <c r="NSC284" s="26">
        <v>91</v>
      </c>
      <c r="NSE284" s="26" t="s">
        <v>148</v>
      </c>
      <c r="NTO284" s="25">
        <v>82</v>
      </c>
      <c r="NTQ284" s="26" t="s">
        <v>148</v>
      </c>
    </row>
    <row r="285" spans="9946:10001" ht="21" customHeight="1" x14ac:dyDescent="0.35">
      <c r="NSC285" s="26">
        <v>92</v>
      </c>
      <c r="NTO285" s="25">
        <v>83</v>
      </c>
    </row>
    <row r="286" spans="9946:10001" ht="21" customHeight="1" x14ac:dyDescent="0.35">
      <c r="NRN286" s="26" t="s">
        <v>147</v>
      </c>
      <c r="NSC286" s="26">
        <v>93</v>
      </c>
      <c r="NSE286" s="26" t="s">
        <v>147</v>
      </c>
      <c r="NTO286" s="25">
        <v>84</v>
      </c>
      <c r="NTQ286" s="26" t="s">
        <v>147</v>
      </c>
    </row>
    <row r="287" spans="9946:10001" ht="21" customHeight="1" x14ac:dyDescent="0.35">
      <c r="NRN287" s="26" t="s">
        <v>147</v>
      </c>
      <c r="NSC287" s="26">
        <v>94</v>
      </c>
      <c r="NSE287" s="26" t="s">
        <v>147</v>
      </c>
      <c r="NTO287" s="25">
        <v>85</v>
      </c>
      <c r="NTQ287" s="26" t="s">
        <v>147</v>
      </c>
    </row>
    <row r="288" spans="9946:10001" ht="21" customHeight="1" x14ac:dyDescent="0.35">
      <c r="NRN288" s="26" t="s">
        <v>147</v>
      </c>
      <c r="NSE288" s="26" t="s">
        <v>147</v>
      </c>
      <c r="NTO288" s="25">
        <v>86</v>
      </c>
      <c r="NTQ288" s="26" t="s">
        <v>147</v>
      </c>
    </row>
    <row r="289" spans="9946:10001" ht="21" customHeight="1" x14ac:dyDescent="0.35">
      <c r="NRN289" s="26" t="s">
        <v>147</v>
      </c>
      <c r="NSE289" s="26" t="s">
        <v>147</v>
      </c>
      <c r="NTO289" s="25">
        <v>87</v>
      </c>
      <c r="NTQ289" s="26" t="s">
        <v>147</v>
      </c>
    </row>
    <row r="290" spans="9946:10001" ht="21" customHeight="1" x14ac:dyDescent="0.35">
      <c r="NRN290" s="26" t="s">
        <v>148</v>
      </c>
      <c r="NSE290" s="26" t="s">
        <v>148</v>
      </c>
      <c r="NTO290" s="25">
        <v>88</v>
      </c>
      <c r="NTQ290" s="26" t="s">
        <v>148</v>
      </c>
    </row>
    <row r="291" spans="9946:10001" ht="21" customHeight="1" x14ac:dyDescent="0.35">
      <c r="NRN291" s="26" t="s">
        <v>147</v>
      </c>
      <c r="NSE291" s="26" t="s">
        <v>147</v>
      </c>
      <c r="NTO291" s="25">
        <v>89</v>
      </c>
      <c r="NTQ291" s="26" t="s">
        <v>147</v>
      </c>
    </row>
    <row r="292" spans="9946:10001" ht="21" customHeight="1" x14ac:dyDescent="0.35">
      <c r="NRN292" s="26" t="s">
        <v>147</v>
      </c>
      <c r="NSE292" s="26" t="s">
        <v>147</v>
      </c>
      <c r="NTO292" s="25">
        <v>90</v>
      </c>
      <c r="NTQ292" s="26" t="s">
        <v>147</v>
      </c>
    </row>
    <row r="293" spans="9946:10001" ht="21" customHeight="1" x14ac:dyDescent="0.35">
      <c r="NRN293" s="26" t="s">
        <v>147</v>
      </c>
      <c r="NSE293" s="26" t="s">
        <v>147</v>
      </c>
      <c r="NTO293" s="25">
        <v>91</v>
      </c>
      <c r="NTQ293" s="26" t="s">
        <v>147</v>
      </c>
    </row>
    <row r="294" spans="9946:10001" ht="21" customHeight="1" x14ac:dyDescent="0.35">
      <c r="NTO294" s="25">
        <v>92</v>
      </c>
    </row>
    <row r="295" spans="9946:10001" ht="21" customHeight="1" x14ac:dyDescent="0.35">
      <c r="NRN295" s="26" t="s">
        <v>147</v>
      </c>
      <c r="NSE295" s="26" t="s">
        <v>147</v>
      </c>
      <c r="NTO295" s="25">
        <v>93</v>
      </c>
      <c r="NTQ295" s="26" t="s">
        <v>147</v>
      </c>
    </row>
    <row r="296" spans="9946:10001" ht="21" customHeight="1" x14ac:dyDescent="0.35">
      <c r="NSE296" s="26" t="s">
        <v>147</v>
      </c>
      <c r="NTO296" s="25">
        <v>94</v>
      </c>
      <c r="NTQ296" s="26" t="s">
        <v>147</v>
      </c>
    </row>
    <row r="297" spans="9946:10001" ht="21" customHeight="1" x14ac:dyDescent="0.35">
      <c r="NSE297" s="26" t="s">
        <v>148</v>
      </c>
      <c r="NTO297" s="25">
        <v>95</v>
      </c>
      <c r="NTQ297" s="26" t="s">
        <v>148</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mso-contentType ?>
<FormTemplates xmlns="http://schemas.microsoft.com/sharepoint/v3/contenttype/forms">
  <Display>DocumentLibraryForm</Display>
  <Edit>DocumentLibraryForm</Edit>
  <New>DocumentLibraryForm</New>
</FormTemplates>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6" ma:contentTypeDescription="Create a new document." ma:contentTypeScope="" ma:versionID="8f4462d3bb4f37f5719cdd43c435f41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26bc543e6a054a3812c17b0f5a8fdeb2"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193.xml>��
</file>

<file path=customXml/item194.xml>��
</file>

<file path=customXml/itemProps1.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2.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3.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4.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5.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6.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7.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8.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9.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10.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11.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2.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3.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14.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15.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16.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7.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18.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19.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20.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21.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22.xml><?xml version="1.0" encoding="utf-8"?>
<ds:datastoreItem xmlns:ds="http://schemas.openxmlformats.org/officeDocument/2006/customXml" ds:itemID="{4ADE2732-7390-40C5-96CA-E674B1CE8CCF}">
  <ds:schemaRefs>
    <ds:schemaRef ds:uri="http://gemini/pivotcustomization/ErrorCache"/>
  </ds:schemaRefs>
</ds:datastoreItem>
</file>

<file path=customXml/itemProps23.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24.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25.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26.xml><?xml version="1.0" encoding="utf-8"?>
<ds:datastoreItem xmlns:ds="http://schemas.openxmlformats.org/officeDocument/2006/customXml" ds:itemID="{E29D4421-571D-4730-9B62-FF779760FB34}">
  <ds:schemaRefs>
    <ds:schemaRef ds:uri="http://gemini/pivotcustomization/TableXML_Departmental Profit Loss_72469cf3-d374-4c6c-8d3f-44e6e4c89a0c"/>
  </ds:schemaRefs>
</ds:datastoreItem>
</file>

<file path=customXml/itemProps27.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28.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29.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30.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31.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32.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33.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34.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customXml/itemProps35.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36.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37.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38.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39.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40.xml><?xml version="1.0" encoding="utf-8"?>
<ds:datastoreItem xmlns:ds="http://schemas.openxmlformats.org/officeDocument/2006/customXml" ds:itemID="{2E45DEEB-6993-40CD-9E62-238B4EFD1207}">
  <ds:schemaRefs>
    <ds:schemaRef ds:uri="http://gemini/pivotcustomization/TableXML_Mappings"/>
  </ds:schemaRefs>
</ds:datastoreItem>
</file>

<file path=customXml/itemProps41.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42.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43.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44.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45.xml><?xml version="1.0" encoding="utf-8"?>
<ds:datastoreItem xmlns:ds="http://schemas.openxmlformats.org/officeDocument/2006/customXml" ds:itemID="{46186A00-BCAF-4241-BEF0-9E39CE62FCA2}">
  <ds:schemaRefs>
    <ds:schemaRef ds:uri="http://gemini/pivotcustomization/TableXML_Departmental Profit Loss_Budget_5725de27-a7a3-4ab3-b0ba-d0f172ac636f"/>
  </ds:schemaRefs>
</ds:datastoreItem>
</file>

<file path=customXml/itemProps46.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47.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48.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49.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50.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51.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52.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53.xml><?xml version="1.0" encoding="utf-8"?>
<ds:datastoreItem xmlns:ds="http://schemas.openxmlformats.org/officeDocument/2006/customXml" ds:itemID="{2472BFD8-8D25-4034-A3A1-C8A2BF6E0580}">
  <ds:schemaRefs>
    <ds:schemaRef ds:uri="http://gemini/pivotcustomization/FormulaBarState"/>
  </ds:schemaRefs>
</ds:datastoreItem>
</file>

<file path=customXml/itemProps54.xml><?xml version="1.0" encoding="utf-8"?>
<ds:datastoreItem xmlns:ds="http://schemas.openxmlformats.org/officeDocument/2006/customXml" ds:itemID="{DC2D0B0E-7D8A-4BDA-B4E2-6AA2B42CBB78}">
  <ds:schemaRefs>
    <ds:schemaRef ds:uri="http://gemini/pivotcustomization/IsSandboxEmbedded"/>
  </ds:schemaRefs>
</ds:datastoreItem>
</file>

<file path=customXml/itemProps55.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56.xml><?xml version="1.0" encoding="utf-8"?>
<ds:datastoreItem xmlns:ds="http://schemas.openxmlformats.org/officeDocument/2006/customXml" ds:itemID="{F2D71816-839A-485C-86DA-72FAFB487904}">
  <ds:schemaRefs>
    <ds:schemaRef ds:uri="http://gemini/pivotcustomization/TableXML_Departmental Profit Loss_72469cf3-d374-4c6c-8d3f-44e6e4c89a0c"/>
  </ds:schemaRefs>
</ds:datastoreItem>
</file>

<file path=customXml/itemProps57.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58.xml><?xml version="1.0" encoding="utf-8"?>
<ds:datastoreItem xmlns:ds="http://schemas.openxmlformats.org/officeDocument/2006/customXml" ds:itemID="{08E9163D-E4EB-4DA4-B8A3-B40DDE2E6E8C}">
  <ds:schemaRefs>
    <ds:schemaRef ds:uri="http://gemini/pivotcustomization/RelationshipAutoDetectionEnabled"/>
  </ds:schemaRefs>
</ds:datastoreItem>
</file>

<file path=customXml/itemProps59.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60.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61.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62.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63.xml><?xml version="1.0" encoding="utf-8"?>
<ds:datastoreItem xmlns:ds="http://schemas.openxmlformats.org/officeDocument/2006/customXml" ds:itemID="{2A9DE62E-E9BE-4911-8B4C-A6C6CA5B982E}">
  <ds:schemaRefs>
    <ds:schemaRef ds:uri="http://gemini/pivotcustomization/aec97850-f685-4152-8549-d81eb858ae8d"/>
  </ds:schemaRefs>
</ds:datastoreItem>
</file>

<file path=customXml/itemProps64.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65.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66.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67.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customXml/itemProps68.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69.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70.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71.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72.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73.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74.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75.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76.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77.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78.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79.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80.xml><?xml version="1.0" encoding="utf-8"?>
<ds:datastoreItem xmlns:ds="http://schemas.openxmlformats.org/officeDocument/2006/customXml" ds:itemID="{B8B053B7-1A85-48C3-BD1C-01D2FAEF050B}">
  <ds:schemaRefs>
    <ds:schemaRef ds:uri="http://gemini/pivotcustomization/ClientWindowXML"/>
  </ds:schemaRefs>
</ds:datastoreItem>
</file>

<file path=customXml/itemProps81.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82.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83.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84.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85.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customXml/itemProps86.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87.xml><?xml version="1.0" encoding="utf-8"?>
<ds:datastoreItem xmlns:ds="http://schemas.openxmlformats.org/officeDocument/2006/customXml" ds:itemID="{462F312A-BCD3-4EF8-A0C9-BB857D63047A}">
  <ds:schemaRefs>
    <ds:schemaRef ds:uri="http://gemini/pivotcustomization/PowerPivotVersion"/>
  </ds:schemaRefs>
</ds:datastoreItem>
</file>

<file path=customXml/itemProps88.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89.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90.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91.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92.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93.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94.xml><?xml version="1.0" encoding="utf-8"?>
<ds:datastoreItem xmlns:ds="http://schemas.openxmlformats.org/officeDocument/2006/customXml" ds:itemID="{A114E057-9448-4CB3-8D41-0803291B98C2}">
  <ds:schemaRefs>
    <ds:schemaRef ds:uri="http://gemini/pivotcustomization/Diagrams"/>
  </ds:schemaRefs>
</ds:datastoreItem>
</file>

<file path=customXml/itemProps95.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96.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97.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98.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99.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100.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101.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102.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103.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104.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105.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106.xml><?xml version="1.0" encoding="utf-8"?>
<ds:datastoreItem xmlns:ds="http://schemas.openxmlformats.org/officeDocument/2006/customXml" ds:itemID="{0795D205-B8AE-4D0C-B50A-464C125F614F}">
  <ds:schemaRefs>
    <ds:schemaRef ds:uri="http://gemini/pivotcustomization/TableWidget"/>
  </ds:schemaRefs>
</ds:datastoreItem>
</file>

<file path=customXml/itemProps107.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customXml/itemProps108.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109.xml><?xml version="1.0" encoding="utf-8"?>
<ds:datastoreItem xmlns:ds="http://schemas.openxmlformats.org/officeDocument/2006/customXml" ds:itemID="{F8C0BC3C-9C39-49F5-836F-BE4C049151A5}">
  <ds:schemaRefs>
    <ds:schemaRef ds:uri="http://gemini/pivotcustomization/MeasureGridState"/>
  </ds:schemaRefs>
</ds:datastoreItem>
</file>

<file path=customXml/itemProps110.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111.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112.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113.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114.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115.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116.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117.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118.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119.xml><?xml version="1.0" encoding="utf-8"?>
<ds:datastoreItem xmlns:ds="http://schemas.openxmlformats.org/officeDocument/2006/customXml" ds:itemID="{66DD795A-9E42-45B5-8FDF-3EB789534AF7}">
  <ds:schemaRefs>
    <ds:schemaRef ds:uri="http://gemini/pivotcustomization/ShowHidden"/>
  </ds:schemaRefs>
</ds:datastoreItem>
</file>

<file path=customXml/itemProps120.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21.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122.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123.xml><?xml version="1.0" encoding="utf-8"?>
<ds:datastoreItem xmlns:ds="http://schemas.openxmlformats.org/officeDocument/2006/customXml" ds:itemID="{DA2A8C12-9031-426A-BBC6-06B8502B176E}">
  <ds:schemaRefs>
    <ds:schemaRef ds:uri="http://gemini/pivotcustomization/a812b2fa-4435-4478-879d-ecfbe708aa72"/>
  </ds:schemaRefs>
</ds:datastoreItem>
</file>

<file path=customXml/itemProps124.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125.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126.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127.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128.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129.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130.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131.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132.xml><?xml version="1.0" encoding="utf-8"?>
<ds:datastoreItem xmlns:ds="http://schemas.openxmlformats.org/officeDocument/2006/customXml" ds:itemID="{C62AD9AA-DF53-4AAA-991D-2BAF724F0703}">
  <ds:schemaRefs>
    <ds:schemaRef ds:uri="http://gemini/pivotcustomization/TableXML_Calendar"/>
  </ds:schemaRefs>
</ds:datastoreItem>
</file>

<file path=customXml/itemProps133.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134.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135.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136.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137.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138.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139.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140.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141.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142.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143.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144.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145.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146.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147.xml><?xml version="1.0" encoding="utf-8"?>
<ds:datastoreItem xmlns:ds="http://schemas.openxmlformats.org/officeDocument/2006/customXml" ds:itemID="{3196E7FC-707B-4C81-BBEA-0390A78DB7DA}">
  <ds:schemaRefs>
    <ds:schemaRef ds:uri="http://gemini/pivotcustomization/TableXML_Departmental Profit Loss_Budget_5725de27-a7a3-4ab3-b0ba-d0f172ac636f"/>
  </ds:schemaRefs>
</ds:datastoreItem>
</file>

<file path=customXml/itemProps148.xml><?xml version="1.0" encoding="utf-8"?>
<ds:datastoreItem xmlns:ds="http://schemas.openxmlformats.org/officeDocument/2006/customXml" ds:itemID="{8A0CEE62-117E-41CA-A9F3-B8AAE7A52BEE}">
  <ds:schemaRefs>
    <ds:schemaRef ds:uri="http://gemini/pivotcustomization/f7277403-0e66-4c3a-8be7-6ebaec9c1267"/>
  </ds:schemaRefs>
</ds:datastoreItem>
</file>

<file path=customXml/itemProps149.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150.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151.xml><?xml version="1.0" encoding="utf-8"?>
<ds:datastoreItem xmlns:ds="http://schemas.openxmlformats.org/officeDocument/2006/customXml" ds:itemID="{A8610209-B98D-4345-AD8D-172CC8AC1FA6}">
  <ds:schemaRefs>
    <ds:schemaRef ds:uri="http://gemini/pivotcustomization/9944123b-d4f3-4a03-9394-8a2ac423be46"/>
  </ds:schemaRefs>
</ds:datastoreItem>
</file>

<file path=customXml/itemProps152.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153.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154.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155.xml><?xml version="1.0" encoding="utf-8"?>
<ds:datastoreItem xmlns:ds="http://schemas.openxmlformats.org/officeDocument/2006/customXml" ds:itemID="{64CF2F44-6D51-43CE-892D-645BA445BE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56.xml><?xml version="1.0" encoding="utf-8"?>
<ds:datastoreItem xmlns:ds="http://schemas.openxmlformats.org/officeDocument/2006/customXml" ds:itemID="{3B202D4E-C68E-41D5-9BBD-8425C4AAC36B}">
  <ds:schemaRefs>
    <ds:schemaRef ds:uri="http://gemini/pivotcustomization/8cf195a4-900e-44eb-bbe9-aa3bd3cdb07a"/>
  </ds:schemaRefs>
</ds:datastoreItem>
</file>

<file path=customXml/itemProps157.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158.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159.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160.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161.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162.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163.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164.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65.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166.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167.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168.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169.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170.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171.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172.xml><?xml version="1.0" encoding="utf-8"?>
<ds:datastoreItem xmlns:ds="http://schemas.openxmlformats.org/officeDocument/2006/customXml" ds:itemID="{FFD45C51-7EF8-4222-939E-C0D797BAD499}">
  <ds:schemaRefs>
    <ds:schemaRef ds:uri="http://gemini/pivotcustomization/SandboxNonEmpty"/>
  </ds:schemaRefs>
</ds:datastoreItem>
</file>

<file path=customXml/itemProps173.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174.xml><?xml version="1.0" encoding="utf-8"?>
<ds:datastoreItem xmlns:ds="http://schemas.openxmlformats.org/officeDocument/2006/customXml" ds:itemID="{DB6BB1FC-B617-494A-9748-A374E56703DE}">
  <ds:schemaRefs>
    <ds:schemaRef ds:uri="http://gemini/pivotcustomization/TableXML_Departmental Profit Loss_Budget_5725de27-a7a3-4ab3-b0ba-d0f172ac636f"/>
  </ds:schemaRefs>
</ds:datastoreItem>
</file>

<file path=customXml/itemProps175.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76.xml><?xml version="1.0" encoding="utf-8"?>
<ds:datastoreItem xmlns:ds="http://schemas.openxmlformats.org/officeDocument/2006/customXml" ds:itemID="{D22D11B3-7B04-49EE-85E1-C4493C68FCEA}">
  <ds:schemaRefs>
    <ds:schemaRef ds:uri="http://www.w3.org/XML/1998/namespace"/>
    <ds:schemaRef ds:uri="http://purl.org/dc/dcmitype/"/>
    <ds:schemaRef ds:uri="http://purl.org/dc/terms/"/>
    <ds:schemaRef ds:uri="0d1267e8-2087-4430-8898-7e1d16711490"/>
    <ds:schemaRef ds:uri="http://purl.org/dc/elements/1.1/"/>
    <ds:schemaRef ds:uri="http://schemas.microsoft.com/office/2006/documentManagement/types"/>
    <ds:schemaRef ds:uri="http://schemas.openxmlformats.org/package/2006/metadata/core-properties"/>
    <ds:schemaRef ds:uri="http://schemas.microsoft.com/office/infopath/2007/PartnerControls"/>
    <ds:schemaRef ds:uri="16457750-3f8d-456e-a162-25cda7a13520"/>
    <ds:schemaRef ds:uri="http://schemas.microsoft.com/office/2006/metadata/properties"/>
  </ds:schemaRefs>
</ds:datastoreItem>
</file>

<file path=customXml/itemProps177.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178.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179.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180.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181.xml><?xml version="1.0" encoding="utf-8"?>
<ds:datastoreItem xmlns:ds="http://schemas.openxmlformats.org/officeDocument/2006/customXml" ds:itemID="{70D9BA1F-5C70-4C4D-9C90-3B09F721EB46}">
  <ds:schemaRefs>
    <ds:schemaRef ds:uri="http://gemini/pivotcustomization/TableXML_Departmental Profit Loss_Budget_5725de27-a7a3-4ab3-b0ba-d0f172ac636f"/>
  </ds:schemaRefs>
</ds:datastoreItem>
</file>

<file path=customXml/itemProps182.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183.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184.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185.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186.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187.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88.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189.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190.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191.xml><?xml version="1.0" encoding="utf-8"?>
<ds:datastoreItem xmlns:ds="http://schemas.openxmlformats.org/officeDocument/2006/customXml" ds:itemID="{A607B93C-2453-495B-935D-A12DF1BA31D2}">
  <ds:schemaRefs>
    <ds:schemaRef ds:uri="http://gemini/pivotcustomization/TableOrder"/>
  </ds:schemaRefs>
</ds:datastoreItem>
</file>

<file path=customXml/itemProps192.xml><?xml version="1.0" encoding="utf-8"?>
<ds:datastoreItem xmlns:ds="http://schemas.openxmlformats.org/officeDocument/2006/customXml" ds:itemID="{FD8F4406-7536-4D35-9924-8B75950394D7}">
  <ds:schemaRefs>
    <ds:schemaRef ds:uri="http://schemas.microsoft.com/DataMashup"/>
  </ds:schemaRefs>
</ds:datastoreItem>
</file>

<file path=customXml/itemProps193.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194.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CS_Budget!CS_Budget</vt:lpstr>
      <vt:lpstr>CurrentMonth</vt:lpstr>
      <vt:lpstr>GandA</vt:lpstr>
      <vt:lpstr>'G&amp;A_Budget'!GandA_Budget</vt:lpstr>
      <vt:lpstr>'R&amp;D'!RandD</vt:lpstr>
      <vt:lpstr>'R&amp;D_Budget'!RandD_Budget</vt:lpstr>
      <vt:lpstr>'S&amp;M'!SandM</vt:lpstr>
      <vt:lpstr>'S&amp;M_Budget'!SandM_Budget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Aharonoff</dc:creator>
  <cp:keywords/>
  <dc:description/>
  <cp:lastModifiedBy>Sorte, Pranav Narendra</cp:lastModifiedBy>
  <cp:revision/>
  <cp:lastPrinted>2025-02-20T00:25:11Z</cp:lastPrinted>
  <dcterms:created xsi:type="dcterms:W3CDTF">2024-08-09T21:14:56Z</dcterms:created>
  <dcterms:modified xsi:type="dcterms:W3CDTF">2025-02-24T17:28:32Z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