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PRANAV\Downloads\"/>
    </mc:Choice>
  </mc:AlternateContent>
  <xr:revisionPtr revIDLastSave="0" documentId="8_{908DC6D6-7C75-40F3-983B-23D410809711}" xr6:coauthVersionLast="47" xr6:coauthVersionMax="47" xr10:uidLastSave="{00000000-0000-0000-0000-000000000000}"/>
  <bookViews>
    <workbookView xWindow="-110" yWindow="-110" windowWidth="25820" windowHeight="15500" xr2:uid="{DB08A1A2-6464-4697-93BD-0B0AB46E27AE}"/>
  </bookViews>
  <sheets>
    <sheet name="CapBudgW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40" i="1" s="1"/>
  <c r="C42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C38" i="1"/>
  <c r="C61" i="1"/>
  <c r="C62" i="1" s="1"/>
  <c r="D38" i="1"/>
  <c r="D39" i="1" s="1"/>
  <c r="D20" i="1"/>
  <c r="D61" i="1"/>
  <c r="D43" i="1" s="1"/>
  <c r="D47" i="1" s="1"/>
  <c r="E38" i="1"/>
  <c r="E20" i="1"/>
  <c r="E61" i="1"/>
  <c r="E43" i="1" s="1"/>
  <c r="E47" i="1" s="1"/>
  <c r="F38" i="1"/>
  <c r="F61" i="1" s="1"/>
  <c r="F43" i="1" s="1"/>
  <c r="F47" i="1" s="1"/>
  <c r="F20" i="1"/>
  <c r="G38" i="1"/>
  <c r="G20" i="1"/>
  <c r="G61" i="1"/>
  <c r="G43" i="1"/>
  <c r="G47" i="1" s="1"/>
  <c r="H38" i="1"/>
  <c r="H20" i="1"/>
  <c r="H61" i="1"/>
  <c r="H43" i="1" s="1"/>
  <c r="H47" i="1" s="1"/>
  <c r="I38" i="1"/>
  <c r="I20" i="1"/>
  <c r="I61" i="1"/>
  <c r="I43" i="1" s="1"/>
  <c r="I47" i="1" s="1"/>
  <c r="J38" i="1"/>
  <c r="J20" i="1"/>
  <c r="J61" i="1"/>
  <c r="J43" i="1" s="1"/>
  <c r="J47" i="1" s="1"/>
  <c r="K38" i="1"/>
  <c r="K50" i="1" s="1"/>
  <c r="K20" i="1"/>
  <c r="K61" i="1"/>
  <c r="K43" i="1"/>
  <c r="K47" i="1" s="1"/>
  <c r="L38" i="1"/>
  <c r="L50" i="1" s="1"/>
  <c r="L20" i="1"/>
  <c r="L61" i="1"/>
  <c r="L43" i="1" s="1"/>
  <c r="L47" i="1" s="1"/>
  <c r="B62" i="1"/>
  <c r="C60" i="1"/>
  <c r="D60" i="1" s="1"/>
  <c r="B28" i="1"/>
  <c r="C48" i="1" s="1"/>
  <c r="C34" i="1"/>
  <c r="C35" i="1"/>
  <c r="K11" i="1"/>
  <c r="D50" i="1" s="1"/>
  <c r="D34" i="1"/>
  <c r="D35" i="1"/>
  <c r="E34" i="1"/>
  <c r="E35" i="1"/>
  <c r="F34" i="1"/>
  <c r="F35" i="1"/>
  <c r="G34" i="1"/>
  <c r="G35" i="1"/>
  <c r="H34" i="1"/>
  <c r="H35" i="1"/>
  <c r="I34" i="1"/>
  <c r="I35" i="1"/>
  <c r="J34" i="1"/>
  <c r="J35" i="1"/>
  <c r="K34" i="1"/>
  <c r="K35" i="1"/>
  <c r="L34" i="1"/>
  <c r="B25" i="1"/>
  <c r="B27" i="1" s="1"/>
  <c r="B31" i="1" s="1"/>
  <c r="B26" i="1"/>
  <c r="B29" i="1"/>
  <c r="B30" i="1"/>
  <c r="B50" i="1"/>
  <c r="E50" i="1"/>
  <c r="F50" i="1"/>
  <c r="G50" i="1"/>
  <c r="H50" i="1"/>
  <c r="I50" i="1"/>
  <c r="J50" i="1"/>
  <c r="E39" i="1" l="1"/>
  <c r="D48" i="1"/>
  <c r="D40" i="1"/>
  <c r="D42" i="1" s="1"/>
  <c r="D44" i="1" s="1"/>
  <c r="B49" i="1"/>
  <c r="B51" i="1"/>
  <c r="D62" i="1"/>
  <c r="E60" i="1"/>
  <c r="C50" i="1"/>
  <c r="C43" i="1"/>
  <c r="C47" i="1" s="1"/>
  <c r="D45" i="1" l="1"/>
  <c r="D46" i="1"/>
  <c r="D49" i="1" s="1"/>
  <c r="D51" i="1" s="1"/>
  <c r="E62" i="1"/>
  <c r="F60" i="1"/>
  <c r="C44" i="1"/>
  <c r="F39" i="1"/>
  <c r="E48" i="1"/>
  <c r="E40" i="1"/>
  <c r="E42" i="1"/>
  <c r="E44" i="1" s="1"/>
  <c r="E45" i="1" l="1"/>
  <c r="E46" i="1"/>
  <c r="E49" i="1" s="1"/>
  <c r="E51" i="1" s="1"/>
  <c r="G60" i="1"/>
  <c r="F62" i="1"/>
  <c r="F48" i="1"/>
  <c r="G39" i="1"/>
  <c r="F40" i="1"/>
  <c r="F42" i="1" s="1"/>
  <c r="F44" i="1" s="1"/>
  <c r="C45" i="1"/>
  <c r="C46" i="1"/>
  <c r="F45" i="1" l="1"/>
  <c r="F46" i="1"/>
  <c r="F49" i="1" s="1"/>
  <c r="F51" i="1" s="1"/>
  <c r="C49" i="1"/>
  <c r="H39" i="1"/>
  <c r="G40" i="1"/>
  <c r="G42" i="1" s="1"/>
  <c r="G44" i="1" s="1"/>
  <c r="G48" i="1"/>
  <c r="G62" i="1"/>
  <c r="H60" i="1"/>
  <c r="G45" i="1" l="1"/>
  <c r="G46" i="1"/>
  <c r="H62" i="1"/>
  <c r="I60" i="1"/>
  <c r="C51" i="1"/>
  <c r="I39" i="1"/>
  <c r="H40" i="1"/>
  <c r="H42" i="1"/>
  <c r="H44" i="1" s="1"/>
  <c r="H48" i="1"/>
  <c r="H45" i="1" l="1"/>
  <c r="H46" i="1" s="1"/>
  <c r="I40" i="1"/>
  <c r="I42" i="1"/>
  <c r="I44" i="1" s="1"/>
  <c r="I48" i="1"/>
  <c r="J39" i="1"/>
  <c r="I62" i="1"/>
  <c r="J60" i="1"/>
  <c r="G49" i="1"/>
  <c r="H49" i="1" l="1"/>
  <c r="H51" i="1" s="1"/>
  <c r="K60" i="1"/>
  <c r="J62" i="1"/>
  <c r="J40" i="1"/>
  <c r="J42" i="1" s="1"/>
  <c r="J44" i="1" s="1"/>
  <c r="K39" i="1"/>
  <c r="J48" i="1"/>
  <c r="G51" i="1"/>
  <c r="I45" i="1"/>
  <c r="I46" i="1"/>
  <c r="I49" i="1" s="1"/>
  <c r="I51" i="1" s="1"/>
  <c r="J45" i="1" l="1"/>
  <c r="J46" i="1" s="1"/>
  <c r="L39" i="1"/>
  <c r="K48" i="1"/>
  <c r="K40" i="1"/>
  <c r="K42" i="1"/>
  <c r="K44" i="1" s="1"/>
  <c r="L60" i="1"/>
  <c r="L62" i="1" s="1"/>
  <c r="K62" i="1"/>
  <c r="J49" i="1" l="1"/>
  <c r="K45" i="1"/>
  <c r="K46" i="1"/>
  <c r="K49" i="1" s="1"/>
  <c r="K51" i="1" s="1"/>
  <c r="L40" i="1"/>
  <c r="L42" i="1" s="1"/>
  <c r="L44" i="1" s="1"/>
  <c r="L48" i="1"/>
  <c r="L35" i="1" s="1"/>
  <c r="L45" i="1" l="1"/>
  <c r="L46" i="1"/>
  <c r="J51" i="1"/>
  <c r="L49" i="1" l="1"/>
  <c r="C56" i="1"/>
  <c r="L51" i="1" l="1"/>
  <c r="C54" i="1" s="1"/>
  <c r="C55" i="1"/>
</calcChain>
</file>

<file path=xl/sharedStrings.xml><?xml version="1.0" encoding="utf-8"?>
<sst xmlns="http://schemas.openxmlformats.org/spreadsheetml/2006/main" count="71" uniqueCount="68">
  <si>
    <t>Equity Analysis of a Project</t>
  </si>
  <si>
    <t>INPUT SHEET: USER ENTERS ALL BOLD NUMBERS</t>
  </si>
  <si>
    <t>INITIAL INVESTMENT</t>
  </si>
  <si>
    <t>CASHFLOW DETAILS</t>
  </si>
  <si>
    <t>DISCOUNT RATE</t>
  </si>
  <si>
    <t>Initial Investment=</t>
  </si>
  <si>
    <t>Revenues in  year 1=</t>
  </si>
  <si>
    <t>Approach(1:Direct;2:CAPM)=</t>
  </si>
  <si>
    <t>Opportunity cost (if any)=</t>
  </si>
  <si>
    <t>Var. Expenses as % of Rev=</t>
  </si>
  <si>
    <t>1. Discount rate =</t>
  </si>
  <si>
    <t>Lifetime of the investment</t>
  </si>
  <si>
    <t>Fixed expenses in year 1=</t>
  </si>
  <si>
    <t>2a. Beta</t>
  </si>
  <si>
    <t>Salvage Value at end of project=</t>
  </si>
  <si>
    <t>Tax rate on net income=</t>
  </si>
  <si>
    <t xml:space="preserve"> b. Riskless rate=</t>
  </si>
  <si>
    <t>Deprec. method(1:St.line;2:DDB)=</t>
  </si>
  <si>
    <t>If you do not have the breakdown of fixed and variable</t>
  </si>
  <si>
    <t xml:space="preserve"> c. Market risk premium =</t>
  </si>
  <si>
    <t>Tax Credit (if any )=</t>
  </si>
  <si>
    <t>expenses, input the entire expense as a % of revenues.</t>
  </si>
  <si>
    <t xml:space="preserve"> d. Debt Ratio =</t>
  </si>
  <si>
    <t>Other invest.(non-depreciable)=</t>
  </si>
  <si>
    <t xml:space="preserve"> e. Cost of Borrowing =</t>
  </si>
  <si>
    <t>Discount rate used=</t>
  </si>
  <si>
    <t>WORKING CAPITAL</t>
  </si>
  <si>
    <t>Initial Investment in Work. Cap=</t>
  </si>
  <si>
    <t>Working Capital as % of Rev=</t>
  </si>
  <si>
    <t>Salvageable fraction at end=</t>
  </si>
  <si>
    <t>GROWTH RATES</t>
  </si>
  <si>
    <t>Revenues</t>
  </si>
  <si>
    <t>Do not enter</t>
  </si>
  <si>
    <t>Fixed Expenses</t>
  </si>
  <si>
    <t>Default: The fixed expense growth rate is set equal to the growth rate in revenues by default.</t>
  </si>
  <si>
    <t>YEAR</t>
  </si>
  <si>
    <t>Investment</t>
  </si>
  <si>
    <t xml:space="preserve"> - Tax Credit</t>
  </si>
  <si>
    <t>Net Investment</t>
  </si>
  <si>
    <t xml:space="preserve"> + Working Cap</t>
  </si>
  <si>
    <t xml:space="preserve"> + Opp. Cost</t>
  </si>
  <si>
    <t xml:space="preserve"> + Other invest.</t>
  </si>
  <si>
    <t>Initial Investment</t>
  </si>
  <si>
    <t>SALVAGE VALUE</t>
  </si>
  <si>
    <t>Equipment</t>
  </si>
  <si>
    <t>Working Capital</t>
  </si>
  <si>
    <t>OPERATING CASHFLOWS</t>
  </si>
  <si>
    <t>Lifetime Index</t>
  </si>
  <si>
    <t xml:space="preserve"> -Var. Expenses</t>
  </si>
  <si>
    <t xml:space="preserve"> - Fixed Expenses</t>
  </si>
  <si>
    <t>EBITDA</t>
  </si>
  <si>
    <t xml:space="preserve"> - Depreciation</t>
  </si>
  <si>
    <t>EBIT</t>
  </si>
  <si>
    <t xml:space="preserve"> -Tax</t>
  </si>
  <si>
    <t>EBIT(1-t)</t>
  </si>
  <si>
    <t xml:space="preserve"> + Depreciation</t>
  </si>
  <si>
    <t xml:space="preserve"> - ∂ Work. Cap</t>
  </si>
  <si>
    <t>NATCF</t>
  </si>
  <si>
    <t>Discount Factor</t>
  </si>
  <si>
    <t>Discounted CF</t>
  </si>
  <si>
    <t>Investment Measures</t>
  </si>
  <si>
    <t>NPV =</t>
  </si>
  <si>
    <t>IRR =</t>
  </si>
  <si>
    <t>ROC =</t>
  </si>
  <si>
    <t>BOOK VALUE &amp; DEPRECIATION</t>
  </si>
  <si>
    <t>Book Value (beginning)</t>
  </si>
  <si>
    <t>Depreciation</t>
  </si>
  <si>
    <t>BV(ending)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</si>
</sst>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"/>
  </numFmts>
  <fonts count="9">
    <font>
      <sz val="10"/>
      <name val="Geneva"/>
    </font>
    <font>
      <i/>
      <sz val="10"/>
      <name val="Geneva"/>
    </font>
    <font>
      <b/>
      <i/>
      <sz val="10"/>
      <name val="Geneva"/>
    </font>
    <font>
      <sz val="12"/>
      <name val="Times"/>
    </font>
    <font>
      <sz val="10"/>
      <name val="Times"/>
    </font>
    <font>
      <b/>
      <sz val="10"/>
      <name val="Times"/>
    </font>
    <font>
      <sz val="10"/>
      <name val="Geneva"/>
    </font>
    <font>
      <i/>
      <sz val="10"/>
      <name val="Times"/>
    </font>
    <font>
      <b/>
      <i/>
      <sz val="18"/>
      <name val="Geneva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164" fontId="5" fillId="0" borderId="5" xfId="0" applyNumberFormat="1" applyFont="1" applyBorder="1" applyAlignment="1">
      <alignment horizontal="center"/>
    </xf>
    <xf numFmtId="0" fontId="7" fillId="0" borderId="4" xfId="0" applyFont="1" applyBorder="1"/>
    <xf numFmtId="9" fontId="5" fillId="0" borderId="5" xfId="0" applyNumberFormat="1" applyFont="1" applyBorder="1" applyAlignment="1">
      <alignment horizontal="center"/>
    </xf>
    <xf numFmtId="9" fontId="5" fillId="0" borderId="6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9" fontId="5" fillId="0" borderId="9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10" xfId="0" applyFont="1" applyBorder="1"/>
    <xf numFmtId="0" fontId="7" fillId="0" borderId="0" xfId="0" applyFont="1"/>
    <xf numFmtId="10" fontId="5" fillId="0" borderId="0" xfId="0" applyNumberFormat="1" applyFont="1" applyBorder="1"/>
    <xf numFmtId="10" fontId="5" fillId="0" borderId="10" xfId="0" applyNumberFormat="1" applyFont="1" applyBorder="1"/>
    <xf numFmtId="0" fontId="4" fillId="0" borderId="11" xfId="0" applyFont="1" applyBorder="1"/>
    <xf numFmtId="164" fontId="4" fillId="0" borderId="0" xfId="0" applyNumberFormat="1" applyFont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164" fontId="4" fillId="0" borderId="0" xfId="0" applyNumberFormat="1" applyFont="1" applyBorder="1"/>
    <xf numFmtId="164" fontId="4" fillId="0" borderId="16" xfId="0" applyNumberFormat="1" applyFont="1" applyBorder="1"/>
    <xf numFmtId="0" fontId="4" fillId="0" borderId="17" xfId="0" applyFont="1" applyBorder="1"/>
    <xf numFmtId="164" fontId="4" fillId="0" borderId="18" xfId="0" applyNumberFormat="1" applyFont="1" applyBorder="1"/>
    <xf numFmtId="164" fontId="4" fillId="0" borderId="19" xfId="0" applyNumberFormat="1" applyFont="1" applyBorder="1"/>
    <xf numFmtId="0" fontId="5" fillId="0" borderId="1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5" fillId="0" borderId="4" xfId="0" applyFont="1" applyBorder="1"/>
    <xf numFmtId="164" fontId="5" fillId="0" borderId="10" xfId="0" applyNumberFormat="1" applyFont="1" applyBorder="1"/>
    <xf numFmtId="0" fontId="5" fillId="0" borderId="7" xfId="0" applyFont="1" applyBorder="1"/>
    <xf numFmtId="10" fontId="5" fillId="0" borderId="11" xfId="0" applyNumberFormat="1" applyFont="1" applyBorder="1"/>
    <xf numFmtId="0" fontId="2" fillId="0" borderId="0" xfId="0" applyFont="1"/>
    <xf numFmtId="0" fontId="8" fillId="0" borderId="0" xfId="0" applyFont="1" applyAlignment="1">
      <alignment horizontal="centerContinuous"/>
    </xf>
    <xf numFmtId="0" fontId="4" fillId="0" borderId="5" xfId="0" applyFont="1" applyBorder="1"/>
    <xf numFmtId="164" fontId="4" fillId="0" borderId="5" xfId="0" applyNumberFormat="1" applyFont="1" applyBorder="1"/>
    <xf numFmtId="10" fontId="4" fillId="0" borderId="20" xfId="0" applyNumberFormat="1" applyFont="1" applyBorder="1" applyAlignment="1">
      <alignment horizontal="center"/>
    </xf>
    <xf numFmtId="0" fontId="7" fillId="0" borderId="12" xfId="0" applyFont="1" applyBorder="1"/>
    <xf numFmtId="0" fontId="7" fillId="0" borderId="15" xfId="0" applyFont="1" applyBorder="1"/>
    <xf numFmtId="0" fontId="5" fillId="0" borderId="16" xfId="0" applyFont="1" applyBorder="1" applyAlignment="1">
      <alignment horizontal="center"/>
    </xf>
    <xf numFmtId="9" fontId="5" fillId="0" borderId="16" xfId="0" applyNumberFormat="1" applyFont="1" applyBorder="1" applyAlignment="1">
      <alignment horizontal="center"/>
    </xf>
    <xf numFmtId="10" fontId="5" fillId="0" borderId="16" xfId="0" applyNumberFormat="1" applyFont="1" applyBorder="1" applyAlignment="1">
      <alignment horizontal="center"/>
    </xf>
    <xf numFmtId="10" fontId="4" fillId="0" borderId="16" xfId="0" applyNumberFormat="1" applyFont="1" applyBorder="1" applyAlignment="1">
      <alignment horizontal="center"/>
    </xf>
    <xf numFmtId="0" fontId="4" fillId="0" borderId="18" xfId="0" applyFont="1" applyBorder="1"/>
    <xf numFmtId="10" fontId="4" fillId="0" borderId="1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C4ED-5867-4265-BA79-90B864CEFB06}">
  <dimension ref="A1:M105"/>
  <sheetViews>
    <sheetView showGridLines="0" tabSelected="1" topLeftCell="A30" workbookViewId="0">
      <selection activeCell="C56" sqref="C56"/>
    </sheetView>
  </sheetViews>
  <sheetFormatPr defaultRowHeight="12.5"/>
  <cols>
    <col min="1" max="1" width="12.7265625" customWidth="1"/>
    <col min="2" max="256" width="10.90625" customWidth="1"/>
  </cols>
  <sheetData>
    <row r="1" spans="1:13" s="45" customFormat="1" ht="22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3" s="5" customFormat="1" ht="20" customHeight="1" thickBot="1">
      <c r="A2" s="3"/>
      <c r="B2" s="3"/>
      <c r="C2" s="3"/>
      <c r="D2" s="3"/>
      <c r="E2" s="4" t="s">
        <v>1</v>
      </c>
      <c r="F2" s="3"/>
      <c r="G2" s="3"/>
      <c r="H2" s="3"/>
      <c r="I2" s="3"/>
      <c r="J2" s="3"/>
      <c r="K2" s="3"/>
      <c r="L2" s="3"/>
      <c r="M2" s="3"/>
    </row>
    <row r="3" spans="1:13" s="5" customFormat="1" ht="20" customHeight="1" thickTop="1">
      <c r="A3" s="6" t="s">
        <v>2</v>
      </c>
      <c r="B3" s="7"/>
      <c r="C3" s="8"/>
      <c r="D3" s="3"/>
      <c r="E3" s="6" t="s">
        <v>3</v>
      </c>
      <c r="F3" s="7"/>
      <c r="G3" s="8"/>
      <c r="H3" s="3"/>
      <c r="I3" s="50" t="s">
        <v>4</v>
      </c>
      <c r="J3" s="30"/>
      <c r="K3" s="31"/>
      <c r="L3" s="3"/>
      <c r="M3" s="3"/>
    </row>
    <row r="4" spans="1:13" s="5" customFormat="1" ht="20" customHeight="1">
      <c r="A4" s="9" t="s">
        <v>5</v>
      </c>
      <c r="B4" s="10"/>
      <c r="C4" s="11">
        <v>50000</v>
      </c>
      <c r="D4" s="3"/>
      <c r="E4" s="9" t="s">
        <v>6</v>
      </c>
      <c r="F4" s="10"/>
      <c r="G4" s="11">
        <v>40000</v>
      </c>
      <c r="H4" s="3"/>
      <c r="I4" s="51" t="s">
        <v>7</v>
      </c>
      <c r="J4" s="10"/>
      <c r="K4" s="52">
        <v>2</v>
      </c>
      <c r="L4" s="3"/>
      <c r="M4" s="3"/>
    </row>
    <row r="5" spans="1:13" s="5" customFormat="1" ht="20" customHeight="1">
      <c r="A5" s="9" t="s">
        <v>8</v>
      </c>
      <c r="B5" s="10"/>
      <c r="C5" s="11">
        <v>7484</v>
      </c>
      <c r="D5" s="3"/>
      <c r="E5" s="9" t="s">
        <v>9</v>
      </c>
      <c r="F5" s="10"/>
      <c r="G5" s="13">
        <v>0.5</v>
      </c>
      <c r="H5" s="3"/>
      <c r="I5" s="32" t="s">
        <v>10</v>
      </c>
      <c r="J5" s="10"/>
      <c r="K5" s="53">
        <v>0.1</v>
      </c>
      <c r="L5" s="3"/>
      <c r="M5" s="3"/>
    </row>
    <row r="6" spans="1:13" s="5" customFormat="1" ht="20" customHeight="1">
      <c r="A6" s="9" t="s">
        <v>11</v>
      </c>
      <c r="B6" s="10"/>
      <c r="C6" s="15">
        <v>10</v>
      </c>
      <c r="D6" s="3"/>
      <c r="E6" s="9" t="s">
        <v>12</v>
      </c>
      <c r="F6" s="10"/>
      <c r="G6" s="15">
        <v>0</v>
      </c>
      <c r="H6" s="3"/>
      <c r="I6" s="32" t="s">
        <v>13</v>
      </c>
      <c r="J6" s="10"/>
      <c r="K6" s="52">
        <v>0.9</v>
      </c>
      <c r="L6" s="3"/>
      <c r="M6" s="3"/>
    </row>
    <row r="7" spans="1:13" s="5" customFormat="1" ht="20" customHeight="1" thickBot="1">
      <c r="A7" s="9" t="s">
        <v>14</v>
      </c>
      <c r="B7" s="10"/>
      <c r="C7" s="11">
        <v>10000</v>
      </c>
      <c r="D7" s="3"/>
      <c r="E7" s="16" t="s">
        <v>15</v>
      </c>
      <c r="F7" s="17"/>
      <c r="G7" s="13">
        <v>0.4</v>
      </c>
      <c r="H7" s="3"/>
      <c r="I7" s="32" t="s">
        <v>16</v>
      </c>
      <c r="J7" s="10"/>
      <c r="K7" s="54">
        <v>0.08</v>
      </c>
      <c r="L7" s="3"/>
      <c r="M7" s="3"/>
    </row>
    <row r="8" spans="1:13" s="5" customFormat="1" ht="20" customHeight="1" thickTop="1">
      <c r="A8" s="9" t="s">
        <v>17</v>
      </c>
      <c r="B8" s="10"/>
      <c r="C8" s="15">
        <v>2</v>
      </c>
      <c r="D8" s="3"/>
      <c r="E8" s="3" t="s">
        <v>18</v>
      </c>
      <c r="F8" s="3"/>
      <c r="G8" s="18"/>
      <c r="H8" s="3"/>
      <c r="I8" s="32" t="s">
        <v>19</v>
      </c>
      <c r="J8" s="10"/>
      <c r="K8" s="54">
        <v>5.5E-2</v>
      </c>
      <c r="L8" s="3"/>
      <c r="M8" s="3"/>
    </row>
    <row r="9" spans="1:13" s="5" customFormat="1" ht="20" customHeight="1">
      <c r="A9" s="9" t="s">
        <v>20</v>
      </c>
      <c r="B9" s="10"/>
      <c r="C9" s="13">
        <v>0.1</v>
      </c>
      <c r="D9" s="3"/>
      <c r="E9" s="3" t="s">
        <v>21</v>
      </c>
      <c r="F9" s="3"/>
      <c r="G9" s="18"/>
      <c r="H9" s="3"/>
      <c r="I9" s="32" t="s">
        <v>22</v>
      </c>
      <c r="J9" s="10"/>
      <c r="K9" s="55">
        <v>0.3</v>
      </c>
      <c r="L9" s="3"/>
      <c r="M9" s="3"/>
    </row>
    <row r="10" spans="1:13" s="5" customFormat="1" ht="20" customHeight="1" thickBot="1">
      <c r="A10" s="16" t="s">
        <v>23</v>
      </c>
      <c r="B10" s="17"/>
      <c r="C10" s="15">
        <v>0</v>
      </c>
      <c r="D10" s="3"/>
      <c r="E10" s="3"/>
      <c r="F10" s="3"/>
      <c r="G10" s="18"/>
      <c r="H10" s="3"/>
      <c r="I10" s="36" t="s">
        <v>24</v>
      </c>
      <c r="J10" s="56"/>
      <c r="K10" s="57">
        <v>0.09</v>
      </c>
      <c r="L10" s="3"/>
      <c r="M10" s="3"/>
    </row>
    <row r="11" spans="1:13" s="5" customFormat="1" ht="20" customHeight="1" thickTop="1" thickBot="1">
      <c r="A11" s="3"/>
      <c r="B11" s="3"/>
      <c r="C11" s="18"/>
      <c r="D11" s="3"/>
      <c r="E11"/>
      <c r="F11"/>
      <c r="G11"/>
      <c r="H11"/>
      <c r="I11" s="3" t="s">
        <v>25</v>
      </c>
      <c r="J11" s="3"/>
      <c r="K11" s="49">
        <f>IF(K4=1,K5,(K7+K6*K8)*(1-K9)+K10*(1-G7)*K9)</f>
        <v>0.10685</v>
      </c>
      <c r="L11" s="3"/>
      <c r="M11" s="3"/>
    </row>
    <row r="12" spans="1:13" s="5" customFormat="1" ht="20" customHeight="1" thickTop="1">
      <c r="A12" s="6" t="s">
        <v>26</v>
      </c>
      <c r="B12" s="7"/>
      <c r="C12" s="19"/>
      <c r="D12" s="3"/>
      <c r="E12"/>
      <c r="F12"/>
      <c r="G12"/>
      <c r="H12"/>
      <c r="I12"/>
      <c r="J12" s="3"/>
      <c r="K12" s="3"/>
      <c r="L12" s="3"/>
      <c r="M12" s="3"/>
    </row>
    <row r="13" spans="1:13" s="5" customFormat="1" ht="20" customHeight="1">
      <c r="A13" s="9" t="s">
        <v>27</v>
      </c>
      <c r="B13" s="10"/>
      <c r="C13" s="20">
        <v>10000</v>
      </c>
      <c r="D13" s="3"/>
      <c r="E13"/>
      <c r="F13"/>
      <c r="G13"/>
      <c r="H13"/>
      <c r="I13"/>
      <c r="J13" s="3"/>
      <c r="K13" s="3"/>
      <c r="L13" s="3"/>
      <c r="M13" s="3"/>
    </row>
    <row r="14" spans="1:13" s="5" customFormat="1" ht="20" customHeight="1">
      <c r="A14" s="9" t="s">
        <v>28</v>
      </c>
      <c r="B14" s="10"/>
      <c r="C14" s="14">
        <v>0.25</v>
      </c>
      <c r="D14" s="3"/>
      <c r="E14"/>
      <c r="F14"/>
      <c r="G14"/>
      <c r="H14"/>
      <c r="I14"/>
      <c r="J14" s="3"/>
      <c r="K14" s="3"/>
      <c r="L14" s="3"/>
      <c r="M14" s="3"/>
    </row>
    <row r="15" spans="1:13" s="5" customFormat="1" ht="20" customHeight="1" thickBot="1">
      <c r="A15" s="16" t="s">
        <v>29</v>
      </c>
      <c r="B15" s="17"/>
      <c r="C15" s="21">
        <v>1</v>
      </c>
      <c r="D15" s="3"/>
      <c r="E15"/>
      <c r="F15"/>
      <c r="G15"/>
      <c r="H15"/>
      <c r="I15"/>
      <c r="J15" s="3"/>
      <c r="K15" s="3"/>
      <c r="L15" s="3"/>
      <c r="M15" s="3"/>
    </row>
    <row r="16" spans="1:13" s="5" customFormat="1" ht="20" customHeight="1" thickTop="1" thickBot="1">
      <c r="A16" s="3"/>
      <c r="B16" s="3"/>
      <c r="C16" s="3"/>
      <c r="D16" s="3"/>
      <c r="E16" s="3"/>
      <c r="F16" s="3"/>
      <c r="G16" s="3"/>
      <c r="H16" s="3"/>
      <c r="I16"/>
      <c r="J16" s="3"/>
      <c r="K16" s="3"/>
      <c r="L16" s="3"/>
      <c r="M16" s="3"/>
    </row>
    <row r="17" spans="1:13" s="5" customFormat="1" ht="20" customHeight="1" thickTop="1">
      <c r="A17" s="6" t="s">
        <v>30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8"/>
      <c r="M17" s="3"/>
    </row>
    <row r="18" spans="1:13" s="1" customFormat="1" ht="20" customHeight="1">
      <c r="A18" s="12"/>
      <c r="B18" s="22"/>
      <c r="C18" s="22">
        <v>1</v>
      </c>
      <c r="D18" s="22">
        <v>2</v>
      </c>
      <c r="E18" s="22">
        <v>3</v>
      </c>
      <c r="F18" s="22">
        <v>4</v>
      </c>
      <c r="G18" s="22">
        <v>5</v>
      </c>
      <c r="H18" s="22">
        <v>6</v>
      </c>
      <c r="I18" s="22">
        <v>7</v>
      </c>
      <c r="J18" s="22">
        <v>8</v>
      </c>
      <c r="K18" s="22">
        <v>9</v>
      </c>
      <c r="L18" s="23">
        <v>10</v>
      </c>
      <c r="M18" s="24"/>
    </row>
    <row r="19" spans="1:13" s="5" customFormat="1" ht="20" customHeight="1">
      <c r="A19" s="9" t="s">
        <v>31</v>
      </c>
      <c r="B19" s="10"/>
      <c r="C19" s="10" t="s">
        <v>32</v>
      </c>
      <c r="D19" s="25">
        <v>0.1</v>
      </c>
      <c r="E19" s="25">
        <v>0.1</v>
      </c>
      <c r="F19" s="25">
        <v>0.1</v>
      </c>
      <c r="G19" s="25">
        <v>0.1</v>
      </c>
      <c r="H19" s="25">
        <v>0</v>
      </c>
      <c r="I19" s="25">
        <v>0</v>
      </c>
      <c r="J19" s="25">
        <v>0</v>
      </c>
      <c r="K19" s="25">
        <v>0</v>
      </c>
      <c r="L19" s="26">
        <v>0</v>
      </c>
      <c r="M19" s="3"/>
    </row>
    <row r="20" spans="1:13" s="5" customFormat="1" ht="20" customHeight="1">
      <c r="A20" s="9" t="s">
        <v>33</v>
      </c>
      <c r="B20" s="10"/>
      <c r="C20" s="10" t="s">
        <v>32</v>
      </c>
      <c r="D20" s="25">
        <f t="shared" ref="D20:L20" si="0">D19</f>
        <v>0.1</v>
      </c>
      <c r="E20" s="25">
        <f t="shared" si="0"/>
        <v>0.1</v>
      </c>
      <c r="F20" s="25">
        <f t="shared" si="0"/>
        <v>0.1</v>
      </c>
      <c r="G20" s="25">
        <f t="shared" si="0"/>
        <v>0.1</v>
      </c>
      <c r="H20" s="25">
        <f t="shared" si="0"/>
        <v>0</v>
      </c>
      <c r="I20" s="25">
        <f t="shared" si="0"/>
        <v>0</v>
      </c>
      <c r="J20" s="25">
        <f t="shared" si="0"/>
        <v>0</v>
      </c>
      <c r="K20" s="25">
        <f t="shared" si="0"/>
        <v>0</v>
      </c>
      <c r="L20" s="26">
        <f t="shared" si="0"/>
        <v>0</v>
      </c>
      <c r="M20" s="3"/>
    </row>
    <row r="21" spans="1:13" s="5" customFormat="1" ht="20" customHeight="1" thickBot="1">
      <c r="A21" s="16" t="s">
        <v>34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27"/>
      <c r="M21" s="3"/>
    </row>
    <row r="22" spans="1:13" s="5" customFormat="1" ht="13.5" thickTop="1">
      <c r="A22" s="3"/>
      <c r="B22" s="3"/>
      <c r="C22" s="3"/>
      <c r="D22" s="3"/>
      <c r="E22" s="3"/>
      <c r="F22" s="3" t="s">
        <v>35</v>
      </c>
      <c r="G22" s="3"/>
      <c r="H22" s="3"/>
      <c r="I22" s="3"/>
      <c r="J22" s="3"/>
      <c r="K22" s="3"/>
      <c r="L22" s="3"/>
      <c r="M22" s="3"/>
    </row>
    <row r="23" spans="1:13" s="5" customFormat="1" ht="13">
      <c r="A23" s="3"/>
      <c r="B23" s="3">
        <v>0</v>
      </c>
      <c r="C23" s="3">
        <v>1</v>
      </c>
      <c r="D23" s="3">
        <v>2</v>
      </c>
      <c r="E23" s="3">
        <v>3</v>
      </c>
      <c r="F23" s="3">
        <v>4</v>
      </c>
      <c r="G23" s="3">
        <v>5</v>
      </c>
      <c r="H23" s="3">
        <v>6</v>
      </c>
      <c r="I23" s="3">
        <v>7</v>
      </c>
      <c r="J23" s="3">
        <v>8</v>
      </c>
      <c r="K23" s="3">
        <v>9</v>
      </c>
      <c r="L23" s="3">
        <v>10</v>
      </c>
      <c r="M23" s="3"/>
    </row>
    <row r="24" spans="1:13" s="5" customFormat="1" ht="13">
      <c r="A24" s="3" t="s">
        <v>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5" customFormat="1" ht="13">
      <c r="A25" s="47" t="s">
        <v>36</v>
      </c>
      <c r="B25" s="48">
        <f>C4</f>
        <v>50000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5" customFormat="1" ht="13">
      <c r="A26" s="47" t="s">
        <v>37</v>
      </c>
      <c r="B26" s="48">
        <f>C4*C9</f>
        <v>5000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5" customFormat="1" ht="13">
      <c r="A27" s="47" t="s">
        <v>38</v>
      </c>
      <c r="B27" s="48">
        <f>B25-B26</f>
        <v>45000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5" customFormat="1" ht="13">
      <c r="A28" s="47" t="s">
        <v>39</v>
      </c>
      <c r="B28" s="48">
        <f>C13</f>
        <v>10000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5" customFormat="1" ht="13">
      <c r="A29" s="47" t="s">
        <v>40</v>
      </c>
      <c r="B29" s="48">
        <f>C5</f>
        <v>7484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5" customFormat="1" ht="13">
      <c r="A30" s="47" t="s">
        <v>41</v>
      </c>
      <c r="B30" s="48">
        <f>C10</f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5" customFormat="1" ht="13">
      <c r="A31" s="47" t="s">
        <v>42</v>
      </c>
      <c r="B31" s="48">
        <f>B27+B28+B29+B30</f>
        <v>62484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5" customFormat="1" ht="1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5" customFormat="1" ht="13">
      <c r="A33" s="3" t="s">
        <v>43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5" customFormat="1" ht="13">
      <c r="A34" s="3" t="s">
        <v>44</v>
      </c>
      <c r="B34" s="3"/>
      <c r="C34" s="28">
        <f>IF(C23=C6,C7,0)</f>
        <v>0</v>
      </c>
      <c r="D34" s="28">
        <f>IF(D23=C6,C7,0)</f>
        <v>0</v>
      </c>
      <c r="E34" s="28">
        <f>IF(E23=C6,C7,0)</f>
        <v>0</v>
      </c>
      <c r="F34" s="28">
        <f>IF(F23=C6,C7,0)</f>
        <v>0</v>
      </c>
      <c r="G34" s="28">
        <f>IF(G23=C6,C7,0)</f>
        <v>0</v>
      </c>
      <c r="H34" s="28">
        <f>IF(H23=C6,C7,0)</f>
        <v>0</v>
      </c>
      <c r="I34" s="28">
        <f>IF(I23=C6,C7,0)</f>
        <v>0</v>
      </c>
      <c r="J34" s="28">
        <f>IF(J23=C6,C7,0)</f>
        <v>0</v>
      </c>
      <c r="K34" s="28">
        <f>IF(K23=C6,C7,0)</f>
        <v>0</v>
      </c>
      <c r="L34" s="28">
        <f>IF(L23=C6,C7,0)</f>
        <v>10000</v>
      </c>
      <c r="M34" s="3"/>
    </row>
    <row r="35" spans="1:13" s="5" customFormat="1" ht="13">
      <c r="A35" s="3" t="s">
        <v>45</v>
      </c>
      <c r="B35" s="3"/>
      <c r="C35" s="28">
        <f>IF(C23=C6,(C13+SUM(C48:L48))*C15,0)</f>
        <v>0</v>
      </c>
      <c r="D35" s="28">
        <f>IF(D23=C6,(C13+SUM(C48:L48))*C15,0)</f>
        <v>0</v>
      </c>
      <c r="E35" s="28">
        <f>IF(E23=C6,(C13+SUM(C48:L48))*C15,0)</f>
        <v>0</v>
      </c>
      <c r="F35" s="28">
        <f>IF(F23=C6,(C13+SUM(C48:L48))*C15,0)</f>
        <v>0</v>
      </c>
      <c r="G35" s="28">
        <f>IF(G23=C6,(C13+SUM(C48:L48))*C15,0)</f>
        <v>0</v>
      </c>
      <c r="H35" s="28">
        <f>IF(21=C6,(C13+SUM(C48:L48))*C15,0)</f>
        <v>0</v>
      </c>
      <c r="I35" s="28">
        <f>IF(I23=C6,(C13+SUM(C48:L48))*C15,0)</f>
        <v>0</v>
      </c>
      <c r="J35" s="28">
        <f>IF(J23=C6,(C13+SUM(C48:L48))*C15,0)</f>
        <v>0</v>
      </c>
      <c r="K35" s="28">
        <f>IF(K23=C6,(C13+SUM(C48:L48))*C15,0)</f>
        <v>0</v>
      </c>
      <c r="L35" s="28">
        <f>IF(L23=C6,(C13+SUM(C48:L48))*C15,0)</f>
        <v>14641.000000000005</v>
      </c>
      <c r="M35" s="3"/>
    </row>
    <row r="36" spans="1:13" s="5" customFormat="1" ht="13.5" thickBo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5" customFormat="1" ht="13">
      <c r="A37" s="29" t="s">
        <v>46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1"/>
      <c r="M37" s="3"/>
    </row>
    <row r="38" spans="1:13" s="5" customFormat="1" ht="13">
      <c r="A38" s="32" t="s">
        <v>47</v>
      </c>
      <c r="B38" s="10"/>
      <c r="C38" s="10">
        <f>IF(C23&gt;C6,0,1)</f>
        <v>1</v>
      </c>
      <c r="D38" s="10">
        <f>IF(D23&gt;C6,0,1)</f>
        <v>1</v>
      </c>
      <c r="E38" s="10">
        <f>IF(E23&gt;C6,0,1)</f>
        <v>1</v>
      </c>
      <c r="F38" s="10">
        <f>IF(F23&gt;C6,0,1)</f>
        <v>1</v>
      </c>
      <c r="G38" s="10">
        <f>IF(G23&gt;C6,0,1)</f>
        <v>1</v>
      </c>
      <c r="H38" s="10">
        <f>IF(H23&gt;C6,0,1)</f>
        <v>1</v>
      </c>
      <c r="I38" s="10">
        <f>IF(I23&gt;C6,0,1)</f>
        <v>1</v>
      </c>
      <c r="J38" s="10">
        <f>IF(J23&gt;C6,0,1)</f>
        <v>1</v>
      </c>
      <c r="K38" s="10">
        <f>IF(K23&gt;C6,0,1)</f>
        <v>1</v>
      </c>
      <c r="L38" s="33">
        <f>IF(L23&gt;C6,0,1)</f>
        <v>1</v>
      </c>
      <c r="M38" s="3"/>
    </row>
    <row r="39" spans="1:13" s="5" customFormat="1" ht="13">
      <c r="A39" s="32" t="s">
        <v>31</v>
      </c>
      <c r="B39" s="34"/>
      <c r="C39" s="34">
        <f>G4</f>
        <v>40000</v>
      </c>
      <c r="D39" s="34">
        <f t="shared" ref="D39:L39" si="1">C39*(1+D19)*D38</f>
        <v>44000</v>
      </c>
      <c r="E39" s="34">
        <f t="shared" si="1"/>
        <v>48400.000000000007</v>
      </c>
      <c r="F39" s="34">
        <f t="shared" si="1"/>
        <v>53240.000000000015</v>
      </c>
      <c r="G39" s="34">
        <f t="shared" si="1"/>
        <v>58564.000000000022</v>
      </c>
      <c r="H39" s="34">
        <f t="shared" si="1"/>
        <v>58564.000000000022</v>
      </c>
      <c r="I39" s="34">
        <f t="shared" si="1"/>
        <v>58564.000000000022</v>
      </c>
      <c r="J39" s="34">
        <f t="shared" si="1"/>
        <v>58564.000000000022</v>
      </c>
      <c r="K39" s="34">
        <f t="shared" si="1"/>
        <v>58564.000000000022</v>
      </c>
      <c r="L39" s="35">
        <f t="shared" si="1"/>
        <v>58564.000000000022</v>
      </c>
      <c r="M39" s="3"/>
    </row>
    <row r="40" spans="1:13" s="5" customFormat="1" ht="13">
      <c r="A40" s="32" t="s">
        <v>48</v>
      </c>
      <c r="B40" s="34"/>
      <c r="C40" s="34">
        <f>C39*G5</f>
        <v>20000</v>
      </c>
      <c r="D40" s="34">
        <f>D39*G5</f>
        <v>22000</v>
      </c>
      <c r="E40" s="34">
        <f>E39*G5</f>
        <v>24200.000000000004</v>
      </c>
      <c r="F40" s="34">
        <f>F39*G5</f>
        <v>26620.000000000007</v>
      </c>
      <c r="G40" s="34">
        <f>G39*G5</f>
        <v>29282.000000000011</v>
      </c>
      <c r="H40" s="34">
        <f>H39*G5</f>
        <v>29282.000000000011</v>
      </c>
      <c r="I40" s="34">
        <f>I39*G5</f>
        <v>29282.000000000011</v>
      </c>
      <c r="J40" s="34">
        <f>J39*G5</f>
        <v>29282.000000000011</v>
      </c>
      <c r="K40" s="34">
        <f>K39*G5</f>
        <v>29282.000000000011</v>
      </c>
      <c r="L40" s="35">
        <f>L39*G5</f>
        <v>29282.000000000011</v>
      </c>
      <c r="M40" s="3"/>
    </row>
    <row r="41" spans="1:13" s="5" customFormat="1" ht="13">
      <c r="A41" s="32" t="s">
        <v>49</v>
      </c>
      <c r="B41" s="34"/>
      <c r="C41" s="34">
        <f>G6</f>
        <v>0</v>
      </c>
      <c r="D41" s="34">
        <f t="shared" ref="D41:L41" si="2">C41*(1+D20)*D38</f>
        <v>0</v>
      </c>
      <c r="E41" s="34">
        <f t="shared" si="2"/>
        <v>0</v>
      </c>
      <c r="F41" s="34">
        <f t="shared" si="2"/>
        <v>0</v>
      </c>
      <c r="G41" s="34">
        <f t="shared" si="2"/>
        <v>0</v>
      </c>
      <c r="H41" s="34">
        <f t="shared" si="2"/>
        <v>0</v>
      </c>
      <c r="I41" s="34">
        <f t="shared" si="2"/>
        <v>0</v>
      </c>
      <c r="J41" s="34">
        <f t="shared" si="2"/>
        <v>0</v>
      </c>
      <c r="K41" s="34">
        <f t="shared" si="2"/>
        <v>0</v>
      </c>
      <c r="L41" s="35">
        <f t="shared" si="2"/>
        <v>0</v>
      </c>
      <c r="M41" s="3"/>
    </row>
    <row r="42" spans="1:13" s="5" customFormat="1" ht="13">
      <c r="A42" s="32" t="s">
        <v>50</v>
      </c>
      <c r="B42" s="34"/>
      <c r="C42" s="34">
        <f t="shared" ref="C42:L42" si="3">C39-C40-C41</f>
        <v>20000</v>
      </c>
      <c r="D42" s="34">
        <f t="shared" si="3"/>
        <v>22000</v>
      </c>
      <c r="E42" s="34">
        <f t="shared" si="3"/>
        <v>24200.000000000004</v>
      </c>
      <c r="F42" s="34">
        <f t="shared" si="3"/>
        <v>26620.000000000007</v>
      </c>
      <c r="G42" s="34">
        <f t="shared" si="3"/>
        <v>29282.000000000011</v>
      </c>
      <c r="H42" s="34">
        <f t="shared" si="3"/>
        <v>29282.000000000011</v>
      </c>
      <c r="I42" s="34">
        <f t="shared" si="3"/>
        <v>29282.000000000011</v>
      </c>
      <c r="J42" s="34">
        <f t="shared" si="3"/>
        <v>29282.000000000011</v>
      </c>
      <c r="K42" s="34">
        <f t="shared" si="3"/>
        <v>29282.000000000011</v>
      </c>
      <c r="L42" s="35">
        <f t="shared" si="3"/>
        <v>29282.000000000011</v>
      </c>
      <c r="M42" s="3"/>
    </row>
    <row r="43" spans="1:13" s="5" customFormat="1" ht="13">
      <c r="A43" s="32" t="s">
        <v>51</v>
      </c>
      <c r="B43" s="34"/>
      <c r="C43" s="34">
        <f t="shared" ref="C43:L43" si="4">C61</f>
        <v>10000</v>
      </c>
      <c r="D43" s="34">
        <f t="shared" si="4"/>
        <v>8000</v>
      </c>
      <c r="E43" s="34">
        <f t="shared" si="4"/>
        <v>6400.0000000000018</v>
      </c>
      <c r="F43" s="34">
        <f t="shared" si="4"/>
        <v>5120.0000000000018</v>
      </c>
      <c r="G43" s="34">
        <f t="shared" si="4"/>
        <v>4096.0000000000027</v>
      </c>
      <c r="H43" s="34">
        <f t="shared" si="4"/>
        <v>3276.8000000000025</v>
      </c>
      <c r="I43" s="34">
        <f t="shared" si="4"/>
        <v>2621.4400000000019</v>
      </c>
      <c r="J43" s="34">
        <f t="shared" si="4"/>
        <v>485.76000000000749</v>
      </c>
      <c r="K43" s="34">
        <f t="shared" si="4"/>
        <v>0</v>
      </c>
      <c r="L43" s="35">
        <f t="shared" si="4"/>
        <v>0</v>
      </c>
      <c r="M43" s="3"/>
    </row>
    <row r="44" spans="1:13" s="5" customFormat="1" ht="13">
      <c r="A44" s="32" t="s">
        <v>52</v>
      </c>
      <c r="B44" s="34"/>
      <c r="C44" s="34">
        <f>C42-C43</f>
        <v>10000</v>
      </c>
      <c r="D44" s="34">
        <f t="shared" ref="D44:L44" si="5">D42-D43</f>
        <v>14000</v>
      </c>
      <c r="E44" s="34">
        <f t="shared" si="5"/>
        <v>17800</v>
      </c>
      <c r="F44" s="34">
        <f t="shared" si="5"/>
        <v>21500.000000000007</v>
      </c>
      <c r="G44" s="34">
        <f t="shared" si="5"/>
        <v>25186.000000000007</v>
      </c>
      <c r="H44" s="34">
        <f t="shared" si="5"/>
        <v>26005.200000000008</v>
      </c>
      <c r="I44" s="34">
        <f t="shared" si="5"/>
        <v>26660.560000000009</v>
      </c>
      <c r="J44" s="34">
        <f t="shared" si="5"/>
        <v>28796.240000000005</v>
      </c>
      <c r="K44" s="34">
        <f t="shared" si="5"/>
        <v>29282.000000000011</v>
      </c>
      <c r="L44" s="34">
        <f t="shared" si="5"/>
        <v>29282.000000000011</v>
      </c>
      <c r="M44" s="3"/>
    </row>
    <row r="45" spans="1:13" s="5" customFormat="1" ht="13">
      <c r="A45" s="32" t="s">
        <v>53</v>
      </c>
      <c r="B45" s="34"/>
      <c r="C45" s="34">
        <f>C44*G7</f>
        <v>4000</v>
      </c>
      <c r="D45" s="34">
        <f>D44*G7</f>
        <v>5600</v>
      </c>
      <c r="E45" s="34">
        <f>E44*G7</f>
        <v>7120</v>
      </c>
      <c r="F45" s="34">
        <f>F44*G7</f>
        <v>8600.0000000000036</v>
      </c>
      <c r="G45" s="34">
        <f>G44*G7</f>
        <v>10074.400000000003</v>
      </c>
      <c r="H45" s="34">
        <f>H44*G7</f>
        <v>10402.080000000004</v>
      </c>
      <c r="I45" s="34">
        <f>I44*G7</f>
        <v>10664.224000000004</v>
      </c>
      <c r="J45" s="34">
        <f>J44*G7</f>
        <v>11518.496000000003</v>
      </c>
      <c r="K45" s="34">
        <f>K44*G7</f>
        <v>11712.800000000005</v>
      </c>
      <c r="L45" s="35">
        <f>L44*G7</f>
        <v>11712.800000000005</v>
      </c>
      <c r="M45" s="3"/>
    </row>
    <row r="46" spans="1:13" s="5" customFormat="1" ht="13">
      <c r="A46" s="32" t="s">
        <v>54</v>
      </c>
      <c r="B46" s="34"/>
      <c r="C46" s="34">
        <f t="shared" ref="C46:L46" si="6">C44-C45</f>
        <v>6000</v>
      </c>
      <c r="D46" s="34">
        <f t="shared" si="6"/>
        <v>8400</v>
      </c>
      <c r="E46" s="34">
        <f t="shared" si="6"/>
        <v>10680</v>
      </c>
      <c r="F46" s="34">
        <f t="shared" si="6"/>
        <v>12900.000000000004</v>
      </c>
      <c r="G46" s="34">
        <f t="shared" si="6"/>
        <v>15111.600000000004</v>
      </c>
      <c r="H46" s="34">
        <f t="shared" si="6"/>
        <v>15603.120000000004</v>
      </c>
      <c r="I46" s="34">
        <f t="shared" si="6"/>
        <v>15996.336000000005</v>
      </c>
      <c r="J46" s="34">
        <f t="shared" si="6"/>
        <v>17277.744000000002</v>
      </c>
      <c r="K46" s="34">
        <f t="shared" si="6"/>
        <v>17569.200000000004</v>
      </c>
      <c r="L46" s="35">
        <f t="shared" si="6"/>
        <v>17569.200000000004</v>
      </c>
      <c r="M46" s="3"/>
    </row>
    <row r="47" spans="1:13" s="5" customFormat="1" ht="13">
      <c r="A47" s="32" t="s">
        <v>55</v>
      </c>
      <c r="B47" s="34"/>
      <c r="C47" s="34">
        <f t="shared" ref="C47:L47" si="7">C43</f>
        <v>10000</v>
      </c>
      <c r="D47" s="34">
        <f t="shared" si="7"/>
        <v>8000</v>
      </c>
      <c r="E47" s="34">
        <f t="shared" si="7"/>
        <v>6400.0000000000018</v>
      </c>
      <c r="F47" s="34">
        <f t="shared" si="7"/>
        <v>5120.0000000000018</v>
      </c>
      <c r="G47" s="34">
        <f t="shared" si="7"/>
        <v>4096.0000000000027</v>
      </c>
      <c r="H47" s="34">
        <f t="shared" si="7"/>
        <v>3276.8000000000025</v>
      </c>
      <c r="I47" s="34">
        <f t="shared" si="7"/>
        <v>2621.4400000000019</v>
      </c>
      <c r="J47" s="34">
        <f t="shared" si="7"/>
        <v>485.76000000000749</v>
      </c>
      <c r="K47" s="34">
        <f t="shared" si="7"/>
        <v>0</v>
      </c>
      <c r="L47" s="35">
        <f t="shared" si="7"/>
        <v>0</v>
      </c>
      <c r="M47" s="3"/>
    </row>
    <row r="48" spans="1:13" s="5" customFormat="1" ht="13">
      <c r="A48" s="32" t="s">
        <v>56</v>
      </c>
      <c r="B48" s="34"/>
      <c r="C48" s="34">
        <f>(C14*C39-B28)*C38</f>
        <v>0</v>
      </c>
      <c r="D48" s="34">
        <f>(C14*D39-B28)*D38</f>
        <v>1000</v>
      </c>
      <c r="E48" s="34">
        <f>(C14*E39-B28-SUM(C48,D48))*E38</f>
        <v>1100.0000000000018</v>
      </c>
      <c r="F48" s="34">
        <f>(C14*F39-B28-SUM(C48:E48))*F38</f>
        <v>1210.0000000000018</v>
      </c>
      <c r="G48" s="34">
        <f>(C14*G39-B28-SUM(C48:F48))*G38</f>
        <v>1331.0000000000018</v>
      </c>
      <c r="H48" s="34">
        <f>(C14*H39-B28-SUM(C48:G48))*H38</f>
        <v>0</v>
      </c>
      <c r="I48" s="34">
        <f>(C14*I39-B28-SUM(C48:H48))*I38</f>
        <v>0</v>
      </c>
      <c r="J48" s="34">
        <f>(C14*J39-B28-SUM(C48:I48))*J38</f>
        <v>0</v>
      </c>
      <c r="K48" s="34">
        <f>(C14*K39-B28-SUM(C48:J48))*K38</f>
        <v>0</v>
      </c>
      <c r="L48" s="35">
        <f>(C14*L39-B28-SUM(C48:K48))*L38</f>
        <v>0</v>
      </c>
      <c r="M48" s="3"/>
    </row>
    <row r="49" spans="1:13" s="5" customFormat="1" ht="13">
      <c r="A49" s="32" t="s">
        <v>57</v>
      </c>
      <c r="B49" s="34">
        <f>0-B31</f>
        <v>-62484</v>
      </c>
      <c r="C49" s="34">
        <f>C46+C47-C48</f>
        <v>16000</v>
      </c>
      <c r="D49" s="34">
        <f t="shared" ref="D49:L49" si="8">D46+D47-D48</f>
        <v>15400</v>
      </c>
      <c r="E49" s="34">
        <f t="shared" si="8"/>
        <v>15979.999999999998</v>
      </c>
      <c r="F49" s="34">
        <f t="shared" si="8"/>
        <v>16810.000000000007</v>
      </c>
      <c r="G49" s="34">
        <f t="shared" si="8"/>
        <v>17876.600000000006</v>
      </c>
      <c r="H49" s="34">
        <f t="shared" si="8"/>
        <v>18879.920000000006</v>
      </c>
      <c r="I49" s="34">
        <f t="shared" si="8"/>
        <v>18617.776000000005</v>
      </c>
      <c r="J49" s="34">
        <f t="shared" si="8"/>
        <v>17763.504000000008</v>
      </c>
      <c r="K49" s="34">
        <f t="shared" si="8"/>
        <v>17569.200000000004</v>
      </c>
      <c r="L49" s="34">
        <f t="shared" si="8"/>
        <v>17569.200000000004</v>
      </c>
      <c r="M49" s="3"/>
    </row>
    <row r="50" spans="1:13" s="5" customFormat="1" ht="13">
      <c r="A50" s="32" t="s">
        <v>58</v>
      </c>
      <c r="B50" s="10">
        <f>1</f>
        <v>1</v>
      </c>
      <c r="C50" s="10">
        <f>C38*(1+K11)^C23</f>
        <v>1.1068500000000001</v>
      </c>
      <c r="D50" s="10">
        <f>D38*(1+K11)^D23</f>
        <v>1.2251169225000003</v>
      </c>
      <c r="E50" s="10">
        <f>E38*(1+K11)^E23</f>
        <v>1.3560206656691254</v>
      </c>
      <c r="F50" s="10">
        <f>F38*(1+K11)^F23</f>
        <v>1.5009114737958718</v>
      </c>
      <c r="G50" s="10">
        <f>G38*(1+K11)^G23</f>
        <v>1.6612838647709609</v>
      </c>
      <c r="H50" s="10">
        <f>H38*(1+K11)^H23</f>
        <v>1.8387920457217382</v>
      </c>
      <c r="I50" s="10">
        <f>I38*(1+K11)^I23</f>
        <v>2.0352669758071062</v>
      </c>
      <c r="J50" s="10">
        <f>J38*(1+K11)^J23</f>
        <v>2.252735252172096</v>
      </c>
      <c r="K50" s="10">
        <f>K38*(1+K11)^K23</f>
        <v>2.4934400138666848</v>
      </c>
      <c r="L50" s="33">
        <f>L38*(1+K11)^L23</f>
        <v>2.7598640793483402</v>
      </c>
      <c r="M50" s="3"/>
    </row>
    <row r="51" spans="1:13" s="5" customFormat="1" ht="13.5" thickBot="1">
      <c r="A51" s="36" t="s">
        <v>59</v>
      </c>
      <c r="B51" s="37">
        <f>0-B31</f>
        <v>-62484</v>
      </c>
      <c r="C51" s="37">
        <f>(C49+C34+C35)/(1+K11)^C23</f>
        <v>14455.436599358538</v>
      </c>
      <c r="D51" s="37">
        <f>(D49+D34+D35)/(1+K11)^D23</f>
        <v>12570.228781571659</v>
      </c>
      <c r="E51" s="37">
        <f>(E49+E34+E35)/(1+K11)^E23</f>
        <v>11784.481169477385</v>
      </c>
      <c r="F51" s="37">
        <f>(F49+F34+F35)/(1+K11)^F23</f>
        <v>11199.861080072078</v>
      </c>
      <c r="G51" s="37">
        <f>(G49+G34+G35)/(1+K11)^G23</f>
        <v>10760.713673978065</v>
      </c>
      <c r="H51" s="37">
        <f>(H49+H34+H35)/(1+K11)^H23</f>
        <v>10267.566712574891</v>
      </c>
      <c r="I51" s="37">
        <f>(I49+I34+I35)/(1+K11)^I23</f>
        <v>9147.5841849283352</v>
      </c>
      <c r="J51" s="37">
        <f>(J49+J34+J35)/(1+K11)^J23</f>
        <v>7885.3047569049086</v>
      </c>
      <c r="K51" s="37">
        <f>(K49+K34+K35)/(1+K11)^K23</f>
        <v>7046.1691086583187</v>
      </c>
      <c r="L51" s="38">
        <f>(L49+L34+L35)/(1+K11)^L23</f>
        <v>15294.303917302585</v>
      </c>
      <c r="M51" s="3"/>
    </row>
    <row r="52" spans="1:13" s="5" customFormat="1" ht="13.5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s="5" customFormat="1" ht="13.5" thickTop="1">
      <c r="A53" s="3"/>
      <c r="B53" s="39" t="s">
        <v>60</v>
      </c>
      <c r="C53" s="40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s="5" customFormat="1" ht="13">
      <c r="A54" s="3"/>
      <c r="B54" s="41" t="s">
        <v>61</v>
      </c>
      <c r="C54" s="42">
        <f>SUM(B51:L51)</f>
        <v>47927.649984826763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s="5" customFormat="1" ht="13">
      <c r="A55" s="3"/>
      <c r="B55" s="41" t="s">
        <v>62</v>
      </c>
      <c r="C55" s="26">
        <f>IRR(B49:L49,K11)</f>
        <v>0.23553936023852473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s="5" customFormat="1" ht="13.5" thickBot="1">
      <c r="A56" s="3"/>
      <c r="B56" s="43" t="s">
        <v>63</v>
      </c>
      <c r="C56" s="44">
        <f>SUM(C46:L46)/SUM(B62:K62)</f>
        <v>0.60119717460059141</v>
      </c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s="5" customFormat="1" ht="13.5" thickTop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s="5" customFormat="1" ht="1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s="5" customFormat="1" ht="13">
      <c r="A59" s="3"/>
      <c r="B59" s="3"/>
      <c r="C59" s="3"/>
      <c r="D59" s="3"/>
      <c r="E59" s="3" t="s">
        <v>64</v>
      </c>
      <c r="F59" s="3"/>
      <c r="G59" s="3"/>
      <c r="H59" s="3"/>
      <c r="I59" s="3"/>
      <c r="J59" s="3"/>
      <c r="K59" s="3"/>
      <c r="L59" s="3"/>
      <c r="M59" s="3"/>
    </row>
    <row r="60" spans="1:13" s="5" customFormat="1" ht="13">
      <c r="A60" s="3" t="s">
        <v>65</v>
      </c>
      <c r="B60" s="3"/>
      <c r="C60" s="28">
        <f>C4</f>
        <v>50000</v>
      </c>
      <c r="D60" s="28">
        <f t="shared" ref="D60:L60" si="9">(C60-C61)*D38</f>
        <v>40000</v>
      </c>
      <c r="E60" s="28">
        <f t="shared" si="9"/>
        <v>32000</v>
      </c>
      <c r="F60" s="28">
        <f t="shared" si="9"/>
        <v>25600</v>
      </c>
      <c r="G60" s="28">
        <f t="shared" si="9"/>
        <v>20480</v>
      </c>
      <c r="H60" s="28">
        <f t="shared" si="9"/>
        <v>16383.999999999996</v>
      </c>
      <c r="I60" s="28">
        <f t="shared" si="9"/>
        <v>13107.199999999993</v>
      </c>
      <c r="J60" s="28">
        <f t="shared" si="9"/>
        <v>10485.759999999991</v>
      </c>
      <c r="K60" s="28">
        <f t="shared" si="9"/>
        <v>9999.9999999999836</v>
      </c>
      <c r="L60" s="28">
        <f t="shared" si="9"/>
        <v>9999.9999999999836</v>
      </c>
      <c r="M60" s="3"/>
    </row>
    <row r="61" spans="1:13" s="5" customFormat="1" ht="13">
      <c r="A61" s="3" t="s">
        <v>66</v>
      </c>
      <c r="B61" s="3"/>
      <c r="C61" s="28">
        <f>IF(C8=1,((C4-C7)/C6)*C38,(IF(C7&lt;C4*(1-2/C6)^(C23),C4*(1-2/C6)^(C23-1)*(2/C6)*C38,(IF(0&lt;(C4*(1-2/C6)^(C23-1))-C7,0,C4*C38*(1-2/C6)^(C23-1)-C7)))))</f>
        <v>10000</v>
      </c>
      <c r="D61" s="28">
        <f>IF(C8=1,((C4-C7)/C6)*D38,(IF(C7&lt;C4*(1-2/C6)^(D23),C4*(1-2/C6)^(D23-1)*(2/C6)*D38,(IF(0&lt;(C4*(1-2/C6)^(D23-1))-C7,0,C4*D38*(1-2/C6)^(D23-1)-C7)))))</f>
        <v>8000</v>
      </c>
      <c r="E61" s="28">
        <f>IF(C8=1,((C4-C7)/C6)*E38,(IF(C7&lt;C4*(1-2/C6)^(E23),C4*(1-2/C6)^(E23-1)*(2/C6)*E38,(IF(0&lt;(C4*(1-2/C6)^(E23-1))-C7,0,C4*E38*(1-2/C6)^(E23-1)-C7)))))</f>
        <v>6400.0000000000018</v>
      </c>
      <c r="F61" s="28">
        <f>IF(C8=1,((C4-C7)/C6)*F38,(IF(C7&lt;C4*(1-2/C6)^(F23),C4*(1-2/C6)^(F23-1)*(2/C6)*F38,(IF(0&gt;(C4*(1-2/C6)^(F23-1))-C7,0,C4*F38*(1-2/C6)^(F23-1)-C7)))))</f>
        <v>5120.0000000000018</v>
      </c>
      <c r="G61" s="28">
        <f>IF(C8=1,((C4-C7)/C6)*F38,(IF(C7&lt;C4*(1-2/C6)^(G23),C4*(1-2/C6)^(G23-1)*(2/C6)*G38,(IF(0&gt;(C4*(1-2/C6)^(G23-1))-C7,0,C4*G38*(1-2/C6)^(G23-1)-C7)))))</f>
        <v>4096.0000000000027</v>
      </c>
      <c r="H61" s="28">
        <f>IF(C8=1,((C4-C7)/C6)*H38,(IF(C7&lt;C4*(1-2/C6)^(H23),C4*(1-2/C6)^(H23-1)*(2/C6)*H38,(IF(0&gt;(C4*(1-2/C6)^(H23-1))-C7,0,C4*H38*(1-2/C6)^(H23-1)-C7)))))</f>
        <v>3276.8000000000025</v>
      </c>
      <c r="I61" s="28">
        <f>IF(C8=1,((C4-C7)/C6)*I38,(IF(C7&lt;C4*(1-2/C6)^(I23),C4*(1-2/C6)^(I23-1)*(2/C6)*I38,(IF(0&gt;(C4*(1-2/C6)^(I23-1))-C7,0,C4*I38*(1-2/C6)^(I23-1)-C7)))))</f>
        <v>2621.4400000000019</v>
      </c>
      <c r="J61" s="28">
        <f>IF(C8=1,((C4-C7)/C6)*J38,(IF(C7&lt;C4*(1-2/C6)^(J23),C4*(1-2/C6)^(J23-1)*(2/C6)*J38,(IF(0&gt;(C4*(1-2/C6)^(J23-1))-C7,0,C4*J38*(1-2/C6)^(J23-1)-C7)))))</f>
        <v>485.76000000000749</v>
      </c>
      <c r="K61" s="28">
        <f>IF(C8=1,((C4-C7)/C6)*K38,(IF(C7&lt;C4*(1-2/C6)^(K23),C4*(1-2/C6)^(K23-1)*(2/C6)*K38,(IF(0&gt;(C4*(1-2/C6)^(K23-1))-C7,0,C4*K38*(1-2/C6)^(K23-1)-C7)))))</f>
        <v>0</v>
      </c>
      <c r="L61" s="28">
        <f>IF(C8=1,((C4-C7)/C6)*L38,(IF(C7&lt;C4*(1-2/C6)^(L23),C4*(1-2/C6)^(L23-1)*(2/C6)*L38,(IF(0&gt;(C4*(1-2/C6)^(L23-1))-C7,0,C4*L38*(1-2/C6)^(L23-1)-C7)))))</f>
        <v>0</v>
      </c>
      <c r="M61" s="3"/>
    </row>
    <row r="62" spans="1:13" s="5" customFormat="1" ht="13">
      <c r="A62" s="3" t="s">
        <v>67</v>
      </c>
      <c r="B62" s="28">
        <f>C4</f>
        <v>50000</v>
      </c>
      <c r="C62" s="28">
        <f>C60-C61</f>
        <v>40000</v>
      </c>
      <c r="D62" s="28">
        <f t="shared" ref="D62:L62" si="10">D60-D61</f>
        <v>32000</v>
      </c>
      <c r="E62" s="28">
        <f t="shared" si="10"/>
        <v>25600</v>
      </c>
      <c r="F62" s="28">
        <f t="shared" si="10"/>
        <v>20480</v>
      </c>
      <c r="G62" s="28">
        <f t="shared" si="10"/>
        <v>16383.999999999996</v>
      </c>
      <c r="H62" s="28">
        <f t="shared" si="10"/>
        <v>13107.199999999993</v>
      </c>
      <c r="I62" s="28">
        <f t="shared" si="10"/>
        <v>10485.759999999991</v>
      </c>
      <c r="J62" s="28">
        <f t="shared" si="10"/>
        <v>9999.9999999999836</v>
      </c>
      <c r="K62" s="28">
        <f t="shared" si="10"/>
        <v>9999.9999999999836</v>
      </c>
      <c r="L62" s="28">
        <f t="shared" si="10"/>
        <v>9999.9999999999836</v>
      </c>
      <c r="M62" s="3"/>
    </row>
    <row r="63" spans="1:13" s="5" customFormat="1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s="5" customFormat="1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s="5" customFormat="1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s="5" customFormat="1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5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5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5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5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5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5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5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5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5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5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5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5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5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5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5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5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5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5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5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5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5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5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5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5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</sheetData>
  <printOptions gridLinesSet="0"/>
  <pageMargins left="0.75" right="0.75" top="1" bottom="1" header="0.5" footer="0.5"/>
  <pageSetup firstPageNumber="5" orientation="landscape" useFirstPageNumber="1" horizontalDpi="0" verticalDpi="0" copies="0"/>
  <headerFooter alignWithMargins="0">
    <oddHeader>&amp;C&amp;"Times"&amp;12CAPITAL BUDGETING WORKSHEET&amp;R&amp;P</oddHeader>
  </headerFooter>
  <rowBreaks count="2" manualBreakCount="2">
    <brk id="20" max="65535" man="1"/>
    <brk id="6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CapBudgWS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Aswath Damodaran</dc:creator>
  <cp:keywords/>
  <dc:description/>
  <cp:lastModifiedBy>Pranav Kuhikar</cp:lastModifiedBy>
  <dcterms:created xsi:type="dcterms:W3CDTF">2000-11-15T22:33:24Z</dcterms:created>
  <dcterms:modified xsi:type="dcterms:W3CDTF">2025-06-10T03:11:55Z</dcterms:modified>
</cp:coreProperties>
</file>