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7a\AC\Temp\"/>
    </mc:Choice>
  </mc:AlternateContent>
  <xr:revisionPtr revIDLastSave="0" documentId="8_{03CEECDE-F42A-446B-A4DA-3850ABBF39D3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Summary" sheetId="5" r:id="rId1"/>
    <sheet name="Calculations-Main" sheetId="3" r:id="rId2"/>
    <sheet name="Assumption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3" l="1"/>
  <c r="F35" i="3" l="1"/>
  <c r="F34" i="3"/>
  <c r="F33" i="3"/>
  <c r="F32" i="3"/>
  <c r="F31" i="3"/>
  <c r="C17" i="3"/>
  <c r="C39" i="3"/>
  <c r="B17" i="5" l="1"/>
  <c r="B16" i="5"/>
  <c r="B15" i="5"/>
  <c r="B14" i="5"/>
  <c r="B13" i="5"/>
  <c r="B12" i="5"/>
  <c r="B11" i="5"/>
  <c r="B10" i="5"/>
  <c r="B9" i="5"/>
  <c r="B8" i="5"/>
  <c r="B7" i="5"/>
  <c r="C2" i="5"/>
  <c r="C12" i="3" l="1"/>
  <c r="C11" i="3" l="1"/>
  <c r="E52" i="3" l="1"/>
  <c r="E40" i="3"/>
  <c r="E46" i="3"/>
  <c r="E56" i="3"/>
  <c r="J29" i="3"/>
  <c r="J30" i="3"/>
  <c r="J31" i="3"/>
  <c r="J32" i="3"/>
  <c r="J33" i="3"/>
  <c r="J34" i="3"/>
  <c r="J35" i="3"/>
  <c r="E25" i="3"/>
  <c r="C51" i="3"/>
  <c r="C52" i="3"/>
  <c r="C93" i="4"/>
  <c r="C103" i="4"/>
  <c r="C102" i="4"/>
  <c r="C90" i="4"/>
  <c r="C101" i="4"/>
  <c r="C92" i="4"/>
  <c r="B121" i="4"/>
  <c r="C81" i="4"/>
  <c r="C82" i="4"/>
  <c r="C83" i="4"/>
  <c r="C57" i="3"/>
  <c r="C72" i="4"/>
  <c r="C73" i="4"/>
  <c r="C56" i="3"/>
  <c r="B115" i="4"/>
  <c r="E29" i="3"/>
  <c r="E30" i="3"/>
  <c r="E31" i="3"/>
  <c r="E32" i="3"/>
  <c r="E33" i="3"/>
  <c r="E34" i="3"/>
  <c r="D35" i="3"/>
  <c r="E35" i="3"/>
  <c r="B117" i="4"/>
  <c r="B113" i="4"/>
  <c r="B111" i="4"/>
  <c r="B109" i="4"/>
  <c r="C62" i="4"/>
  <c r="C53" i="4"/>
  <c r="C54" i="4"/>
  <c r="C45" i="3"/>
  <c r="C41" i="4"/>
  <c r="C42" i="4"/>
  <c r="C43" i="4"/>
  <c r="C40" i="3"/>
  <c r="C33" i="4"/>
  <c r="C34" i="4"/>
  <c r="C22" i="4"/>
  <c r="C23" i="4"/>
  <c r="C24" i="4"/>
  <c r="C26" i="3"/>
  <c r="C14" i="4"/>
  <c r="C15" i="4"/>
  <c r="C19" i="3"/>
  <c r="C17" i="5" s="1"/>
  <c r="D17" i="5" s="1"/>
  <c r="D19" i="3"/>
  <c r="C18" i="3"/>
  <c r="C16" i="5" s="1"/>
  <c r="D16" i="5" s="1"/>
  <c r="F52" i="3"/>
  <c r="D18" i="3"/>
  <c r="C63" i="4"/>
  <c r="C64" i="4"/>
  <c r="C46" i="3"/>
  <c r="C16" i="3"/>
  <c r="C14" i="5" s="1"/>
  <c r="D14" i="5" s="1"/>
  <c r="D16" i="3"/>
  <c r="D17" i="3"/>
  <c r="C25" i="3"/>
  <c r="G33" i="3"/>
  <c r="G32" i="3"/>
  <c r="G31" i="3"/>
  <c r="G34" i="3"/>
  <c r="G30" i="3"/>
  <c r="G29" i="3"/>
  <c r="C11" i="5"/>
  <c r="D11" i="5" s="1"/>
  <c r="H33" i="3"/>
  <c r="I33" i="3"/>
  <c r="C10" i="5"/>
  <c r="D10" i="5" s="1"/>
  <c r="H32" i="3"/>
  <c r="I32" i="3"/>
  <c r="C9" i="5"/>
  <c r="D9" i="5" s="1"/>
  <c r="H31" i="3"/>
  <c r="I31" i="3"/>
  <c r="C12" i="5"/>
  <c r="D12" i="5" s="1"/>
  <c r="H34" i="3"/>
  <c r="I34" i="3"/>
  <c r="F30" i="3"/>
  <c r="H30" i="3"/>
  <c r="I30" i="3"/>
  <c r="G35" i="3"/>
  <c r="H29" i="3"/>
  <c r="I29" i="3" s="1"/>
  <c r="C8" i="5" l="1"/>
  <c r="D8" i="5" s="1"/>
  <c r="C15" i="3"/>
  <c r="C15" i="5"/>
  <c r="D15" i="5" s="1"/>
  <c r="F40" i="3"/>
  <c r="H35" i="3"/>
  <c r="I35" i="3" s="1"/>
  <c r="C13" i="5"/>
  <c r="D13" i="5" s="1"/>
  <c r="C7" i="5"/>
  <c r="D15" i="3" l="1"/>
  <c r="D20" i="3" s="1"/>
  <c r="C20" i="3"/>
  <c r="D7" i="5"/>
  <c r="D18" i="5" s="1"/>
  <c r="C18" i="5"/>
  <c r="C3" i="5" s="1"/>
  <c r="C4" i="5" s="1"/>
  <c r="G20" i="3" l="1"/>
  <c r="C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tc={2A6D6EC8-2C04-45CF-84EF-402FBEFC88BC}</author>
    <author>tc={63584388-E8D1-4DD5-A6F1-7971DB7710B9}</author>
    <author>tc={0FCFC738-AED4-44E2-9CDA-6C4FC21A7A7D}</author>
  </authors>
  <commentList>
    <comment ref="B10" authorId="0" shapeId="0" xr:uid="{2A6D6EC8-2C04-45CF-84EF-402FBEFC88B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https://www.iea.org/news/global-energy-demand-rose-by-23-in-2018-its-fastest-pace-in-the-last-decade</t>
      </text>
    </comment>
    <comment ref="B28" authorId="1" shapeId="0" xr:uid="{63584388-E8D1-4DD5-A6F1-7971DB7710B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https://www.dw.com/en/coronavirus-what-are-the-lockdown-measures-across-europe/a-52905137</t>
      </text>
    </comment>
    <comment ref="D28" authorId="2" shapeId="0" xr:uid="{0FCFC738-AED4-44E2-9CDA-6C4FC21A7A7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https://ec.europa.eu/eurostat/tgm/table.do?tab=table&amp;plugin=1&amp;language=en&amp;pcode=tps00001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tc={136BE863-29A0-4BD0-9578-DEBB2CA8C64E}</author>
    <author>tc={2A7A5B64-98A2-4C97-8BA1-52282ACB5371}</author>
    <author>tc={14CCD949-BA12-4155-BDB7-06927DCB936F}</author>
    <author>tc={3A1B5350-2FE5-426E-876E-81690E146071}</author>
    <author>tc={C43250D1-348A-434E-A34C-95870F89AF95}</author>
    <author>tc={8CAF60FC-1E68-4CB9-8794-E12AC2C161B5}</author>
    <author>tc={6C1095EF-3EB2-4D4B-B3E7-5482509D6FDF}</author>
    <author>tc={B57048F6-3401-4FF7-A104-69400FC96C35}</author>
    <author>tc={421B4FEE-F742-44E7-92F5-CBE0435FDF45}</author>
    <author>tc={697EA605-D00E-4DCD-9936-FA473E94C77B}</author>
  </authors>
  <commentList>
    <comment ref="B12" authorId="0" shapeId="0" xr:uid="{136BE863-29A0-4BD0-9578-DEBB2CA8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https://www.eea.europa.eu/data-and-maps/indicators/transport-final-energy-consumption-by-mode/assessment-10</t>
      </text>
    </comment>
    <comment ref="B19" authorId="1" shapeId="0" xr:uid="{2A7A5B64-98A2-4C97-8BA1-52282ACB537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https://www.eea.europa.eu/data-and-maps/indicators/overview-of-the-electricity-production-2/assessment-4</t>
      </text>
    </comment>
    <comment ref="B31" authorId="2" shapeId="0" xr:uid="{14CCD949-BA12-4155-BDB7-06927DCB936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https://www.statista.com/statistics/868404/japan-final-energy-consumption-transportation-sector-by-industry/</t>
      </text>
    </comment>
    <comment ref="B38" authorId="3" shapeId="0" xr:uid="{3A1B5350-2FE5-426E-876E-81690E14607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https://en.wikipedia.org/wiki/Electricity_sector_in_Japan</t>
      </text>
    </comment>
    <comment ref="B51" authorId="4" shapeId="0" xr:uid="{C43250D1-348A-434E-A34C-95870F89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https://www.statista.com/statistics/868404/japan-final-energy-consumption-transportation-sector-by-industry/</t>
      </text>
    </comment>
    <comment ref="B59" authorId="5" shapeId="0" xr:uid="{8CAF60FC-1E68-4CB9-8794-E12AC2C161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https://en.wikipedia.org/wiki/Electricity_sector_in_India
</t>
      </text>
    </comment>
    <comment ref="B70" authorId="6" shapeId="0" xr:uid="{6C1095EF-3EB2-4D4B-B3E7-5482509D6FD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https://www.statista.com/statistics/868404/japan-final-energy-consumption-transportation-sector-by-industry/</t>
      </text>
    </comment>
    <comment ref="B78" authorId="7" shapeId="0" xr:uid="{B57048F6-3401-4FF7-A104-69400FC96C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https://en.wikipedia.org/wiki/Electricity_sector_in_China#Sources
</t>
      </text>
    </comment>
    <comment ref="B90" authorId="8" shapeId="0" xr:uid="{421B4FEE-F742-44E7-92F5-CBE0435FDF4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https://www.statista.com/statistics/868404/japan-final-energy-consumption-transportation-sector-by-industry/</t>
      </text>
    </comment>
    <comment ref="B98" authorId="9" shapeId="0" xr:uid="{697EA605-D00E-4DCD-9936-FA473E94C7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https://en.wikipedia.org/wiki/Electricity_sector_in_China#Sources
</t>
      </text>
    </comment>
  </commentList>
</comments>
</file>

<file path=xl/sharedStrings.xml><?xml version="1.0" encoding="utf-8"?>
<sst xmlns="http://schemas.openxmlformats.org/spreadsheetml/2006/main" count="181" uniqueCount="75">
  <si>
    <t>Global Emission data</t>
  </si>
  <si>
    <t>MT</t>
  </si>
  <si>
    <t>Total Savings on CO2 Emissions of the world</t>
  </si>
  <si>
    <t>% Savings on Global Data</t>
  </si>
  <si>
    <t>Countries</t>
  </si>
  <si>
    <t>MT CO2</t>
  </si>
  <si>
    <t>% OF MT Savings</t>
  </si>
  <si>
    <t>Total Savings on CO2 Emissions of given economies</t>
  </si>
  <si>
    <t>T0</t>
  </si>
  <si>
    <t>Covid Start Date</t>
  </si>
  <si>
    <t>No of days in a year</t>
  </si>
  <si>
    <t>GDP Considered</t>
  </si>
  <si>
    <t>Today's Date</t>
  </si>
  <si>
    <t>Efficiency of most affected countries</t>
  </si>
  <si>
    <t>Assuming other countries are running at lower efficiency</t>
  </si>
  <si>
    <t>Global Carbon CO2 emissions per year in 2018</t>
  </si>
  <si>
    <t>GT</t>
  </si>
  <si>
    <t>Equivalent CO2 emissions</t>
  </si>
  <si>
    <t>CO2 Savings</t>
  </si>
  <si>
    <t>Europe</t>
  </si>
  <si>
    <t>India</t>
  </si>
  <si>
    <t>Japan</t>
  </si>
  <si>
    <t>US</t>
  </si>
  <si>
    <t>China</t>
  </si>
  <si>
    <t>Total World savings on CO2 emissions</t>
  </si>
  <si>
    <t>Daily Data for Europe</t>
  </si>
  <si>
    <t>CO2 Emissions by transport sector</t>
  </si>
  <si>
    <t>CO2 Emissions by Industries from Conventional Sources</t>
  </si>
  <si>
    <t>Total Europe Population</t>
  </si>
  <si>
    <t>Lockdown date</t>
  </si>
  <si>
    <t>Population</t>
  </si>
  <si>
    <t>Percentage</t>
  </si>
  <si>
    <t>CO2 Emissions saved by transport Sector in Europe</t>
  </si>
  <si>
    <t>CO2 Emissions saved by Industries in Europe</t>
  </si>
  <si>
    <t xml:space="preserve">total saving </t>
  </si>
  <si>
    <t xml:space="preserve">daily saving </t>
  </si>
  <si>
    <t xml:space="preserve">percentage of daily </t>
  </si>
  <si>
    <t>Italy</t>
  </si>
  <si>
    <t>spain</t>
  </si>
  <si>
    <t>france</t>
  </si>
  <si>
    <t>Germany</t>
  </si>
  <si>
    <t>UK</t>
  </si>
  <si>
    <t>belgium</t>
  </si>
  <si>
    <t>Rest of Europe</t>
  </si>
  <si>
    <t>Daily Data for Japan</t>
  </si>
  <si>
    <t>At optimum capacity</t>
  </si>
  <si>
    <t>Daily Data for India</t>
  </si>
  <si>
    <t>Daily Data for US</t>
  </si>
  <si>
    <t>Daily Data for China</t>
  </si>
  <si>
    <t>Assumptions :-</t>
  </si>
  <si>
    <t>Industrial+Commercial : Residential</t>
  </si>
  <si>
    <t>Used India's Sector percentage</t>
  </si>
  <si>
    <t>Essential Services</t>
  </si>
  <si>
    <t>Transport Essentials</t>
  </si>
  <si>
    <t>Total Energy consumption by transport sector includes domestic,rail,aviation,marine and road</t>
  </si>
  <si>
    <t>Data Point</t>
  </si>
  <si>
    <t>Million TerraJoules</t>
  </si>
  <si>
    <t>Increament in global demand Y-O-Y</t>
  </si>
  <si>
    <t>Excl Essential Transport Services</t>
  </si>
  <si>
    <t>Total Electricity Production (Ren+Natural gas+Nuclear+coal &amp; Lignite)</t>
  </si>
  <si>
    <t>Terrawatt hours</t>
  </si>
  <si>
    <t>Renewable %</t>
  </si>
  <si>
    <t>Industrial+Commercial demand</t>
  </si>
  <si>
    <t>Excl EssentialServices</t>
  </si>
  <si>
    <t>Exa Joules</t>
  </si>
  <si>
    <t>https://www.bp.com/content/dam/bp/business-sites/en/global/corporate/pdfs/energy-economics/energy-outlook/bp-energy-outlook-2019-country-insight-india.pdf</t>
  </si>
  <si>
    <t>Mtoe</t>
  </si>
  <si>
    <t>Unit Conversions</t>
  </si>
  <si>
    <t>Million terrajoules to joules</t>
  </si>
  <si>
    <t>Terrawatt hours to joules</t>
  </si>
  <si>
    <t>exajoules to joules</t>
  </si>
  <si>
    <t>mtoe to joules</t>
  </si>
  <si>
    <t>joules to gallons of gasonline</t>
  </si>
  <si>
    <t>gallon of gasoline to MT CO2</t>
  </si>
  <si>
    <t>GWh to Joules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</si>
</sst>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3" fillId="0" borderId="0" xfId="0" applyFont="1" applyAlignment="1">
      <alignment horizontal="left"/>
    </xf>
    <xf numFmtId="16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5" fillId="0" borderId="0" xfId="2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0" fontId="6" fillId="0" borderId="0" xfId="0" applyFont="1"/>
    <xf numFmtId="10" fontId="0" fillId="0" borderId="0" xfId="1" applyNumberFormat="1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7" fillId="0" borderId="0" xfId="0" applyFont="1"/>
    <xf numFmtId="2" fontId="0" fillId="0" borderId="1" xfId="0" applyNumberFormat="1" applyBorder="1"/>
    <xf numFmtId="10" fontId="0" fillId="0" borderId="1" xfId="1" applyNumberFormat="1" applyFont="1" applyBorder="1"/>
    <xf numFmtId="0" fontId="4" fillId="0" borderId="1" xfId="0" applyFont="1" applyFill="1" applyBorder="1"/>
    <xf numFmtId="0" fontId="1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left"/>
    </xf>
    <xf numFmtId="9" fontId="0" fillId="0" borderId="0" xfId="0" applyNumberFormat="1" applyFill="1"/>
    <xf numFmtId="164" fontId="1" fillId="0" borderId="0" xfId="0" applyNumberFormat="1" applyFont="1" applyFill="1"/>
    <xf numFmtId="10" fontId="4" fillId="3" borderId="1" xfId="1" applyNumberFormat="1" applyFont="1" applyFill="1" applyBorder="1"/>
    <xf numFmtId="1" fontId="4" fillId="0" borderId="1" xfId="0" applyNumberFormat="1" applyFon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/>
    <xf numFmtId="0" fontId="1" fillId="0" borderId="2" xfId="0" applyFont="1" applyBorder="1"/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0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0" fontId="0" fillId="0" borderId="3" xfId="0" applyNumberFormat="1" applyBorder="1"/>
    <xf numFmtId="0" fontId="1" fillId="0" borderId="2" xfId="0" applyFont="1" applyBorder="1" applyAlignment="1">
      <alignment wrapText="1"/>
    </xf>
    <xf numFmtId="10" fontId="1" fillId="0" borderId="2" xfId="0" applyNumberFormat="1" applyFont="1" applyBorder="1"/>
    <xf numFmtId="10" fontId="1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urag Kumar" id="{035C37DA-958E-4E94-9AA1-CB9570D0DA9C}" userId="S::anurag.k@Dexlerenergy.com::41f79b52-027e-4b6f-b239-0b0269b103ab" providerId="AD"/>
  <person displayName="Anurag Kumar" id="{B8AAB793-B538-45B4-A626-C9994A2E10D8}" userId="S::anurag.k@dexlerenergy.com::41f79b52-027e-4b6f-b239-0b0269b103a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0-03-29T12:05:30.99" personId="{035C37DA-958E-4E94-9AA1-CB9570D0DA9C}" id="{2A6D6EC8-2C04-45CF-84EF-402FBEFC88BC}">
    <text>https://www.iea.org/news/global-energy-demand-rose-by-23-in-2018-its-fastest-pace-in-the-last-decade</text>
  </threadedComment>
  <threadedComment ref="B28" dT="2020-03-29T13:05:22.54" personId="{035C37DA-958E-4E94-9AA1-CB9570D0DA9C}" id="{63584388-E8D1-4DD5-A6F1-7971DB7710B9}">
    <text>https://www.dw.com/en/coronavirus-what-are-the-lockdown-measures-across-europe/a-52905137</text>
  </threadedComment>
  <threadedComment ref="D28" dT="2020-03-29T13:05:09.24" personId="{035C37DA-958E-4E94-9AA1-CB9570D0DA9C}" id="{0FCFC738-AED4-44E2-9CDA-6C4FC21A7A7D}">
    <text>https://ec.europa.eu/eurostat/tgm/table.do?tab=table&amp;plugin=1&amp;language=en&amp;pcode=tps00001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2" dT="2020-03-29T11:52:08.52" personId="{035C37DA-958E-4E94-9AA1-CB9570D0DA9C}" id="{136BE863-29A0-4BD0-9578-DEBB2CA8C64E}">
    <text>https://www.eea.europa.eu/data-and-maps/indicators/transport-final-energy-consumption-by-mode/assessment-10</text>
  </threadedComment>
  <threadedComment ref="B19" dT="2020-03-29T12:14:50.03" personId="{035C37DA-958E-4E94-9AA1-CB9570D0DA9C}" id="{2A7A5B64-98A2-4C97-8BA1-52282ACB5371}">
    <text>https://www.eea.europa.eu/data-and-maps/indicators/overview-of-the-electricity-production-2/assessment-4</text>
  </threadedComment>
  <threadedComment ref="B31" dT="2020-03-29T12:25:21.47" personId="{035C37DA-958E-4E94-9AA1-CB9570D0DA9C}" id="{14CCD949-BA12-4155-BDB7-06927DCB936F}">
    <text>https://www.statista.com/statistics/868404/japan-final-energy-consumption-transportation-sector-by-industry/</text>
  </threadedComment>
  <threadedComment ref="B38" dT="2020-03-29T12:26:04.28" personId="{035C37DA-958E-4E94-9AA1-CB9570D0DA9C}" id="{3A1B5350-2FE5-426E-876E-81690E146071}">
    <text>https://en.wikipedia.org/wiki/Electricity_sector_in_Japan</text>
  </threadedComment>
  <threadedComment ref="B51" dT="2020-03-29T12:25:21.47" personId="{035C37DA-958E-4E94-9AA1-CB9570D0DA9C}" id="{C43250D1-348A-434E-A34C-95870F89AF95}">
    <text>https://www.statista.com/statistics/868404/japan-final-energy-consumption-transportation-sector-by-industry/</text>
  </threadedComment>
  <threadedComment ref="B59" dT="2020-03-29T17:45:31.60" personId="{B8AAB793-B538-45B4-A626-C9994A2E10D8}" id="{8CAF60FC-1E68-4CB9-8794-E12AC2C161B5}">
    <text xml:space="preserve">https://en.wikipedia.org/wiki/Electricity_sector_in_India
</text>
  </threadedComment>
  <threadedComment ref="B70" dT="2020-03-29T12:25:21.47" personId="{035C37DA-958E-4E94-9AA1-CB9570D0DA9C}" id="{6C1095EF-3EB2-4D4B-B3E7-5482509D6FDF}">
    <text>https://www.statista.com/statistics/868404/japan-final-energy-consumption-transportation-sector-by-industry/</text>
  </threadedComment>
  <threadedComment ref="B78" dT="2020-03-29T17:13:53.19" personId="{B8AAB793-B538-45B4-A626-C9994A2E10D8}" id="{B57048F6-3401-4FF7-A104-69400FC96C35}">
    <text xml:space="preserve">https://en.wikipedia.org/wiki/Electricity_sector_in_China#Sources
</text>
  </threadedComment>
  <threadedComment ref="B90" dT="2020-03-29T12:25:21.47" personId="{035C37DA-958E-4E94-9AA1-CB9570D0DA9C}" id="{421B4FEE-F742-44E7-92F5-CBE0435FDF45}">
    <text>https://www.statista.com/statistics/868404/japan-final-energy-consumption-transportation-sector-by-industry/</text>
  </threadedComment>
  <threadedComment ref="B98" dT="2020-03-29T17:13:53.19" personId="{B8AAB793-B538-45B4-A626-C9994A2E10D8}" id="{697EA605-D00E-4DCD-9936-FA473E94C77B}">
    <text xml:space="preserve">https://en.wikipedia.org/wiki/Electricity_sector_in_China#Sources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p.com/content/dam/bp/business-sites/en/global/corporate/pdfs/energy-economics/energy-outlook/bp-energy-outlook-2019-country-insight-india.pdf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9F1F-6197-40F4-9544-C8410E2A7794}">
  <dimension ref="B2:D18"/>
  <sheetViews>
    <sheetView topLeftCell="A16" workbookViewId="0">
      <selection activeCell="C4" sqref="C4"/>
    </sheetView>
  </sheetViews>
  <sheetFormatPr defaultRowHeight="15"/>
  <cols>
    <col min="2" max="2" width="28.85546875" customWidth="1"/>
    <col min="3" max="3" width="12.7109375" bestFit="1" customWidth="1"/>
    <col min="4" max="4" width="15.85546875" bestFit="1" customWidth="1"/>
  </cols>
  <sheetData>
    <row r="2" spans="2:4">
      <c r="B2" s="3" t="s">
        <v>0</v>
      </c>
      <c r="C2" s="3">
        <f>'Calculations-Main'!C12</f>
        <v>33990000000</v>
      </c>
      <c r="D2" s="3" t="s">
        <v>1</v>
      </c>
    </row>
    <row r="3" spans="2:4" ht="30">
      <c r="B3" s="18" t="s">
        <v>2</v>
      </c>
      <c r="C3" s="8">
        <f>C18/'Calculations-Main'!C5</f>
        <v>709964580.00933349</v>
      </c>
      <c r="D3" s="3" t="s">
        <v>1</v>
      </c>
    </row>
    <row r="4" spans="2:4">
      <c r="B4" t="s">
        <v>3</v>
      </c>
      <c r="C4" s="46">
        <f>C3/C2</f>
        <v>2.0887454545729142E-2</v>
      </c>
    </row>
    <row r="6" spans="2:4">
      <c r="B6" s="35" t="s">
        <v>4</v>
      </c>
      <c r="C6" s="36" t="s">
        <v>5</v>
      </c>
      <c r="D6" s="37" t="s">
        <v>6</v>
      </c>
    </row>
    <row r="7" spans="2:4">
      <c r="B7" s="38" t="str">
        <f>'Calculations-Main'!B29</f>
        <v>Italy</v>
      </c>
      <c r="C7" s="38">
        <f>'Calculations-Main'!F29+'Calculations-Main'!G29</f>
        <v>8655569.0411989503</v>
      </c>
      <c r="D7" s="39">
        <f>C7/$C$2</f>
        <v>2.5465045722856576E-4</v>
      </c>
    </row>
    <row r="8" spans="2:4">
      <c r="B8" s="38" t="str">
        <f>'Calculations-Main'!B30</f>
        <v>spain</v>
      </c>
      <c r="C8" s="38">
        <f>'Calculations-Main'!F30+'Calculations-Main'!G30</f>
        <v>5498068.7948301369</v>
      </c>
      <c r="D8" s="39">
        <f t="shared" ref="D8:D17" si="0">C8/$C$2</f>
        <v>1.61755480871731E-4</v>
      </c>
    </row>
    <row r="9" spans="2:4">
      <c r="B9" s="38" t="str">
        <f>'Calculations-Main'!B31</f>
        <v>france</v>
      </c>
      <c r="C9" s="38">
        <f>'Calculations-Main'!F31+'Calculations-Main'!G31</f>
        <v>6674570.1780487224</v>
      </c>
      <c r="D9" s="39">
        <f t="shared" si="0"/>
        <v>1.9636864307292506E-4</v>
      </c>
    </row>
    <row r="10" spans="2:4">
      <c r="B10" s="38" t="str">
        <f>'Calculations-Main'!B32</f>
        <v>Germany</v>
      </c>
      <c r="C10" s="38">
        <f>'Calculations-Main'!F32+'Calculations-Main'!G32</f>
        <v>6425521.5336037753</v>
      </c>
      <c r="D10" s="39">
        <f t="shared" si="0"/>
        <v>1.8904152790831936E-4</v>
      </c>
    </row>
    <row r="11" spans="2:4">
      <c r="B11" s="38" t="str">
        <f>'Calculations-Main'!B33</f>
        <v>UK</v>
      </c>
      <c r="C11" s="38">
        <f>'Calculations-Main'!F33+'Calculations-Main'!G33</f>
        <v>4770519.8261173833</v>
      </c>
      <c r="D11" s="39">
        <f t="shared" si="0"/>
        <v>1.4035068626411836E-4</v>
      </c>
    </row>
    <row r="12" spans="2:4">
      <c r="B12" s="38" t="str">
        <f>'Calculations-Main'!B34</f>
        <v>belgium</v>
      </c>
      <c r="C12" s="38">
        <f>'Calculations-Main'!F34+'Calculations-Main'!G34</f>
        <v>1125846.6615668365</v>
      </c>
      <c r="D12" s="39">
        <f t="shared" si="0"/>
        <v>3.3122879128179948E-5</v>
      </c>
    </row>
    <row r="13" spans="2:4">
      <c r="B13" s="38" t="str">
        <f>'Calculations-Main'!B35</f>
        <v>Rest of Europe</v>
      </c>
      <c r="C13" s="38">
        <f>'Calculations-Main'!F35+'Calculations-Main'!G35</f>
        <v>14905598.097620012</v>
      </c>
      <c r="D13" s="39">
        <f t="shared" si="0"/>
        <v>4.3852892314268939E-4</v>
      </c>
    </row>
    <row r="14" spans="2:4">
      <c r="B14" s="38" t="str">
        <f>'Calculations-Main'!B16</f>
        <v>India</v>
      </c>
      <c r="C14" s="40">
        <f>'Calculations-Main'!C16</f>
        <v>23250836.135833021</v>
      </c>
      <c r="D14" s="39">
        <f t="shared" si="0"/>
        <v>6.8404931261644667E-4</v>
      </c>
    </row>
    <row r="15" spans="2:4">
      <c r="B15" s="38" t="str">
        <f>'Calculations-Main'!B17</f>
        <v>Japan</v>
      </c>
      <c r="C15" s="40">
        <f>'Calculations-Main'!C17</f>
        <v>6675874.3606511159</v>
      </c>
      <c r="D15" s="39">
        <f t="shared" si="0"/>
        <v>1.9640701266993574E-4</v>
      </c>
    </row>
    <row r="16" spans="2:4">
      <c r="B16" s="38" t="str">
        <f>'Calculations-Main'!B18</f>
        <v>US</v>
      </c>
      <c r="C16" s="40">
        <f>'Calculations-Main'!C18</f>
        <v>87712294.735476628</v>
      </c>
      <c r="D16" s="39">
        <f t="shared" si="0"/>
        <v>2.5805323546771587E-3</v>
      </c>
    </row>
    <row r="17" spans="2:4">
      <c r="B17" s="41" t="str">
        <f>'Calculations-Main'!B19</f>
        <v>China</v>
      </c>
      <c r="C17" s="42">
        <f>'Calculations-Main'!C19</f>
        <v>331280506.64158678</v>
      </c>
      <c r="D17" s="43">
        <f t="shared" si="0"/>
        <v>9.7464109044303263E-3</v>
      </c>
    </row>
    <row r="18" spans="2:4" ht="30">
      <c r="B18" s="44" t="s">
        <v>7</v>
      </c>
      <c r="C18" s="35">
        <f>SUM(C7:C17)</f>
        <v>496975206.00653338</v>
      </c>
      <c r="D18" s="45">
        <f>SUM(D7:D17)</f>
        <v>1.4621218182010396E-2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FF0A-5A3D-4630-B522-9C5DD7A61E81}">
  <dimension ref="B2:J66"/>
  <sheetViews>
    <sheetView tabSelected="1" topLeftCell="B10" workbookViewId="0">
      <selection activeCell="C6" sqref="C6"/>
    </sheetView>
  </sheetViews>
  <sheetFormatPr defaultRowHeight="15"/>
  <cols>
    <col min="2" max="2" width="51.28515625" bestFit="1" customWidth="1"/>
    <col min="3" max="3" width="21" bestFit="1" customWidth="1"/>
    <col min="4" max="4" width="15.85546875" customWidth="1"/>
    <col min="5" max="5" width="14.28515625" bestFit="1" customWidth="1"/>
    <col min="6" max="6" width="20.85546875" customWidth="1"/>
    <col min="7" max="7" width="28.7109375" customWidth="1"/>
    <col min="9" max="9" width="13.5703125" customWidth="1"/>
    <col min="10" max="10" width="17.42578125" customWidth="1"/>
  </cols>
  <sheetData>
    <row r="2" spans="2:4">
      <c r="C2" s="13" t="s">
        <v>8</v>
      </c>
    </row>
    <row r="3" spans="2:4">
      <c r="B3" s="3" t="s">
        <v>9</v>
      </c>
      <c r="C3" s="12">
        <v>43840</v>
      </c>
    </row>
    <row r="4" spans="2:4">
      <c r="B4" t="s">
        <v>10</v>
      </c>
      <c r="C4">
        <v>365</v>
      </c>
    </row>
    <row r="5" spans="2:4">
      <c r="B5" t="s">
        <v>11</v>
      </c>
      <c r="C5" s="1">
        <v>0.7</v>
      </c>
    </row>
    <row r="6" spans="2:4">
      <c r="B6" t="s">
        <v>12</v>
      </c>
      <c r="C6" s="12">
        <v>43927</v>
      </c>
    </row>
    <row r="7" spans="2:4">
      <c r="B7" t="s">
        <v>13</v>
      </c>
      <c r="C7" s="1">
        <v>0.15</v>
      </c>
    </row>
    <row r="8" spans="2:4">
      <c r="B8" t="s">
        <v>14</v>
      </c>
      <c r="C8" s="1">
        <v>0.6</v>
      </c>
    </row>
    <row r="9" spans="2:4">
      <c r="C9" s="1"/>
    </row>
    <row r="10" spans="2:4" ht="15.75">
      <c r="B10" s="4" t="s">
        <v>15</v>
      </c>
      <c r="C10" s="3">
        <v>33</v>
      </c>
      <c r="D10" s="3" t="s">
        <v>16</v>
      </c>
    </row>
    <row r="11" spans="2:4" ht="15.75">
      <c r="B11" s="4" t="s">
        <v>17</v>
      </c>
      <c r="C11" s="3">
        <f>C10*1000000000</f>
        <v>33000000000</v>
      </c>
      <c r="D11" s="3" t="s">
        <v>1</v>
      </c>
    </row>
    <row r="12" spans="2:4" ht="15.75">
      <c r="B12" s="6">
        <v>2019</v>
      </c>
      <c r="C12" s="3">
        <f>C11*(1+0.03)</f>
        <v>33990000000</v>
      </c>
      <c r="D12" s="3" t="s">
        <v>1</v>
      </c>
    </row>
    <row r="13" spans="2:4">
      <c r="C13" s="1"/>
    </row>
    <row r="14" spans="2:4">
      <c r="B14" s="19" t="s">
        <v>18</v>
      </c>
      <c r="C14" s="32" t="s">
        <v>5</v>
      </c>
      <c r="D14" s="33" t="s">
        <v>6</v>
      </c>
    </row>
    <row r="15" spans="2:4">
      <c r="B15" s="20" t="s">
        <v>19</v>
      </c>
      <c r="C15" s="22">
        <f>F29+F30+F31+F32+F33+F34+F35+G35+G34+G33+G32+G31+G30+G29</f>
        <v>48055694.132985823</v>
      </c>
      <c r="D15" s="23">
        <f>C15/$C$12</f>
        <v>1.413818597616529E-3</v>
      </c>
    </row>
    <row r="16" spans="2:4">
      <c r="B16" s="20" t="s">
        <v>20</v>
      </c>
      <c r="C16" s="22">
        <f>(C45+C46)*(C6-C47)*(1-C7)</f>
        <v>23250836.135833021</v>
      </c>
      <c r="D16" s="23">
        <f t="shared" ref="D16:D19" si="0">C16/$C$12</f>
        <v>6.8404931261644667E-4</v>
      </c>
    </row>
    <row r="17" spans="2:10">
      <c r="B17" s="20" t="s">
        <v>21</v>
      </c>
      <c r="C17" s="22">
        <f>(C39+C40)*(1-C8)*(C6-C41)</f>
        <v>6675874.3606511159</v>
      </c>
      <c r="D17" s="23">
        <f t="shared" si="0"/>
        <v>1.9640701266993574E-4</v>
      </c>
    </row>
    <row r="18" spans="2:10">
      <c r="B18" s="20" t="s">
        <v>22</v>
      </c>
      <c r="C18" s="22">
        <f>(C52+C51)*(C6-C53)*(1-C8)</f>
        <v>87712294.735476628</v>
      </c>
      <c r="D18" s="23">
        <f t="shared" si="0"/>
        <v>2.5805323546771587E-3</v>
      </c>
    </row>
    <row r="19" spans="2:10">
      <c r="B19" s="20" t="s">
        <v>23</v>
      </c>
      <c r="C19" s="22">
        <f>(C56+C57)*(C59-C58)*(1-C7)+(C56+C57)*(C6-C59)*(1-C8)</f>
        <v>331280506.64158678</v>
      </c>
      <c r="D19" s="23">
        <f t="shared" si="0"/>
        <v>9.7464109044303263E-3</v>
      </c>
    </row>
    <row r="20" spans="2:10" ht="18.75">
      <c r="B20" s="24" t="s">
        <v>24</v>
      </c>
      <c r="C20" s="31">
        <f>SUM(C15:C19)/C5</f>
        <v>709964580.00933349</v>
      </c>
      <c r="D20" s="30">
        <f>SUM(D15:D19)/C5</f>
        <v>2.0887454545729139E-2</v>
      </c>
      <c r="F20">
        <v>467797604.80000001</v>
      </c>
      <c r="G20">
        <f>C20/F20</f>
        <v>1.5176746796573881</v>
      </c>
    </row>
    <row r="21" spans="2:10">
      <c r="C21" s="1"/>
    </row>
    <row r="22" spans="2:10">
      <c r="C22" s="1">
        <f>C20/1000000000</f>
        <v>0.70996458000933349</v>
      </c>
    </row>
    <row r="23" spans="2:10">
      <c r="C23" s="1"/>
    </row>
    <row r="24" spans="2:10">
      <c r="B24" s="2" t="s">
        <v>25</v>
      </c>
    </row>
    <row r="25" spans="2:10">
      <c r="B25" t="s">
        <v>26</v>
      </c>
      <c r="C25">
        <f>Assumptions!C15*Assumptions!B109/'Calculations-Main'!$C$4*Assumptions!$B$119*Assumptions!$B$117</f>
        <v>3636389.4379397258</v>
      </c>
      <c r="D25" t="s">
        <v>1</v>
      </c>
      <c r="E25">
        <f>SUM(C25:C27)</f>
        <v>752017320.99647665</v>
      </c>
    </row>
    <row r="26" spans="2:10">
      <c r="B26" t="s">
        <v>27</v>
      </c>
      <c r="C26">
        <f>Assumptions!C24*Assumptions!B111/'Calculations-Main'!$C$4*Assumptions!$B$119*Assumptions!$B$117</f>
        <v>859967.55853697611</v>
      </c>
      <c r="D26" t="s">
        <v>1</v>
      </c>
    </row>
    <row r="27" spans="2:10">
      <c r="B27" t="s">
        <v>28</v>
      </c>
      <c r="C27" s="14">
        <v>747520964</v>
      </c>
    </row>
    <row r="28" spans="2:10" ht="45">
      <c r="B28" s="18" t="s">
        <v>19</v>
      </c>
      <c r="C28" s="18" t="s">
        <v>29</v>
      </c>
      <c r="D28" s="18" t="s">
        <v>30</v>
      </c>
      <c r="E28" s="18" t="s">
        <v>31</v>
      </c>
      <c r="F28" s="18" t="s">
        <v>32</v>
      </c>
      <c r="G28" s="18" t="s">
        <v>33</v>
      </c>
      <c r="H28" t="s">
        <v>34</v>
      </c>
      <c r="I28" t="s">
        <v>35</v>
      </c>
      <c r="J28" t="s">
        <v>36</v>
      </c>
    </row>
    <row r="29" spans="2:10">
      <c r="B29" t="s">
        <v>37</v>
      </c>
      <c r="C29" s="12">
        <v>43899</v>
      </c>
      <c r="D29" s="14">
        <v>60461826</v>
      </c>
      <c r="E29" s="17">
        <f>D29/$C$27</f>
        <v>8.0883117546921401E-2</v>
      </c>
      <c r="F29">
        <f>$E29*$C$25*($C$6-$C29)*(1-$C$7)</f>
        <v>7000115.8416552423</v>
      </c>
      <c r="G29">
        <f>$E29*$C$26*($C$6-$C29)*(1-$C$7)</f>
        <v>1655453.1995437087</v>
      </c>
      <c r="H29">
        <f>SUM(F29:G29)</f>
        <v>8655569.0411989503</v>
      </c>
      <c r="I29">
        <f>H29/($C$6-$C29)</f>
        <v>309127.46575710538</v>
      </c>
      <c r="J29">
        <f>E29*E25</f>
        <v>60825505.371478945</v>
      </c>
    </row>
    <row r="30" spans="2:10">
      <c r="B30" t="s">
        <v>38</v>
      </c>
      <c r="C30" s="12">
        <v>43904</v>
      </c>
      <c r="D30" s="14">
        <v>46754778</v>
      </c>
      <c r="E30" s="17">
        <f t="shared" ref="E30:E35" si="1">D30/$C$27</f>
        <v>6.254644384796143E-2</v>
      </c>
      <c r="F30">
        <f t="shared" ref="F30" si="2">$E30*$C$25*($C$6-$C30)*(1-$C$7)</f>
        <v>4446515.1032831036</v>
      </c>
      <c r="G30">
        <f t="shared" ref="G30:G34" si="3">$E30*$C$26*($C$6-$C30)*(1-$C$7)</f>
        <v>1051553.6915470336</v>
      </c>
      <c r="H30">
        <f t="shared" ref="H30:H34" si="4">SUM(F30:G30)</f>
        <v>5498068.7948301369</v>
      </c>
      <c r="I30">
        <f t="shared" ref="I30:I34" si="5">H30/($C$6-$C30)</f>
        <v>239046.46934044073</v>
      </c>
      <c r="J30">
        <f>E30*E25</f>
        <v>47036009.140400514</v>
      </c>
    </row>
    <row r="31" spans="2:10">
      <c r="B31" t="s">
        <v>39</v>
      </c>
      <c r="C31" s="12">
        <v>43907</v>
      </c>
      <c r="D31" s="14">
        <v>65273511</v>
      </c>
      <c r="E31" s="17">
        <f t="shared" si="1"/>
        <v>8.7319973811463572E-2</v>
      </c>
      <c r="F31">
        <f>$E31*$C$25*($C$6-$C31)*(1-$C$7)</f>
        <v>5398000.3183160536</v>
      </c>
      <c r="G31">
        <f t="shared" si="3"/>
        <v>1276569.8597326691</v>
      </c>
      <c r="H31">
        <f t="shared" si="4"/>
        <v>6674570.1780487224</v>
      </c>
      <c r="I31">
        <f t="shared" si="5"/>
        <v>333728.50890243612</v>
      </c>
      <c r="J31">
        <f>E31*E25</f>
        <v>65666132.775179334</v>
      </c>
    </row>
    <row r="32" spans="2:10">
      <c r="B32" t="s">
        <v>40</v>
      </c>
      <c r="C32" s="12">
        <v>43912</v>
      </c>
      <c r="D32" s="14">
        <v>83783942</v>
      </c>
      <c r="E32" s="17">
        <f t="shared" si="1"/>
        <v>0.11208239773192502</v>
      </c>
      <c r="F32">
        <f>$E32*$C$25*($C$6-$C32)*(1-$C$7)</f>
        <v>5196584.4029644784</v>
      </c>
      <c r="G32">
        <f t="shared" si="3"/>
        <v>1228937.1306392967</v>
      </c>
      <c r="H32">
        <f t="shared" si="4"/>
        <v>6425521.5336037753</v>
      </c>
      <c r="I32">
        <f t="shared" si="5"/>
        <v>428368.10224025167</v>
      </c>
      <c r="J32">
        <f>E32*E25</f>
        <v>84287904.47322382</v>
      </c>
    </row>
    <row r="33" spans="2:10">
      <c r="B33" t="s">
        <v>41</v>
      </c>
      <c r="C33" s="12">
        <v>43913</v>
      </c>
      <c r="D33" s="14">
        <v>66647112</v>
      </c>
      <c r="E33" s="17">
        <f t="shared" si="1"/>
        <v>8.9157515587750119E-2</v>
      </c>
      <c r="F33">
        <f>$E33*$C$25*($C$6-$C33)*(1-$C$7)</f>
        <v>3858116.2311552675</v>
      </c>
      <c r="G33">
        <f t="shared" si="3"/>
        <v>912403.59496211633</v>
      </c>
      <c r="H33">
        <f t="shared" si="4"/>
        <v>4770519.8261173833</v>
      </c>
      <c r="I33">
        <f t="shared" si="5"/>
        <v>340751.41615124169</v>
      </c>
      <c r="J33">
        <f>E33*E25</f>
        <v>67047996.019001454</v>
      </c>
    </row>
    <row r="34" spans="2:10">
      <c r="B34" t="s">
        <v>42</v>
      </c>
      <c r="C34" s="12">
        <v>43908</v>
      </c>
      <c r="D34" s="14">
        <v>11589623</v>
      </c>
      <c r="E34" s="17">
        <f t="shared" si="1"/>
        <v>1.5504077555208204E-2</v>
      </c>
      <c r="F34">
        <f>$E34*$C$25*($C$6-$C34)*(1-$C$7)</f>
        <v>910518.65144813329</v>
      </c>
      <c r="G34">
        <f t="shared" si="3"/>
        <v>215328.0101187033</v>
      </c>
      <c r="H34">
        <f t="shared" si="4"/>
        <v>1125846.6615668365</v>
      </c>
      <c r="I34">
        <f t="shared" si="5"/>
        <v>59255.087450886131</v>
      </c>
      <c r="J34">
        <f>E34*E25</f>
        <v>11659334.867589276</v>
      </c>
    </row>
    <row r="35" spans="2:10">
      <c r="B35" t="s">
        <v>43</v>
      </c>
      <c r="C35" s="12">
        <v>43912</v>
      </c>
      <c r="D35" s="14">
        <f>C27-D29-D30-D31-D32-D33-D34</f>
        <v>413010172</v>
      </c>
      <c r="E35" s="17">
        <f t="shared" si="1"/>
        <v>0.55250647391877028</v>
      </c>
      <c r="F35">
        <f>$E35*$C$25*($C$6-$C35)*(1-C8)</f>
        <v>12054772.236909222</v>
      </c>
      <c r="G35">
        <f>$E35*$C$26*($C$6-$C35)*(1-C8)</f>
        <v>2850825.8607107904</v>
      </c>
      <c r="H35">
        <f>SUM(F35:G35)</f>
        <v>14905598.097620012</v>
      </c>
      <c r="I35">
        <f>H35/($C$6-$C35)</f>
        <v>993706.5398413341</v>
      </c>
      <c r="J35">
        <f>E35*E25</f>
        <v>415494438.3496033</v>
      </c>
    </row>
    <row r="36" spans="2:10">
      <c r="D36" s="14"/>
      <c r="E36" s="34"/>
    </row>
    <row r="38" spans="2:10">
      <c r="B38" s="2" t="s">
        <v>44</v>
      </c>
    </row>
    <row r="39" spans="2:10">
      <c r="B39" t="s">
        <v>26</v>
      </c>
      <c r="C39">
        <f>Assumptions!C34*Assumptions!B113/'Calculations-Main'!$C$4*Assumptions!$B$119*Assumptions!$B$117</f>
        <v>640500.41236438369</v>
      </c>
      <c r="D39" t="s">
        <v>1</v>
      </c>
    </row>
    <row r="40" spans="2:10">
      <c r="B40" t="s">
        <v>27</v>
      </c>
      <c r="C40">
        <f>Assumptions!C43*Assumptions!B111/'Calculations-Main'!$C$4*Assumptions!$B$119*Assumptions!$B$117</f>
        <v>341245.81714313326</v>
      </c>
      <c r="D40" t="s">
        <v>1</v>
      </c>
      <c r="E40">
        <f>SUM(C39:C40)</f>
        <v>981746.22950751695</v>
      </c>
      <c r="F40">
        <f>C17/E40</f>
        <v>6.8000000000000007</v>
      </c>
    </row>
    <row r="41" spans="2:10">
      <c r="B41" t="s">
        <v>45</v>
      </c>
      <c r="C41" s="12">
        <v>43910</v>
      </c>
    </row>
    <row r="44" spans="2:10">
      <c r="B44" s="2" t="s">
        <v>46</v>
      </c>
    </row>
    <row r="45" spans="2:10">
      <c r="B45" t="s">
        <v>26</v>
      </c>
      <c r="C45">
        <f>Assumptions!C54*Assumptions!B115/'Calculations-Main'!$C$4*Assumptions!$B$119*Assumptions!$B$117</f>
        <v>899649.35856344807</v>
      </c>
      <c r="D45" t="s">
        <v>1</v>
      </c>
    </row>
    <row r="46" spans="2:10">
      <c r="B46" t="s">
        <v>27</v>
      </c>
      <c r="C46">
        <f>Assumptions!C64*Assumptions!B111/'Calculations-Main'!$C$4*Assumptions!$B$119*Assumptions!$B$117</f>
        <v>923945.63248227944</v>
      </c>
      <c r="D46" t="s">
        <v>1</v>
      </c>
      <c r="E46">
        <f>SUM(C45:C46)</f>
        <v>1823594.9910457274</v>
      </c>
    </row>
    <row r="47" spans="2:10">
      <c r="B47" t="s">
        <v>29</v>
      </c>
      <c r="C47" s="12">
        <v>43912</v>
      </c>
    </row>
    <row r="50" spans="2:6">
      <c r="B50" s="2" t="s">
        <v>47</v>
      </c>
    </row>
    <row r="51" spans="2:6">
      <c r="B51" t="s">
        <v>26</v>
      </c>
      <c r="C51">
        <f>Assumptions!C93*Assumptions!B115/'Calculations-Main'!$C$4*Assumptions!$B$119*Assumptions!$B$117</f>
        <v>5132377.3929679664</v>
      </c>
      <c r="D51" t="s">
        <v>1</v>
      </c>
    </row>
    <row r="52" spans="2:6">
      <c r="B52" t="s">
        <v>27</v>
      </c>
      <c r="C52">
        <f>Assumptions!C103*Assumptions!B115/'Calculations-Main'!$C$4*Assumptions!$B$119*Assumptions!$B$117</f>
        <v>7766489.4798962427</v>
      </c>
      <c r="D52" t="s">
        <v>1</v>
      </c>
      <c r="E52">
        <f>SUM(C51:C52)</f>
        <v>12898866.872864209</v>
      </c>
      <c r="F52">
        <f>(C18/E52)</f>
        <v>6.8000000000000007</v>
      </c>
    </row>
    <row r="53" spans="2:6">
      <c r="B53" t="s">
        <v>45</v>
      </c>
      <c r="C53" s="12">
        <v>43910</v>
      </c>
    </row>
    <row r="54" spans="2:6">
      <c r="C54" s="12"/>
    </row>
    <row r="55" spans="2:6">
      <c r="B55" s="2" t="s">
        <v>48</v>
      </c>
    </row>
    <row r="56" spans="2:6">
      <c r="B56" t="s">
        <v>26</v>
      </c>
      <c r="C56">
        <f>Assumptions!C73*Assumptions!B115/'Calculations-Main'!$C$4*Assumptions!$B$119*Assumptions!$B$117</f>
        <v>4052489.2798389047</v>
      </c>
      <c r="D56" t="s">
        <v>1</v>
      </c>
      <c r="E56">
        <f>SUM(C56:C57)</f>
        <v>5731496.6546987332</v>
      </c>
    </row>
    <row r="57" spans="2:6">
      <c r="B57" t="s">
        <v>27</v>
      </c>
      <c r="C57">
        <f>Assumptions!C83*Assumptions!B111/'Calculations-Main'!$C$4*Assumptions!$B$119*Assumptions!$B$117</f>
        <v>1679007.374859829</v>
      </c>
      <c r="D57" t="s">
        <v>1</v>
      </c>
    </row>
    <row r="58" spans="2:6">
      <c r="B58" t="s">
        <v>29</v>
      </c>
      <c r="C58" s="12">
        <v>43850</v>
      </c>
    </row>
    <row r="59" spans="2:6">
      <c r="B59" t="s">
        <v>45</v>
      </c>
      <c r="C59" s="12">
        <v>43910</v>
      </c>
      <c r="D59" s="15"/>
    </row>
    <row r="60" spans="2:6">
      <c r="C60" s="12"/>
      <c r="D60" s="14"/>
    </row>
    <row r="61" spans="2:6">
      <c r="C61" s="12"/>
      <c r="D61" s="14"/>
    </row>
    <row r="62" spans="2:6">
      <c r="C62" s="12"/>
      <c r="D62" s="15"/>
    </row>
    <row r="63" spans="2:6">
      <c r="C63" s="12"/>
      <c r="D63" s="15"/>
    </row>
    <row r="64" spans="2:6">
      <c r="C64" s="12"/>
      <c r="D64" s="15"/>
    </row>
    <row r="65" spans="3:4">
      <c r="C65" s="12"/>
      <c r="D65" s="16"/>
    </row>
    <row r="66" spans="3:4">
      <c r="C66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9DC6-DF06-407B-89AB-9639383C6191}">
  <dimension ref="B2:D121"/>
  <sheetViews>
    <sheetView topLeftCell="A24" workbookViewId="0">
      <selection activeCell="B8" sqref="B8"/>
    </sheetView>
  </sheetViews>
  <sheetFormatPr defaultRowHeight="15"/>
  <cols>
    <col min="2" max="2" width="86" bestFit="1" customWidth="1"/>
    <col min="3" max="3" width="14.5703125" bestFit="1" customWidth="1"/>
    <col min="4" max="4" width="28.5703125" bestFit="1" customWidth="1"/>
  </cols>
  <sheetData>
    <row r="2" spans="2:4" ht="23.25">
      <c r="B2" s="21" t="s">
        <v>49</v>
      </c>
    </row>
    <row r="4" spans="2:4" ht="15.75">
      <c r="B4" s="4" t="s">
        <v>50</v>
      </c>
      <c r="C4" s="9">
        <v>0.52</v>
      </c>
      <c r="D4" s="3" t="s">
        <v>51</v>
      </c>
    </row>
    <row r="5" spans="2:4" ht="15.75">
      <c r="B5" s="4" t="s">
        <v>52</v>
      </c>
      <c r="C5" s="1">
        <v>0.1</v>
      </c>
    </row>
    <row r="6" spans="2:4" ht="15.75">
      <c r="B6" s="4" t="s">
        <v>53</v>
      </c>
      <c r="C6" s="1">
        <v>0.05</v>
      </c>
    </row>
    <row r="8" spans="2:4" ht="20.25" customHeight="1">
      <c r="B8" s="5" t="s">
        <v>19</v>
      </c>
    </row>
    <row r="10" spans="2:4">
      <c r="B10" s="3" t="s">
        <v>54</v>
      </c>
    </row>
    <row r="11" spans="2:4">
      <c r="B11" t="s">
        <v>55</v>
      </c>
    </row>
    <row r="12" spans="2:4" ht="15.75">
      <c r="B12" s="6">
        <v>2017</v>
      </c>
      <c r="C12">
        <v>17.600000000000001</v>
      </c>
      <c r="D12" t="s">
        <v>56</v>
      </c>
    </row>
    <row r="13" spans="2:4">
      <c r="B13" s="3" t="s">
        <v>57</v>
      </c>
      <c r="C13" s="1">
        <v>0.03</v>
      </c>
    </row>
    <row r="14" spans="2:4" ht="15" customHeight="1">
      <c r="B14" s="6">
        <v>2019</v>
      </c>
      <c r="C14" s="7">
        <f>C12*(1+C13)^(B14-B12)</f>
        <v>18.67184</v>
      </c>
      <c r="D14" t="s">
        <v>56</v>
      </c>
    </row>
    <row r="15" spans="2:4" ht="15" customHeight="1">
      <c r="B15" s="6" t="s">
        <v>58</v>
      </c>
      <c r="C15" s="7">
        <f>C14*(1-C6)</f>
        <v>17.738247999999999</v>
      </c>
      <c r="D15" t="s">
        <v>56</v>
      </c>
    </row>
    <row r="16" spans="2:4" ht="15" customHeight="1">
      <c r="B16" s="6"/>
      <c r="C16" s="7"/>
    </row>
    <row r="17" spans="2:4">
      <c r="B17" s="3" t="s">
        <v>59</v>
      </c>
    </row>
    <row r="18" spans="2:4">
      <c r="B18" t="s">
        <v>55</v>
      </c>
    </row>
    <row r="19" spans="2:4" ht="15.75">
      <c r="B19" s="6">
        <v>2016</v>
      </c>
      <c r="C19">
        <v>3255.1</v>
      </c>
      <c r="D19" t="s">
        <v>60</v>
      </c>
    </row>
    <row r="20" spans="2:4" ht="15.75">
      <c r="B20" s="6" t="s">
        <v>61</v>
      </c>
      <c r="C20" s="1">
        <v>0.3</v>
      </c>
    </row>
    <row r="21" spans="2:4">
      <c r="B21" s="3" t="s">
        <v>57</v>
      </c>
      <c r="C21" s="1">
        <v>0.03</v>
      </c>
    </row>
    <row r="22" spans="2:4" ht="15.75">
      <c r="B22" s="6">
        <v>2019</v>
      </c>
      <c r="C22" s="8">
        <f>C19*(1-C20)*(1+C21)^(B22-B19)</f>
        <v>2489.8549603899996</v>
      </c>
      <c r="D22" t="s">
        <v>60</v>
      </c>
    </row>
    <row r="23" spans="2:4" ht="15.75">
      <c r="B23" s="6" t="s">
        <v>62</v>
      </c>
      <c r="C23" s="8">
        <f>C22*C4</f>
        <v>1294.7245794027999</v>
      </c>
      <c r="D23" t="s">
        <v>60</v>
      </c>
    </row>
    <row r="24" spans="2:4" ht="15.75">
      <c r="B24" s="6" t="s">
        <v>63</v>
      </c>
      <c r="C24" s="8">
        <f>C23*(1-C5)</f>
        <v>1165.2521214625199</v>
      </c>
      <c r="D24" t="s">
        <v>60</v>
      </c>
    </row>
    <row r="25" spans="2:4" ht="15.75">
      <c r="B25" s="6"/>
      <c r="C25" s="8"/>
    </row>
    <row r="27" spans="2:4" ht="18.75">
      <c r="B27" s="5" t="s">
        <v>21</v>
      </c>
    </row>
    <row r="29" spans="2:4">
      <c r="B29" s="3" t="s">
        <v>54</v>
      </c>
    </row>
    <row r="30" spans="2:4">
      <c r="B30" t="s">
        <v>55</v>
      </c>
    </row>
    <row r="31" spans="2:4" ht="15.75">
      <c r="B31" s="6">
        <v>2017</v>
      </c>
      <c r="C31">
        <v>3.1</v>
      </c>
      <c r="D31" t="s">
        <v>64</v>
      </c>
    </row>
    <row r="32" spans="2:4">
      <c r="B32" s="3" t="s">
        <v>57</v>
      </c>
      <c r="C32" s="1">
        <v>0.03</v>
      </c>
    </row>
    <row r="33" spans="2:4" ht="15.75">
      <c r="B33" s="6">
        <v>2019</v>
      </c>
      <c r="C33" s="7">
        <f>C31*(1+C32)^(B33-B31)</f>
        <v>3.2887900000000001</v>
      </c>
      <c r="D33" t="s">
        <v>64</v>
      </c>
    </row>
    <row r="34" spans="2:4" ht="15.75">
      <c r="B34" s="6" t="s">
        <v>58</v>
      </c>
      <c r="C34" s="7">
        <f>C33*(1-C6)</f>
        <v>3.1243504999999998</v>
      </c>
      <c r="D34" t="s">
        <v>64</v>
      </c>
    </row>
    <row r="35" spans="2:4" ht="15.75">
      <c r="B35" s="6"/>
      <c r="C35" s="7"/>
    </row>
    <row r="36" spans="2:4">
      <c r="B36" t="s">
        <v>59</v>
      </c>
    </row>
    <row r="37" spans="2:4">
      <c r="B37" t="s">
        <v>55</v>
      </c>
    </row>
    <row r="38" spans="2:4" ht="15.75">
      <c r="B38" s="6">
        <v>2015</v>
      </c>
      <c r="C38">
        <v>1009</v>
      </c>
      <c r="D38" t="s">
        <v>60</v>
      </c>
    </row>
    <row r="39" spans="2:4" ht="15.75">
      <c r="B39" s="6" t="s">
        <v>61</v>
      </c>
      <c r="C39" s="1">
        <v>0.13</v>
      </c>
    </row>
    <row r="40" spans="2:4">
      <c r="B40" s="3" t="s">
        <v>57</v>
      </c>
      <c r="C40" s="1">
        <v>0.03</v>
      </c>
    </row>
    <row r="41" spans="2:4" ht="15.75">
      <c r="B41" s="6">
        <v>2019</v>
      </c>
      <c r="C41" s="8">
        <f>C38*(1-C39)*(1+C40)^(B41-B38)</f>
        <v>988.00539868229998</v>
      </c>
      <c r="D41" t="s">
        <v>60</v>
      </c>
    </row>
    <row r="42" spans="2:4" ht="15.75">
      <c r="B42" s="6" t="s">
        <v>62</v>
      </c>
      <c r="C42" s="8">
        <f>C41*C4</f>
        <v>513.76280731479596</v>
      </c>
      <c r="D42" t="s">
        <v>60</v>
      </c>
    </row>
    <row r="43" spans="2:4" ht="15.75">
      <c r="B43" s="6" t="s">
        <v>63</v>
      </c>
      <c r="C43" s="8">
        <f>C42*(1-C5)</f>
        <v>462.38652658331637</v>
      </c>
      <c r="D43" t="s">
        <v>60</v>
      </c>
    </row>
    <row r="46" spans="2:4" ht="18.75">
      <c r="B46" s="5" t="s">
        <v>20</v>
      </c>
    </row>
    <row r="47" spans="2:4">
      <c r="B47" s="10" t="s">
        <v>65</v>
      </c>
    </row>
    <row r="48" spans="2:4">
      <c r="B48" s="10"/>
    </row>
    <row r="49" spans="2:4">
      <c r="B49" s="25" t="s">
        <v>54</v>
      </c>
      <c r="C49" s="26"/>
      <c r="D49" s="26"/>
    </row>
    <row r="50" spans="2:4">
      <c r="B50" s="26" t="s">
        <v>55</v>
      </c>
      <c r="C50" s="26"/>
      <c r="D50" s="26"/>
    </row>
    <row r="51" spans="2:4" ht="15.75">
      <c r="B51" s="27">
        <v>2017</v>
      </c>
      <c r="C51" s="26">
        <v>104</v>
      </c>
      <c r="D51" s="26" t="s">
        <v>66</v>
      </c>
    </row>
    <row r="52" spans="2:4">
      <c r="B52" s="25" t="s">
        <v>57</v>
      </c>
      <c r="C52" s="28">
        <v>0.03</v>
      </c>
      <c r="D52" s="26"/>
    </row>
    <row r="53" spans="2:4" ht="15.75">
      <c r="B53" s="27">
        <v>2019</v>
      </c>
      <c r="C53" s="29">
        <f>C51*(1+C52)^(B53-B51)</f>
        <v>110.33359999999999</v>
      </c>
      <c r="D53" s="26" t="s">
        <v>66</v>
      </c>
    </row>
    <row r="54" spans="2:4" ht="15.75">
      <c r="B54" s="27" t="s">
        <v>58</v>
      </c>
      <c r="C54" s="29">
        <f>C53*(1-C6)</f>
        <v>104.81691999999998</v>
      </c>
      <c r="D54" s="26" t="s">
        <v>66</v>
      </c>
    </row>
    <row r="55" spans="2:4" ht="15.75">
      <c r="B55" s="6"/>
      <c r="C55" s="7"/>
    </row>
    <row r="57" spans="2:4">
      <c r="B57" t="s">
        <v>59</v>
      </c>
    </row>
    <row r="58" spans="2:4">
      <c r="B58" t="s">
        <v>55</v>
      </c>
    </row>
    <row r="59" spans="2:4" ht="15.75">
      <c r="B59" s="6">
        <v>2019</v>
      </c>
      <c r="C59">
        <v>3223</v>
      </c>
      <c r="D59" t="s">
        <v>60</v>
      </c>
    </row>
    <row r="60" spans="2:4" ht="15.75">
      <c r="B60" s="6" t="s">
        <v>61</v>
      </c>
      <c r="C60" s="1">
        <v>0.17</v>
      </c>
    </row>
    <row r="61" spans="2:4">
      <c r="B61" s="3" t="s">
        <v>57</v>
      </c>
      <c r="C61" s="1">
        <v>0.03</v>
      </c>
    </row>
    <row r="62" spans="2:4" ht="15.75">
      <c r="B62" s="6">
        <v>2019</v>
      </c>
      <c r="C62" s="8">
        <f>C59*(1-C60)*(1+C61)^(B62-B59)</f>
        <v>2675.0899999999997</v>
      </c>
      <c r="D62" t="s">
        <v>60</v>
      </c>
    </row>
    <row r="63" spans="2:4" ht="15.75">
      <c r="B63" s="6" t="s">
        <v>62</v>
      </c>
      <c r="C63" s="8">
        <f>C62*C4</f>
        <v>1391.0467999999998</v>
      </c>
      <c r="D63" t="s">
        <v>60</v>
      </c>
    </row>
    <row r="64" spans="2:4" ht="15.75">
      <c r="B64" s="6" t="s">
        <v>63</v>
      </c>
      <c r="C64" s="8">
        <f>C63*(1-C5)</f>
        <v>1251.9421199999999</v>
      </c>
      <c r="D64" t="s">
        <v>60</v>
      </c>
    </row>
    <row r="66" spans="2:4" ht="18.75">
      <c r="B66" s="5" t="s">
        <v>23</v>
      </c>
    </row>
    <row r="67" spans="2:4">
      <c r="B67" s="10"/>
    </row>
    <row r="68" spans="2:4">
      <c r="B68" s="25" t="s">
        <v>54</v>
      </c>
      <c r="C68" s="26"/>
      <c r="D68" s="26"/>
    </row>
    <row r="69" spans="2:4">
      <c r="B69" s="26" t="s">
        <v>55</v>
      </c>
      <c r="C69" s="26"/>
      <c r="D69" s="26"/>
    </row>
    <row r="70" spans="2:4" ht="15.75">
      <c r="B70" s="27">
        <v>2019</v>
      </c>
      <c r="C70" s="26">
        <v>497</v>
      </c>
      <c r="D70" s="26" t="s">
        <v>66</v>
      </c>
    </row>
    <row r="71" spans="2:4">
      <c r="B71" s="25" t="s">
        <v>57</v>
      </c>
      <c r="C71" s="28">
        <v>0.04</v>
      </c>
      <c r="D71" s="26"/>
    </row>
    <row r="72" spans="2:4" ht="15.75">
      <c r="B72" s="27">
        <v>2019</v>
      </c>
      <c r="C72" s="29">
        <f>C70*(1+C71)^(B72-B70)</f>
        <v>497</v>
      </c>
      <c r="D72" s="26" t="s">
        <v>66</v>
      </c>
    </row>
    <row r="73" spans="2:4" ht="15.75">
      <c r="B73" s="27" t="s">
        <v>58</v>
      </c>
      <c r="C73" s="29">
        <f>C72*(1-C6)</f>
        <v>472.15</v>
      </c>
      <c r="D73" s="26" t="s">
        <v>66</v>
      </c>
    </row>
    <row r="74" spans="2:4" ht="15.75">
      <c r="B74" s="6"/>
      <c r="C74" s="7"/>
    </row>
    <row r="76" spans="2:4">
      <c r="B76" t="s">
        <v>59</v>
      </c>
    </row>
    <row r="77" spans="2:4">
      <c r="B77" t="s">
        <v>55</v>
      </c>
    </row>
    <row r="78" spans="2:4" ht="15.75">
      <c r="B78" s="6">
        <v>2016</v>
      </c>
      <c r="C78">
        <v>5920</v>
      </c>
      <c r="D78" t="s">
        <v>60</v>
      </c>
    </row>
    <row r="79" spans="2:4" ht="15.75">
      <c r="B79" s="6" t="s">
        <v>61</v>
      </c>
      <c r="C79" s="1">
        <v>0.27</v>
      </c>
    </row>
    <row r="80" spans="2:4">
      <c r="B80" s="3" t="s">
        <v>57</v>
      </c>
      <c r="C80" s="1">
        <v>0.04</v>
      </c>
    </row>
    <row r="81" spans="2:4" ht="15.75">
      <c r="B81" s="6">
        <v>2019</v>
      </c>
      <c r="C81" s="8">
        <f>C78*(1-C79)*(1+C80)^(B81-B78)</f>
        <v>4861.2122623999994</v>
      </c>
      <c r="D81" t="s">
        <v>60</v>
      </c>
    </row>
    <row r="82" spans="2:4" ht="15.75">
      <c r="B82" s="6" t="s">
        <v>62</v>
      </c>
      <c r="C82" s="8">
        <f>C81*C4</f>
        <v>2527.8303764479997</v>
      </c>
      <c r="D82" t="s">
        <v>60</v>
      </c>
    </row>
    <row r="83" spans="2:4" ht="15.75">
      <c r="B83" s="6" t="s">
        <v>63</v>
      </c>
      <c r="C83" s="8">
        <f>C82*(1-C5)</f>
        <v>2275.0473388031996</v>
      </c>
      <c r="D83" t="s">
        <v>60</v>
      </c>
    </row>
    <row r="86" spans="2:4" ht="18.75">
      <c r="B86" s="5" t="s">
        <v>22</v>
      </c>
    </row>
    <row r="87" spans="2:4">
      <c r="B87" s="10"/>
    </row>
    <row r="88" spans="2:4">
      <c r="B88" s="25" t="s">
        <v>54</v>
      </c>
      <c r="C88" s="26"/>
      <c r="D88" s="26"/>
    </row>
    <row r="89" spans="2:4">
      <c r="B89" s="26" t="s">
        <v>55</v>
      </c>
      <c r="C89" s="26"/>
      <c r="D89" s="26"/>
    </row>
    <row r="90" spans="2:4" ht="15.75">
      <c r="B90" s="27">
        <v>2017</v>
      </c>
      <c r="C90" s="26">
        <f>2180*28.1%*95%</f>
        <v>581.95100000000002</v>
      </c>
      <c r="D90" s="26" t="s">
        <v>66</v>
      </c>
    </row>
    <row r="91" spans="2:4">
      <c r="B91" s="25" t="s">
        <v>57</v>
      </c>
      <c r="C91" s="28">
        <v>0.04</v>
      </c>
      <c r="D91" s="26"/>
    </row>
    <row r="92" spans="2:4" ht="15.75">
      <c r="B92" s="27">
        <v>2019</v>
      </c>
      <c r="C92" s="29">
        <f>C90*(1+C91)^(B92-B90)</f>
        <v>629.43820160000007</v>
      </c>
      <c r="D92" s="26" t="s">
        <v>66</v>
      </c>
    </row>
    <row r="93" spans="2:4" ht="15.75">
      <c r="B93" s="27" t="s">
        <v>58</v>
      </c>
      <c r="C93" s="29">
        <f>C92*(1-C6)</f>
        <v>597.96629152000003</v>
      </c>
      <c r="D93" s="26" t="s">
        <v>66</v>
      </c>
    </row>
    <row r="94" spans="2:4" ht="15.75">
      <c r="B94" s="6"/>
      <c r="C94" s="7"/>
    </row>
    <row r="96" spans="2:4">
      <c r="B96" t="s">
        <v>59</v>
      </c>
    </row>
    <row r="97" spans="2:4">
      <c r="B97" t="s">
        <v>55</v>
      </c>
    </row>
    <row r="98" spans="2:4" ht="15.75">
      <c r="B98" s="6">
        <v>2017</v>
      </c>
      <c r="C98">
        <v>2180</v>
      </c>
      <c r="D98" s="26" t="s">
        <v>66</v>
      </c>
    </row>
    <row r="99" spans="2:4" ht="15.75">
      <c r="B99" s="6" t="s">
        <v>61</v>
      </c>
      <c r="C99" s="1">
        <v>0.18</v>
      </c>
    </row>
    <row r="100" spans="2:4">
      <c r="B100" s="3" t="s">
        <v>57</v>
      </c>
      <c r="C100" s="1">
        <v>0.04</v>
      </c>
    </row>
    <row r="101" spans="2:4" ht="15.75">
      <c r="B101" s="6">
        <v>2019</v>
      </c>
      <c r="C101" s="8">
        <f>C98*(1-C99)*(1+C100)^(B101-B98)</f>
        <v>1933.4681600000004</v>
      </c>
      <c r="D101" s="26" t="s">
        <v>66</v>
      </c>
    </row>
    <row r="102" spans="2:4" ht="15.75">
      <c r="B102" s="6" t="s">
        <v>62</v>
      </c>
      <c r="C102" s="8">
        <f>C101*C4</f>
        <v>1005.4034432000002</v>
      </c>
      <c r="D102" s="26" t="s">
        <v>66</v>
      </c>
    </row>
    <row r="103" spans="2:4" ht="15.75">
      <c r="B103" s="6" t="s">
        <v>63</v>
      </c>
      <c r="C103" s="8">
        <f>C102*(1-C5)</f>
        <v>904.86309888000017</v>
      </c>
      <c r="D103" s="26" t="s">
        <v>66</v>
      </c>
    </row>
    <row r="106" spans="2:4" ht="15.75">
      <c r="B106" s="4" t="s">
        <v>67</v>
      </c>
    </row>
    <row r="108" spans="2:4">
      <c r="B108" t="s">
        <v>68</v>
      </c>
    </row>
    <row r="109" spans="2:4">
      <c r="B109" s="11">
        <f>10^18</f>
        <v>1E+18</v>
      </c>
    </row>
    <row r="110" spans="2:4">
      <c r="B110" t="s">
        <v>69</v>
      </c>
    </row>
    <row r="111" spans="2:4">
      <c r="B111" s="11">
        <f>3.6*10^15</f>
        <v>3600000000000000</v>
      </c>
    </row>
    <row r="112" spans="2:4">
      <c r="B112" t="s">
        <v>70</v>
      </c>
    </row>
    <row r="113" spans="2:2">
      <c r="B113" s="11">
        <f>1*10^18</f>
        <v>1E+18</v>
      </c>
    </row>
    <row r="114" spans="2:2">
      <c r="B114" t="s">
        <v>71</v>
      </c>
    </row>
    <row r="115" spans="2:2">
      <c r="B115" s="11">
        <f>4.1868*10^16</f>
        <v>4.1868E+16</v>
      </c>
    </row>
    <row r="116" spans="2:2">
      <c r="B116" t="s">
        <v>72</v>
      </c>
    </row>
    <row r="117" spans="2:2">
      <c r="B117" s="11">
        <f>8.314*10^-9</f>
        <v>8.3140000000000009E-9</v>
      </c>
    </row>
    <row r="118" spans="2:2">
      <c r="B118" t="s">
        <v>73</v>
      </c>
    </row>
    <row r="119" spans="2:2">
      <c r="B119" s="11">
        <v>8.9999999999999993E-3</v>
      </c>
    </row>
    <row r="120" spans="2:2">
      <c r="B120" t="s">
        <v>74</v>
      </c>
    </row>
    <row r="121" spans="2:2">
      <c r="B121" s="11">
        <f>3.6*10^12</f>
        <v>3600000000000</v>
      </c>
    </row>
  </sheetData>
  <hyperlinks>
    <hyperlink ref="B47" r:id="rId1" xr:uid="{27CEEACB-7367-448A-B0FF-95248407F723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Anurag Kumar</dc:creator>
  <cp:keywords/>
  <dc:description/>
  <cp:lastModifiedBy/>
  <cp:revision/>
  <dcterms:created xsi:type="dcterms:W3CDTF">2020-03-27T10:58:03Z</dcterms:created>
  <dcterms:modified xsi:type="dcterms:W3CDTF">2020-04-06T10:26:42Z</dcterms:modified>
  <cp:category/>
  <cp:contentStatus/>
</cp:coreProperties>
</file>