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50" windowWidth="11655" windowHeight="6180" tabRatio="855" firstSheet="41" activeTab="52"/>
  </bookViews>
  <sheets>
    <sheet name="Alabama" sheetId="2" r:id="rId1"/>
    <sheet name="Alaska" sheetId="1" r:id="rId2"/>
    <sheet name="Arizona" sheetId="3" r:id="rId3"/>
    <sheet name="Arkansas" sheetId="6" r:id="rId4"/>
    <sheet name="California" sheetId="7" r:id="rId5"/>
    <sheet name="Colorado" sheetId="54" r:id="rId6"/>
    <sheet name="Connecticut" sheetId="53" r:id="rId7"/>
    <sheet name="Delaware" sheetId="52" r:id="rId8"/>
    <sheet name="District of Columbia" sheetId="51" r:id="rId9"/>
    <sheet name="Florida" sheetId="50" r:id="rId10"/>
    <sheet name="Georgia" sheetId="49" r:id="rId11"/>
    <sheet name="Hawaii" sheetId="48" r:id="rId12"/>
    <sheet name="Idaho" sheetId="47" r:id="rId13"/>
    <sheet name="Illinois" sheetId="46" r:id="rId14"/>
    <sheet name="Indiana" sheetId="45" r:id="rId15"/>
    <sheet name="Iowa" sheetId="44" r:id="rId16"/>
    <sheet name="Kansas" sheetId="43" r:id="rId17"/>
    <sheet name="Kentucky" sheetId="42" r:id="rId18"/>
    <sheet name="Louisiana" sheetId="41" r:id="rId19"/>
    <sheet name="Maine" sheetId="40" r:id="rId20"/>
    <sheet name="Maryland" sheetId="39" r:id="rId21"/>
    <sheet name="Massachusettes" sheetId="38" r:id="rId22"/>
    <sheet name="Michigan" sheetId="37" r:id="rId23"/>
    <sheet name="Minnesota" sheetId="36" r:id="rId24"/>
    <sheet name="Mississippi" sheetId="35" r:id="rId25"/>
    <sheet name="Missouri" sheetId="34" r:id="rId26"/>
    <sheet name="Montana" sheetId="33" r:id="rId27"/>
    <sheet name="Nebraska" sheetId="32" r:id="rId28"/>
    <sheet name="Nevada" sheetId="31" r:id="rId29"/>
    <sheet name="New Hampshire" sheetId="30" r:id="rId30"/>
    <sheet name="New Jersey" sheetId="29" r:id="rId31"/>
    <sheet name="New Mexico" sheetId="28" r:id="rId32"/>
    <sheet name="New York" sheetId="27" r:id="rId33"/>
    <sheet name="North Carolina" sheetId="26" r:id="rId34"/>
    <sheet name="North Dakota" sheetId="25" r:id="rId35"/>
    <sheet name="Ohio" sheetId="24" r:id="rId36"/>
    <sheet name="Oklahoma" sheetId="23" r:id="rId37"/>
    <sheet name="Oregon" sheetId="22" r:id="rId38"/>
    <sheet name="Pennsylvania" sheetId="21" r:id="rId39"/>
    <sheet name="Puerto Rico" sheetId="55" r:id="rId40"/>
    <sheet name="Rhode Island" sheetId="20" r:id="rId41"/>
    <sheet name="South Carolina" sheetId="19" r:id="rId42"/>
    <sheet name="South Dakota " sheetId="18" r:id="rId43"/>
    <sheet name="Tennessee" sheetId="17" r:id="rId44"/>
    <sheet name="Texas" sheetId="16" r:id="rId45"/>
    <sheet name="Utah" sheetId="15" r:id="rId46"/>
    <sheet name="Vermont" sheetId="14" r:id="rId47"/>
    <sheet name="Virginia" sheetId="13" r:id="rId48"/>
    <sheet name="Washington" sheetId="12" r:id="rId49"/>
    <sheet name="West Virginia" sheetId="11" r:id="rId50"/>
    <sheet name="Wisconsin" sheetId="10" r:id="rId51"/>
    <sheet name="Wyoming" sheetId="9" r:id="rId52"/>
    <sheet name="Total" sheetId="4" r:id="rId53"/>
    <sheet name="Notes" sheetId="56" r:id="rId54"/>
  </sheets>
  <calcPr calcId="145621"/>
</workbook>
</file>

<file path=xl/calcChain.xml><?xml version="1.0" encoding="utf-8"?>
<calcChain xmlns="http://schemas.openxmlformats.org/spreadsheetml/2006/main">
  <c r="M48" i="11" l="1"/>
  <c r="N48" i="11" s="1"/>
  <c r="L48" i="11"/>
  <c r="K48" i="11"/>
  <c r="M47" i="11"/>
  <c r="N47" i="11" s="1"/>
  <c r="L47" i="11"/>
  <c r="K47" i="11"/>
  <c r="M46" i="11"/>
  <c r="N46" i="11" s="1"/>
  <c r="L46" i="11"/>
  <c r="K46" i="11"/>
  <c r="M45" i="11"/>
  <c r="N45" i="11" s="1"/>
  <c r="L45" i="11"/>
  <c r="K45" i="11"/>
  <c r="M44" i="11"/>
  <c r="N44" i="11" s="1"/>
  <c r="L44" i="11"/>
  <c r="K44" i="11"/>
  <c r="M42" i="11"/>
  <c r="N42" i="11" s="1"/>
  <c r="L42" i="11"/>
  <c r="K42" i="11"/>
  <c r="M41" i="11"/>
  <c r="N41" i="11" s="1"/>
  <c r="L41" i="11"/>
  <c r="K41" i="11"/>
  <c r="M40" i="11"/>
  <c r="N40" i="11" s="1"/>
  <c r="L40" i="11"/>
  <c r="K40" i="11"/>
  <c r="M39" i="11"/>
  <c r="N39" i="11" s="1"/>
  <c r="L39" i="11"/>
  <c r="K39" i="11"/>
  <c r="M43" i="11"/>
  <c r="N43" i="11" s="1"/>
  <c r="L43" i="11"/>
  <c r="K43" i="11"/>
  <c r="M38" i="11"/>
  <c r="N38" i="11" s="1"/>
  <c r="L38" i="11"/>
  <c r="K38" i="11"/>
  <c r="M37" i="11"/>
  <c r="N37" i="11" s="1"/>
  <c r="L37" i="11"/>
  <c r="K37" i="11"/>
  <c r="M36" i="11"/>
  <c r="N36" i="11" s="1"/>
  <c r="L36" i="11"/>
  <c r="K36" i="11"/>
  <c r="J48" i="4" l="1"/>
  <c r="I48" i="4"/>
  <c r="H48" i="4"/>
  <c r="G48" i="4"/>
  <c r="F48" i="4"/>
  <c r="E48" i="4"/>
  <c r="D48" i="4"/>
  <c r="M48" i="4" s="1"/>
  <c r="C48" i="4"/>
  <c r="B48" i="4"/>
  <c r="K48" i="4" s="1"/>
  <c r="J47" i="4"/>
  <c r="I47" i="4"/>
  <c r="H47" i="4"/>
  <c r="G47" i="4"/>
  <c r="F47" i="4"/>
  <c r="E47" i="4"/>
  <c r="D47" i="4"/>
  <c r="C47" i="4"/>
  <c r="L47" i="4" s="1"/>
  <c r="B47" i="4"/>
  <c r="J46" i="4"/>
  <c r="I46" i="4"/>
  <c r="H46" i="4"/>
  <c r="G46" i="4"/>
  <c r="F46" i="4"/>
  <c r="E46" i="4"/>
  <c r="D46" i="4"/>
  <c r="M46" i="4" s="1"/>
  <c r="C46" i="4"/>
  <c r="B46" i="4"/>
  <c r="K46" i="4" s="1"/>
  <c r="J45" i="4"/>
  <c r="I45" i="4"/>
  <c r="H45" i="4"/>
  <c r="G45" i="4"/>
  <c r="F45" i="4"/>
  <c r="E45" i="4"/>
  <c r="D45" i="4"/>
  <c r="C45" i="4"/>
  <c r="L45" i="4" s="1"/>
  <c r="B45" i="4"/>
  <c r="J44" i="4"/>
  <c r="I44" i="4"/>
  <c r="H44" i="4"/>
  <c r="G44" i="4"/>
  <c r="F44" i="4"/>
  <c r="E44" i="4"/>
  <c r="D44" i="4"/>
  <c r="M44" i="4" s="1"/>
  <c r="C44" i="4"/>
  <c r="B44" i="4"/>
  <c r="K44" i="4" s="1"/>
  <c r="J43" i="4"/>
  <c r="I43" i="4"/>
  <c r="H43" i="4"/>
  <c r="G43" i="4"/>
  <c r="F43" i="4"/>
  <c r="E43" i="4"/>
  <c r="D43" i="4"/>
  <c r="C43" i="4"/>
  <c r="L43" i="4" s="1"/>
  <c r="B43" i="4"/>
  <c r="J42" i="4"/>
  <c r="I42" i="4"/>
  <c r="H42" i="4"/>
  <c r="G42" i="4"/>
  <c r="F42" i="4"/>
  <c r="E42" i="4"/>
  <c r="D42" i="4"/>
  <c r="M42" i="4" s="1"/>
  <c r="C42" i="4"/>
  <c r="B42" i="4"/>
  <c r="K42" i="4" s="1"/>
  <c r="J41" i="4"/>
  <c r="I41" i="4"/>
  <c r="H41" i="4"/>
  <c r="G41" i="4"/>
  <c r="F41" i="4"/>
  <c r="E41" i="4"/>
  <c r="D41" i="4"/>
  <c r="C41" i="4"/>
  <c r="L41" i="4" s="1"/>
  <c r="B41" i="4"/>
  <c r="J40" i="4"/>
  <c r="I40" i="4"/>
  <c r="H40" i="4"/>
  <c r="G40" i="4"/>
  <c r="F40" i="4"/>
  <c r="E40" i="4"/>
  <c r="D40" i="4"/>
  <c r="M40" i="4" s="1"/>
  <c r="C40" i="4"/>
  <c r="B40" i="4"/>
  <c r="K40" i="4" s="1"/>
  <c r="J39" i="4"/>
  <c r="I39" i="4"/>
  <c r="H39" i="4"/>
  <c r="G39" i="4"/>
  <c r="F39" i="4"/>
  <c r="E39" i="4"/>
  <c r="D39" i="4"/>
  <c r="C39" i="4"/>
  <c r="L39" i="4" s="1"/>
  <c r="B39" i="4"/>
  <c r="J38" i="4"/>
  <c r="I38" i="4"/>
  <c r="H38" i="4"/>
  <c r="G38" i="4"/>
  <c r="F38" i="4"/>
  <c r="E38" i="4"/>
  <c r="D38" i="4"/>
  <c r="M38" i="4" s="1"/>
  <c r="C38" i="4"/>
  <c r="B38" i="4"/>
  <c r="K38" i="4" s="1"/>
  <c r="J37" i="4"/>
  <c r="I37" i="4"/>
  <c r="H37" i="4"/>
  <c r="G37" i="4"/>
  <c r="F37" i="4"/>
  <c r="E37" i="4"/>
  <c r="D37" i="4"/>
  <c r="C37" i="4"/>
  <c r="L37" i="4" s="1"/>
  <c r="B37" i="4"/>
  <c r="J36" i="4"/>
  <c r="I36" i="4"/>
  <c r="H36" i="4"/>
  <c r="G36" i="4"/>
  <c r="F36" i="4"/>
  <c r="E36" i="4"/>
  <c r="D36" i="4"/>
  <c r="C36" i="4"/>
  <c r="L36" i="4" s="1"/>
  <c r="B36" i="4"/>
  <c r="K36" i="4" s="1"/>
  <c r="J35" i="4"/>
  <c r="I35" i="4"/>
  <c r="H35" i="4"/>
  <c r="G35" i="4"/>
  <c r="F35" i="4"/>
  <c r="E35" i="4"/>
  <c r="D35" i="4"/>
  <c r="C35" i="4"/>
  <c r="L35" i="4" s="1"/>
  <c r="B35" i="4"/>
  <c r="J34" i="4"/>
  <c r="I34" i="4"/>
  <c r="H34" i="4"/>
  <c r="G34" i="4"/>
  <c r="F34" i="4"/>
  <c r="E34" i="4"/>
  <c r="D34" i="4"/>
  <c r="M34" i="4" s="1"/>
  <c r="C34" i="4"/>
  <c r="L34" i="4" s="1"/>
  <c r="B34" i="4"/>
  <c r="K34" i="4" s="1"/>
  <c r="K35" i="4" l="1"/>
  <c r="N35" i="4" s="1"/>
  <c r="M35" i="4"/>
  <c r="K37" i="4"/>
  <c r="M37" i="4"/>
  <c r="L38" i="4"/>
  <c r="K39" i="4"/>
  <c r="M39" i="4"/>
  <c r="L40" i="4"/>
  <c r="K41" i="4"/>
  <c r="N41" i="4" s="1"/>
  <c r="M41" i="4"/>
  <c r="L42" i="4"/>
  <c r="N42" i="4" s="1"/>
  <c r="K43" i="4"/>
  <c r="M43" i="4"/>
  <c r="L44" i="4"/>
  <c r="K45" i="4"/>
  <c r="N45" i="4" s="1"/>
  <c r="M45" i="4"/>
  <c r="L46" i="4"/>
  <c r="N46" i="4" s="1"/>
  <c r="K47" i="4"/>
  <c r="M47" i="4"/>
  <c r="L48" i="4"/>
  <c r="M36" i="4"/>
  <c r="N36" i="4" s="1"/>
  <c r="N34" i="4"/>
  <c r="N38" i="4"/>
  <c r="N40" i="4"/>
  <c r="N39" i="4"/>
  <c r="N43" i="4"/>
  <c r="N47" i="4"/>
  <c r="N44" i="4"/>
  <c r="N48" i="4"/>
  <c r="K6" i="2"/>
  <c r="L6" i="2"/>
  <c r="M6" i="2"/>
  <c r="N6" i="2"/>
  <c r="K7" i="2"/>
  <c r="L7" i="2"/>
  <c r="M7" i="2"/>
  <c r="N7" i="2"/>
  <c r="K8" i="2"/>
  <c r="L8" i="2"/>
  <c r="M8" i="2"/>
  <c r="N8" i="2"/>
  <c r="K9" i="2"/>
  <c r="L9" i="2"/>
  <c r="M9" i="2"/>
  <c r="N9" i="2"/>
  <c r="K10" i="2"/>
  <c r="L10" i="2"/>
  <c r="M10" i="2"/>
  <c r="N10" i="2"/>
  <c r="K11" i="2"/>
  <c r="L11" i="2"/>
  <c r="M11" i="2"/>
  <c r="N11" i="2"/>
  <c r="K12" i="2"/>
  <c r="L12" i="2"/>
  <c r="M12" i="2"/>
  <c r="N12" i="2"/>
  <c r="K13" i="2"/>
  <c r="L13" i="2"/>
  <c r="M13" i="2"/>
  <c r="N13" i="2"/>
  <c r="K14" i="2"/>
  <c r="L14" i="2"/>
  <c r="M14" i="2"/>
  <c r="N14" i="2"/>
  <c r="K15" i="2"/>
  <c r="L15" i="2"/>
  <c r="M15" i="2"/>
  <c r="N15" i="2"/>
  <c r="K16" i="2"/>
  <c r="L16" i="2"/>
  <c r="M16" i="2"/>
  <c r="N16" i="2"/>
  <c r="K17" i="2"/>
  <c r="L17" i="2"/>
  <c r="M17" i="2"/>
  <c r="N17" i="2"/>
  <c r="K18" i="2"/>
  <c r="L18" i="2"/>
  <c r="M18" i="2"/>
  <c r="N18" i="2"/>
  <c r="K19" i="2"/>
  <c r="L19" i="2"/>
  <c r="M19" i="2"/>
  <c r="N19" i="2"/>
  <c r="K20" i="2"/>
  <c r="L20" i="2"/>
  <c r="M20" i="2"/>
  <c r="N20" i="2"/>
  <c r="K21" i="2"/>
  <c r="L21" i="2"/>
  <c r="M21" i="2"/>
  <c r="N21" i="2"/>
  <c r="K22" i="2"/>
  <c r="L22" i="2"/>
  <c r="M22" i="2"/>
  <c r="N22" i="2"/>
  <c r="K23" i="2"/>
  <c r="L23" i="2"/>
  <c r="M23" i="2"/>
  <c r="N23" i="2"/>
  <c r="K24" i="2"/>
  <c r="L24" i="2"/>
  <c r="M24" i="2"/>
  <c r="N24" i="2"/>
  <c r="K25" i="2"/>
  <c r="L25" i="2"/>
  <c r="M25" i="2"/>
  <c r="N25" i="2"/>
  <c r="K26" i="2"/>
  <c r="L26" i="2"/>
  <c r="M26" i="2"/>
  <c r="N26" i="2"/>
  <c r="K27" i="2"/>
  <c r="L27" i="2"/>
  <c r="M27" i="2"/>
  <c r="N27" i="2"/>
  <c r="K28" i="2"/>
  <c r="L28" i="2"/>
  <c r="M28" i="2"/>
  <c r="N28" i="2"/>
  <c r="K29" i="2"/>
  <c r="L29" i="2"/>
  <c r="M29" i="2"/>
  <c r="N29" i="2"/>
  <c r="B30" i="2"/>
  <c r="K30" i="2"/>
  <c r="L30" i="2"/>
  <c r="M30" i="2"/>
  <c r="N30" i="2"/>
  <c r="K31" i="2"/>
  <c r="L31" i="2"/>
  <c r="M31" i="2"/>
  <c r="N31" i="2"/>
  <c r="K32" i="2"/>
  <c r="L32" i="2"/>
  <c r="M32" i="2"/>
  <c r="N32" i="2"/>
  <c r="B33" i="2"/>
  <c r="K33" i="2"/>
  <c r="N33" i="2"/>
  <c r="L33" i="2"/>
  <c r="M33" i="2"/>
  <c r="K34" i="2"/>
  <c r="L34" i="2"/>
  <c r="M34" i="2"/>
  <c r="N34" i="2"/>
  <c r="K35" i="2"/>
  <c r="L35" i="2"/>
  <c r="M35" i="2"/>
  <c r="N35" i="2"/>
  <c r="K6" i="1"/>
  <c r="L6" i="1"/>
  <c r="M6" i="1"/>
  <c r="N6" i="1"/>
  <c r="K7" i="1"/>
  <c r="L7" i="1"/>
  <c r="M7" i="1"/>
  <c r="N7" i="1"/>
  <c r="K8" i="1"/>
  <c r="L8" i="1"/>
  <c r="M8" i="1"/>
  <c r="N8" i="1"/>
  <c r="K9" i="1"/>
  <c r="L9" i="1"/>
  <c r="M9" i="1"/>
  <c r="N9" i="1"/>
  <c r="K10" i="1"/>
  <c r="L10" i="1"/>
  <c r="M10" i="1"/>
  <c r="N10" i="1"/>
  <c r="K11" i="1"/>
  <c r="L11" i="1"/>
  <c r="M11" i="1"/>
  <c r="N11" i="1"/>
  <c r="K12" i="1"/>
  <c r="L12" i="1"/>
  <c r="M12" i="1"/>
  <c r="N12" i="1"/>
  <c r="K13" i="1"/>
  <c r="L13" i="1"/>
  <c r="M13" i="1"/>
  <c r="N13" i="1"/>
  <c r="K14" i="1"/>
  <c r="L14" i="1"/>
  <c r="M14" i="1"/>
  <c r="N14" i="1"/>
  <c r="K15" i="1"/>
  <c r="L15" i="1"/>
  <c r="M15" i="1"/>
  <c r="N15" i="1"/>
  <c r="K16" i="1"/>
  <c r="L16" i="1"/>
  <c r="M16" i="1"/>
  <c r="N16" i="1"/>
  <c r="K17" i="1"/>
  <c r="L17" i="1"/>
  <c r="M17" i="1"/>
  <c r="N17" i="1"/>
  <c r="K18" i="1"/>
  <c r="L18" i="1"/>
  <c r="M18" i="1"/>
  <c r="N18" i="1"/>
  <c r="K19" i="1"/>
  <c r="L19" i="1"/>
  <c r="M19" i="1"/>
  <c r="N19" i="1"/>
  <c r="K20" i="1"/>
  <c r="L20" i="1"/>
  <c r="M20" i="1"/>
  <c r="N20" i="1"/>
  <c r="K21" i="1"/>
  <c r="L21" i="1"/>
  <c r="M21" i="1"/>
  <c r="N21" i="1"/>
  <c r="K22" i="1"/>
  <c r="L22" i="1"/>
  <c r="M22" i="1"/>
  <c r="N22" i="1"/>
  <c r="K23" i="1"/>
  <c r="L23" i="1"/>
  <c r="M23" i="1"/>
  <c r="N23" i="1"/>
  <c r="K24" i="1"/>
  <c r="L24" i="1"/>
  <c r="M24" i="1"/>
  <c r="N24" i="1"/>
  <c r="K25" i="1"/>
  <c r="L25" i="1"/>
  <c r="M25" i="1"/>
  <c r="N25" i="1"/>
  <c r="K26" i="1"/>
  <c r="L26" i="1"/>
  <c r="M26" i="1"/>
  <c r="N26" i="1"/>
  <c r="K27" i="1"/>
  <c r="L27" i="1"/>
  <c r="M27" i="1"/>
  <c r="N27" i="1"/>
  <c r="K28" i="1"/>
  <c r="L28" i="1"/>
  <c r="M28" i="1"/>
  <c r="N28" i="1"/>
  <c r="E29" i="1"/>
  <c r="K29" i="1"/>
  <c r="L29" i="1"/>
  <c r="M29" i="1"/>
  <c r="N29" i="1"/>
  <c r="B30" i="1"/>
  <c r="K30" i="1"/>
  <c r="N30" i="1"/>
  <c r="L30" i="1"/>
  <c r="M30" i="1"/>
  <c r="K31" i="1"/>
  <c r="L31" i="1"/>
  <c r="M31" i="1"/>
  <c r="N31" i="1"/>
  <c r="K32" i="1"/>
  <c r="L32" i="1"/>
  <c r="M32" i="1"/>
  <c r="N32" i="1"/>
  <c r="K33" i="1"/>
  <c r="L33" i="1"/>
  <c r="M33" i="1"/>
  <c r="N33" i="1"/>
  <c r="K34" i="1"/>
  <c r="L34" i="1"/>
  <c r="M34" i="1"/>
  <c r="N34" i="1"/>
  <c r="K35" i="1"/>
  <c r="L35" i="1"/>
  <c r="M35" i="1"/>
  <c r="N35" i="1"/>
  <c r="K6" i="3"/>
  <c r="L6" i="3"/>
  <c r="M6" i="3"/>
  <c r="N6" i="3"/>
  <c r="K7" i="3"/>
  <c r="L7" i="3"/>
  <c r="M7" i="3"/>
  <c r="N7" i="3"/>
  <c r="K8" i="3"/>
  <c r="L8" i="3"/>
  <c r="M8" i="3"/>
  <c r="N8" i="3"/>
  <c r="K9" i="3"/>
  <c r="L9" i="3"/>
  <c r="M9" i="3"/>
  <c r="N9" i="3"/>
  <c r="K10" i="3"/>
  <c r="L10" i="3"/>
  <c r="M10" i="3"/>
  <c r="N10" i="3"/>
  <c r="K11" i="3"/>
  <c r="L11" i="3"/>
  <c r="M11" i="3"/>
  <c r="N11" i="3"/>
  <c r="K12" i="3"/>
  <c r="L12" i="3"/>
  <c r="M12" i="3"/>
  <c r="N12" i="3"/>
  <c r="K13" i="3"/>
  <c r="L13" i="3"/>
  <c r="M13" i="3"/>
  <c r="N13" i="3"/>
  <c r="K14" i="3"/>
  <c r="L14" i="3"/>
  <c r="M14" i="3"/>
  <c r="N14" i="3"/>
  <c r="K15" i="3"/>
  <c r="L15" i="3"/>
  <c r="M15" i="3"/>
  <c r="N15" i="3"/>
  <c r="K16" i="3"/>
  <c r="L16" i="3"/>
  <c r="M16" i="3"/>
  <c r="N16" i="3"/>
  <c r="K17" i="3"/>
  <c r="L17" i="3"/>
  <c r="M17" i="3"/>
  <c r="N17" i="3"/>
  <c r="K18" i="3"/>
  <c r="L18" i="3"/>
  <c r="M18" i="3"/>
  <c r="N18" i="3"/>
  <c r="K19" i="3"/>
  <c r="L19" i="3"/>
  <c r="M19" i="3"/>
  <c r="N19" i="3"/>
  <c r="K20" i="3"/>
  <c r="L20" i="3"/>
  <c r="M20" i="3"/>
  <c r="N20" i="3"/>
  <c r="K21" i="3"/>
  <c r="L21" i="3"/>
  <c r="M21" i="3"/>
  <c r="N21" i="3"/>
  <c r="K22" i="3"/>
  <c r="L22" i="3"/>
  <c r="M22" i="3"/>
  <c r="N22" i="3"/>
  <c r="K23" i="3"/>
  <c r="L23" i="3"/>
  <c r="M23" i="3"/>
  <c r="N23" i="3"/>
  <c r="K24" i="3"/>
  <c r="L24" i="3"/>
  <c r="M24" i="3"/>
  <c r="N24" i="3"/>
  <c r="K25" i="3"/>
  <c r="L25" i="3"/>
  <c r="M25" i="3"/>
  <c r="N25" i="3"/>
  <c r="K26" i="3"/>
  <c r="L26" i="3"/>
  <c r="M26" i="3"/>
  <c r="N26" i="3"/>
  <c r="K27" i="3"/>
  <c r="L27" i="3"/>
  <c r="M27" i="3"/>
  <c r="N27" i="3"/>
  <c r="K28" i="3"/>
  <c r="L28" i="3"/>
  <c r="M28" i="3"/>
  <c r="N28" i="3"/>
  <c r="K29" i="3"/>
  <c r="L29" i="3"/>
  <c r="M29" i="3"/>
  <c r="N29" i="3"/>
  <c r="B30" i="3"/>
  <c r="K30" i="3"/>
  <c r="L30" i="3"/>
  <c r="M30" i="3"/>
  <c r="N30" i="3"/>
  <c r="K31" i="3"/>
  <c r="L31" i="3"/>
  <c r="M31" i="3"/>
  <c r="N31" i="3"/>
  <c r="K32" i="3"/>
  <c r="L32" i="3"/>
  <c r="M32" i="3"/>
  <c r="N32" i="3"/>
  <c r="B33" i="3"/>
  <c r="K33" i="3"/>
  <c r="N33" i="3"/>
  <c r="L33" i="3"/>
  <c r="M33" i="3"/>
  <c r="K34" i="3"/>
  <c r="L34" i="3"/>
  <c r="M34" i="3"/>
  <c r="N34" i="3"/>
  <c r="K35" i="3"/>
  <c r="L35" i="3"/>
  <c r="M35" i="3"/>
  <c r="N35" i="3"/>
  <c r="K6" i="6"/>
  <c r="L6" i="6"/>
  <c r="M6" i="6"/>
  <c r="N6" i="6"/>
  <c r="K7" i="6"/>
  <c r="L7" i="6"/>
  <c r="M7" i="6"/>
  <c r="N7" i="6"/>
  <c r="K8" i="6"/>
  <c r="L8" i="6"/>
  <c r="M8" i="6"/>
  <c r="N8" i="6"/>
  <c r="K9" i="6"/>
  <c r="L9" i="6"/>
  <c r="M9" i="6"/>
  <c r="N9" i="6"/>
  <c r="K10" i="6"/>
  <c r="L10" i="6"/>
  <c r="M10" i="6"/>
  <c r="N10" i="6"/>
  <c r="K11" i="6"/>
  <c r="L11" i="6"/>
  <c r="M11" i="6"/>
  <c r="N11" i="6"/>
  <c r="K12" i="6"/>
  <c r="L12" i="6"/>
  <c r="M12" i="6"/>
  <c r="N12" i="6"/>
  <c r="K13" i="6"/>
  <c r="L13" i="6"/>
  <c r="M13" i="6"/>
  <c r="N13" i="6"/>
  <c r="K14" i="6"/>
  <c r="L14" i="6"/>
  <c r="M14" i="6"/>
  <c r="N14" i="6"/>
  <c r="K15" i="6"/>
  <c r="L15" i="6"/>
  <c r="M15" i="6"/>
  <c r="N15" i="6"/>
  <c r="K16" i="6"/>
  <c r="L16" i="6"/>
  <c r="M16" i="6"/>
  <c r="N16" i="6"/>
  <c r="K17" i="6"/>
  <c r="L17" i="6"/>
  <c r="M17" i="6"/>
  <c r="N17" i="6"/>
  <c r="K18" i="6"/>
  <c r="L18" i="6"/>
  <c r="M18" i="6"/>
  <c r="N18" i="6"/>
  <c r="K19" i="6"/>
  <c r="L19" i="6"/>
  <c r="M19" i="6"/>
  <c r="N19" i="6"/>
  <c r="K20" i="6"/>
  <c r="L20" i="6"/>
  <c r="M20" i="6"/>
  <c r="N20" i="6"/>
  <c r="K21" i="6"/>
  <c r="L21" i="6"/>
  <c r="M21" i="6"/>
  <c r="N21" i="6"/>
  <c r="K22" i="6"/>
  <c r="L22" i="6"/>
  <c r="M22" i="6"/>
  <c r="N22" i="6"/>
  <c r="K23" i="6"/>
  <c r="L23" i="6"/>
  <c r="M23" i="6"/>
  <c r="N23" i="6"/>
  <c r="K24" i="6"/>
  <c r="L24" i="6"/>
  <c r="M24" i="6"/>
  <c r="N24" i="6"/>
  <c r="K25" i="6"/>
  <c r="L25" i="6"/>
  <c r="M25" i="6"/>
  <c r="N25" i="6"/>
  <c r="K26" i="6"/>
  <c r="L26" i="6"/>
  <c r="M26" i="6"/>
  <c r="N26" i="6"/>
  <c r="E27" i="6"/>
  <c r="K27" i="6"/>
  <c r="L27" i="6"/>
  <c r="M27" i="6"/>
  <c r="N27" i="6"/>
  <c r="E28" i="6"/>
  <c r="K28" i="6"/>
  <c r="N28" i="6"/>
  <c r="L28" i="6"/>
  <c r="M28" i="6"/>
  <c r="K29" i="6"/>
  <c r="L29" i="6"/>
  <c r="M29" i="6"/>
  <c r="N29" i="6"/>
  <c r="E30" i="6"/>
  <c r="K30" i="6"/>
  <c r="L30" i="6"/>
  <c r="M30" i="6"/>
  <c r="N30" i="6"/>
  <c r="K31" i="6"/>
  <c r="L31" i="6"/>
  <c r="M31" i="6"/>
  <c r="N31" i="6"/>
  <c r="K32" i="6"/>
  <c r="L32" i="6"/>
  <c r="M32" i="6"/>
  <c r="N32" i="6"/>
  <c r="B33" i="6"/>
  <c r="K33" i="6"/>
  <c r="N33" i="6"/>
  <c r="L33" i="6"/>
  <c r="M33" i="6"/>
  <c r="K34" i="6"/>
  <c r="L34" i="6"/>
  <c r="M34" i="6"/>
  <c r="N34" i="6"/>
  <c r="K35" i="6"/>
  <c r="L35" i="6"/>
  <c r="M35" i="6"/>
  <c r="N35" i="6"/>
  <c r="E6" i="7"/>
  <c r="K6" i="7"/>
  <c r="L6" i="7"/>
  <c r="M6" i="7"/>
  <c r="N6" i="7"/>
  <c r="E7" i="7"/>
  <c r="K7" i="7"/>
  <c r="N7" i="7"/>
  <c r="L7" i="7"/>
  <c r="M7" i="7"/>
  <c r="E8" i="7"/>
  <c r="K8" i="7"/>
  <c r="L8" i="7"/>
  <c r="M8" i="7"/>
  <c r="N8" i="7"/>
  <c r="E9" i="7"/>
  <c r="K9" i="7"/>
  <c r="N9" i="7"/>
  <c r="L9" i="7"/>
  <c r="M9" i="7"/>
  <c r="E10" i="7"/>
  <c r="K10" i="7"/>
  <c r="L10" i="7"/>
  <c r="M10" i="7"/>
  <c r="N10" i="7"/>
  <c r="B11" i="7"/>
  <c r="K11" i="7"/>
  <c r="N11" i="7"/>
  <c r="L11" i="7"/>
  <c r="M11" i="7"/>
  <c r="B12" i="7"/>
  <c r="E12" i="7"/>
  <c r="K12" i="7"/>
  <c r="N12" i="7"/>
  <c r="L12" i="7"/>
  <c r="M12" i="7"/>
  <c r="B13" i="7"/>
  <c r="E13" i="7"/>
  <c r="K13" i="7"/>
  <c r="N13" i="7"/>
  <c r="L13" i="7"/>
  <c r="M13" i="7"/>
  <c r="B14" i="7"/>
  <c r="E14" i="7"/>
  <c r="K14" i="7"/>
  <c r="N14" i="7"/>
  <c r="L14" i="7"/>
  <c r="M14" i="7"/>
  <c r="B15" i="7"/>
  <c r="E15" i="7"/>
  <c r="K15" i="7"/>
  <c r="N15" i="7"/>
  <c r="L15" i="7"/>
  <c r="M15" i="7"/>
  <c r="B16" i="7"/>
  <c r="E16" i="7"/>
  <c r="K16" i="7"/>
  <c r="N16" i="7"/>
  <c r="L16" i="7"/>
  <c r="M16" i="7"/>
  <c r="B17" i="7"/>
  <c r="E17" i="7"/>
  <c r="K17" i="7"/>
  <c r="N17" i="7"/>
  <c r="L17" i="7"/>
  <c r="M17" i="7"/>
  <c r="B18" i="7"/>
  <c r="E18" i="7"/>
  <c r="F18" i="7"/>
  <c r="K18" i="7"/>
  <c r="L18" i="7"/>
  <c r="M18" i="7"/>
  <c r="N18" i="7"/>
  <c r="B19" i="7"/>
  <c r="E19" i="7"/>
  <c r="K19" i="7"/>
  <c r="L19" i="7"/>
  <c r="M19" i="7"/>
  <c r="N19" i="7"/>
  <c r="B20" i="7"/>
  <c r="E20" i="7"/>
  <c r="K20" i="7"/>
  <c r="L20" i="7"/>
  <c r="M20" i="7"/>
  <c r="N20" i="7"/>
  <c r="B21" i="7"/>
  <c r="E21" i="7"/>
  <c r="K21" i="7"/>
  <c r="L21" i="7"/>
  <c r="M21" i="7"/>
  <c r="N21" i="7"/>
  <c r="B22" i="7"/>
  <c r="E22" i="7"/>
  <c r="K22" i="7"/>
  <c r="L22" i="7"/>
  <c r="M22" i="7"/>
  <c r="N22" i="7"/>
  <c r="B23" i="7"/>
  <c r="E23" i="7"/>
  <c r="K23" i="7"/>
  <c r="L23" i="7"/>
  <c r="M23" i="7"/>
  <c r="N23" i="7"/>
  <c r="B24" i="7"/>
  <c r="K24" i="7"/>
  <c r="N24" i="7"/>
  <c r="L24" i="7"/>
  <c r="M24" i="7"/>
  <c r="B25" i="7"/>
  <c r="K25" i="7"/>
  <c r="L25" i="7"/>
  <c r="M25" i="7"/>
  <c r="N25" i="7"/>
  <c r="B26" i="7"/>
  <c r="K26" i="7"/>
  <c r="N26" i="7"/>
  <c r="L26" i="7"/>
  <c r="M26" i="7"/>
  <c r="E27" i="7"/>
  <c r="K27" i="7"/>
  <c r="L27" i="7"/>
  <c r="M27" i="7"/>
  <c r="N27" i="7"/>
  <c r="B28" i="7"/>
  <c r="K28" i="7"/>
  <c r="N28" i="7"/>
  <c r="L28" i="7"/>
  <c r="M28" i="7"/>
  <c r="B29" i="7"/>
  <c r="K29" i="7"/>
  <c r="L29" i="7"/>
  <c r="M29" i="7"/>
  <c r="N29" i="7"/>
  <c r="B30" i="7"/>
  <c r="E30" i="7"/>
  <c r="K30" i="7"/>
  <c r="L30" i="7"/>
  <c r="M30" i="7"/>
  <c r="N30" i="7"/>
  <c r="B31" i="7"/>
  <c r="E31" i="7"/>
  <c r="K31" i="7"/>
  <c r="L31" i="7"/>
  <c r="M31" i="7"/>
  <c r="N31" i="7"/>
  <c r="B32" i="7"/>
  <c r="E32" i="7"/>
  <c r="K32" i="7"/>
  <c r="L32" i="7"/>
  <c r="M32" i="7"/>
  <c r="N32" i="7"/>
  <c r="B33" i="7"/>
  <c r="E33" i="7"/>
  <c r="K33" i="7"/>
  <c r="L33" i="7"/>
  <c r="M33" i="7"/>
  <c r="N33" i="7"/>
  <c r="B34" i="7"/>
  <c r="E34" i="7"/>
  <c r="K34" i="7"/>
  <c r="L34" i="7"/>
  <c r="M34" i="7"/>
  <c r="N34" i="7"/>
  <c r="K35" i="7"/>
  <c r="L35" i="7"/>
  <c r="M35" i="7"/>
  <c r="N35" i="7"/>
  <c r="K6" i="54"/>
  <c r="L6" i="54"/>
  <c r="M6" i="54"/>
  <c r="N6" i="54"/>
  <c r="K7" i="54"/>
  <c r="L7" i="54"/>
  <c r="M7" i="54"/>
  <c r="N7" i="54"/>
  <c r="K8" i="54"/>
  <c r="L8" i="54"/>
  <c r="M8" i="54"/>
  <c r="N8" i="54"/>
  <c r="K9" i="54"/>
  <c r="L9" i="54"/>
  <c r="M9" i="54"/>
  <c r="N9" i="54"/>
  <c r="K10" i="54"/>
  <c r="L10" i="54"/>
  <c r="M10" i="54"/>
  <c r="N10" i="54"/>
  <c r="K11" i="54"/>
  <c r="L11" i="54"/>
  <c r="M11" i="54"/>
  <c r="N11" i="54"/>
  <c r="K12" i="54"/>
  <c r="L12" i="54"/>
  <c r="M12" i="54"/>
  <c r="N12" i="54"/>
  <c r="K13" i="54"/>
  <c r="L13" i="54"/>
  <c r="M13" i="54"/>
  <c r="N13" i="54"/>
  <c r="K14" i="54"/>
  <c r="L14" i="54"/>
  <c r="M14" i="54"/>
  <c r="N14" i="54"/>
  <c r="K15" i="54"/>
  <c r="L15" i="54"/>
  <c r="M15" i="54"/>
  <c r="N15" i="54"/>
  <c r="K16" i="54"/>
  <c r="L16" i="54"/>
  <c r="M16" i="54"/>
  <c r="N16" i="54"/>
  <c r="K17" i="54"/>
  <c r="L17" i="54"/>
  <c r="M17" i="54"/>
  <c r="N17" i="54"/>
  <c r="K18" i="54"/>
  <c r="L18" i="54"/>
  <c r="M18" i="54"/>
  <c r="N18" i="54"/>
  <c r="K19" i="54"/>
  <c r="L19" i="54"/>
  <c r="M19" i="54"/>
  <c r="N19" i="54"/>
  <c r="E20" i="54"/>
  <c r="K20" i="54"/>
  <c r="N20" i="54"/>
  <c r="L20" i="54"/>
  <c r="M20" i="54"/>
  <c r="E21" i="54"/>
  <c r="K21" i="54"/>
  <c r="L21" i="54"/>
  <c r="M21" i="54"/>
  <c r="N21" i="54"/>
  <c r="E22" i="54"/>
  <c r="K22" i="54"/>
  <c r="N22" i="54"/>
  <c r="L22" i="54"/>
  <c r="M22" i="54"/>
  <c r="E23" i="54"/>
  <c r="K23" i="54"/>
  <c r="L23" i="54"/>
  <c r="M23" i="54"/>
  <c r="N23" i="54"/>
  <c r="E24" i="54"/>
  <c r="K24" i="54"/>
  <c r="N24" i="54"/>
  <c r="L24" i="54"/>
  <c r="M24" i="54"/>
  <c r="E25" i="54"/>
  <c r="K25" i="54"/>
  <c r="L25" i="54"/>
  <c r="M25" i="54"/>
  <c r="N25" i="54"/>
  <c r="E26" i="54"/>
  <c r="K26" i="54"/>
  <c r="N26" i="54"/>
  <c r="L26" i="54"/>
  <c r="M26" i="54"/>
  <c r="E27" i="54"/>
  <c r="K27" i="54"/>
  <c r="L27" i="54"/>
  <c r="M27" i="54"/>
  <c r="N27" i="54"/>
  <c r="E28" i="54"/>
  <c r="K28" i="54"/>
  <c r="N28" i="54"/>
  <c r="L28" i="54"/>
  <c r="M28" i="54"/>
  <c r="E29" i="54"/>
  <c r="K29" i="54"/>
  <c r="L29" i="54"/>
  <c r="M29" i="54"/>
  <c r="N29" i="54"/>
  <c r="B30" i="54"/>
  <c r="L30" i="54"/>
  <c r="M30" i="54"/>
  <c r="E31" i="54"/>
  <c r="K31" i="54"/>
  <c r="N31" i="54"/>
  <c r="L31" i="54"/>
  <c r="M31" i="54"/>
  <c r="E32" i="54"/>
  <c r="K32" i="54"/>
  <c r="L32" i="54"/>
  <c r="M32" i="54"/>
  <c r="N32" i="54"/>
  <c r="E33" i="54"/>
  <c r="K33" i="54"/>
  <c r="N33" i="54"/>
  <c r="L33" i="54"/>
  <c r="M33" i="54"/>
  <c r="E34" i="54"/>
  <c r="K34" i="54"/>
  <c r="L34" i="54"/>
  <c r="M34" i="54"/>
  <c r="N34" i="54"/>
  <c r="K35" i="54"/>
  <c r="L35" i="54"/>
  <c r="M35" i="54"/>
  <c r="N35" i="54"/>
  <c r="E6" i="53"/>
  <c r="K6" i="53"/>
  <c r="L6" i="53"/>
  <c r="M6" i="53"/>
  <c r="N6" i="53"/>
  <c r="E7" i="53"/>
  <c r="K7" i="53"/>
  <c r="L7" i="53"/>
  <c r="M7" i="53"/>
  <c r="N7" i="53"/>
  <c r="E8" i="53"/>
  <c r="K8" i="53"/>
  <c r="L8" i="53"/>
  <c r="M8" i="53"/>
  <c r="N8" i="53"/>
  <c r="E9" i="53"/>
  <c r="K9" i="53"/>
  <c r="L9" i="53"/>
  <c r="M9" i="53"/>
  <c r="N9" i="53"/>
  <c r="E10" i="53"/>
  <c r="K10" i="53"/>
  <c r="L10" i="53"/>
  <c r="M10" i="53"/>
  <c r="N10" i="53"/>
  <c r="E11" i="53"/>
  <c r="K11" i="53"/>
  <c r="L11" i="53"/>
  <c r="M11" i="53"/>
  <c r="N11" i="53"/>
  <c r="K12" i="53"/>
  <c r="L12" i="53"/>
  <c r="M12" i="53"/>
  <c r="N12" i="53"/>
  <c r="K13" i="53"/>
  <c r="L13" i="53"/>
  <c r="M13" i="53"/>
  <c r="N13" i="53"/>
  <c r="E14" i="53"/>
  <c r="K14" i="53"/>
  <c r="L14" i="53"/>
  <c r="M14" i="53"/>
  <c r="N14" i="53"/>
  <c r="E15" i="53"/>
  <c r="K15" i="53"/>
  <c r="L15" i="53"/>
  <c r="M15" i="53"/>
  <c r="N15" i="53"/>
  <c r="E16" i="53"/>
  <c r="K16" i="53"/>
  <c r="L16" i="53"/>
  <c r="M16" i="53"/>
  <c r="N16" i="53"/>
  <c r="E17" i="53"/>
  <c r="K17" i="53"/>
  <c r="L17" i="53"/>
  <c r="M17" i="53"/>
  <c r="N17" i="53"/>
  <c r="E18" i="53"/>
  <c r="K18" i="53"/>
  <c r="L18" i="53"/>
  <c r="M18" i="53"/>
  <c r="N18" i="53"/>
  <c r="E19" i="53"/>
  <c r="K19" i="53"/>
  <c r="L19" i="53"/>
  <c r="M19" i="53"/>
  <c r="N19" i="53"/>
  <c r="E20" i="53"/>
  <c r="K20" i="53"/>
  <c r="L20" i="53"/>
  <c r="M20" i="53"/>
  <c r="N20" i="53"/>
  <c r="E21" i="53"/>
  <c r="K21" i="53"/>
  <c r="L21" i="53"/>
  <c r="M21" i="53"/>
  <c r="N21" i="53"/>
  <c r="E22" i="53"/>
  <c r="K22" i="53"/>
  <c r="L22" i="53"/>
  <c r="M22" i="53"/>
  <c r="N22" i="53"/>
  <c r="E23" i="53"/>
  <c r="K23" i="53"/>
  <c r="L23" i="53"/>
  <c r="M23" i="53"/>
  <c r="N23" i="53"/>
  <c r="E24" i="53"/>
  <c r="K24" i="53"/>
  <c r="L24" i="53"/>
  <c r="M24" i="53"/>
  <c r="N24" i="53"/>
  <c r="E25" i="53"/>
  <c r="K25" i="53"/>
  <c r="L25" i="53"/>
  <c r="M25" i="53"/>
  <c r="N25" i="53"/>
  <c r="E26" i="53"/>
  <c r="K26" i="53"/>
  <c r="L26" i="53"/>
  <c r="M26" i="53"/>
  <c r="N26" i="53"/>
  <c r="E27" i="53"/>
  <c r="K27" i="53"/>
  <c r="L27" i="53"/>
  <c r="M27" i="53"/>
  <c r="N27" i="53"/>
  <c r="E28" i="53"/>
  <c r="K28" i="53"/>
  <c r="L28" i="53"/>
  <c r="M28" i="53"/>
  <c r="N28" i="53"/>
  <c r="E29" i="53"/>
  <c r="K29" i="53"/>
  <c r="L29" i="53"/>
  <c r="M29" i="53"/>
  <c r="N29" i="53"/>
  <c r="B30" i="53"/>
  <c r="E30" i="53"/>
  <c r="K30" i="53"/>
  <c r="N30" i="53"/>
  <c r="L30" i="53"/>
  <c r="M30" i="53"/>
  <c r="E31" i="53"/>
  <c r="K31" i="53"/>
  <c r="L31" i="53"/>
  <c r="M31" i="53"/>
  <c r="N31" i="53"/>
  <c r="E32" i="53"/>
  <c r="K32" i="53"/>
  <c r="N32" i="53"/>
  <c r="L32" i="53"/>
  <c r="M32" i="53"/>
  <c r="B33" i="53"/>
  <c r="E33" i="53"/>
  <c r="K33" i="53"/>
  <c r="L33" i="53"/>
  <c r="M33" i="53"/>
  <c r="N33" i="53"/>
  <c r="E34" i="53"/>
  <c r="K34" i="53"/>
  <c r="L34" i="53"/>
  <c r="M34" i="53"/>
  <c r="N34" i="53"/>
  <c r="K35" i="53"/>
  <c r="L35" i="53"/>
  <c r="M35" i="53"/>
  <c r="N35" i="53"/>
  <c r="K6" i="52"/>
  <c r="L6" i="52"/>
  <c r="M6" i="52"/>
  <c r="N6" i="52"/>
  <c r="K7" i="52"/>
  <c r="L7" i="52"/>
  <c r="M7" i="52"/>
  <c r="N7" i="52"/>
  <c r="K8" i="52"/>
  <c r="L8" i="52"/>
  <c r="M8" i="52"/>
  <c r="N8" i="52"/>
  <c r="K9" i="52"/>
  <c r="L9" i="52"/>
  <c r="M9" i="52"/>
  <c r="N9" i="52"/>
  <c r="K10" i="52"/>
  <c r="L10" i="52"/>
  <c r="M10" i="52"/>
  <c r="N10" i="52"/>
  <c r="K11" i="52"/>
  <c r="L11" i="52"/>
  <c r="M11" i="52"/>
  <c r="N11" i="52"/>
  <c r="K12" i="52"/>
  <c r="L12" i="52"/>
  <c r="M12" i="52"/>
  <c r="N12" i="52"/>
  <c r="K13" i="52"/>
  <c r="L13" i="52"/>
  <c r="M13" i="52"/>
  <c r="N13" i="52"/>
  <c r="K14" i="52"/>
  <c r="L14" i="52"/>
  <c r="M14" i="52"/>
  <c r="N14" i="52"/>
  <c r="K15" i="52"/>
  <c r="L15" i="52"/>
  <c r="M15" i="52"/>
  <c r="N15" i="52"/>
  <c r="K16" i="52"/>
  <c r="L16" i="52"/>
  <c r="M16" i="52"/>
  <c r="N16" i="52"/>
  <c r="K17" i="52"/>
  <c r="L17" i="52"/>
  <c r="M17" i="52"/>
  <c r="N17" i="52"/>
  <c r="K18" i="52"/>
  <c r="L18" i="52"/>
  <c r="M18" i="52"/>
  <c r="N18" i="52"/>
  <c r="K19" i="52"/>
  <c r="L19" i="52"/>
  <c r="M19" i="52"/>
  <c r="N19" i="52"/>
  <c r="K20" i="52"/>
  <c r="L20" i="52"/>
  <c r="M20" i="52"/>
  <c r="N20" i="52"/>
  <c r="K21" i="52"/>
  <c r="L21" i="52"/>
  <c r="M21" i="52"/>
  <c r="N21" i="52"/>
  <c r="K22" i="52"/>
  <c r="L22" i="52"/>
  <c r="M22" i="52"/>
  <c r="N22" i="52"/>
  <c r="K23" i="52"/>
  <c r="L23" i="52"/>
  <c r="M23" i="52"/>
  <c r="N23" i="52"/>
  <c r="K24" i="52"/>
  <c r="L24" i="52"/>
  <c r="M24" i="52"/>
  <c r="N24" i="52"/>
  <c r="K25" i="52"/>
  <c r="L25" i="52"/>
  <c r="M25" i="52"/>
  <c r="N25" i="52"/>
  <c r="K26" i="52"/>
  <c r="L26" i="52"/>
  <c r="M26" i="52"/>
  <c r="N26" i="52"/>
  <c r="K27" i="52"/>
  <c r="L27" i="52"/>
  <c r="M27" i="52"/>
  <c r="N27" i="52"/>
  <c r="K28" i="52"/>
  <c r="L28" i="52"/>
  <c r="M28" i="52"/>
  <c r="N28" i="52"/>
  <c r="E29" i="52"/>
  <c r="K29" i="52"/>
  <c r="L29" i="52"/>
  <c r="M29" i="52"/>
  <c r="N29" i="52"/>
  <c r="B30" i="52"/>
  <c r="E30" i="52"/>
  <c r="K30" i="52"/>
  <c r="N30" i="52"/>
  <c r="L30" i="52"/>
  <c r="M30" i="52"/>
  <c r="K31" i="52"/>
  <c r="L31" i="52"/>
  <c r="M31" i="52"/>
  <c r="N31" i="52"/>
  <c r="K32" i="52"/>
  <c r="L32" i="52"/>
  <c r="M32" i="52"/>
  <c r="N32" i="52"/>
  <c r="K33" i="52"/>
  <c r="L33" i="52"/>
  <c r="M33" i="52"/>
  <c r="N33" i="52"/>
  <c r="K34" i="52"/>
  <c r="L34" i="52"/>
  <c r="M34" i="52"/>
  <c r="N34" i="52"/>
  <c r="K35" i="52"/>
  <c r="L35" i="52"/>
  <c r="M35" i="52"/>
  <c r="N35" i="52"/>
  <c r="K6" i="51"/>
  <c r="L6" i="51"/>
  <c r="M6" i="51"/>
  <c r="N6" i="51"/>
  <c r="K7" i="51"/>
  <c r="L7" i="51"/>
  <c r="M7" i="51"/>
  <c r="N7" i="51"/>
  <c r="K8" i="51"/>
  <c r="L8" i="51"/>
  <c r="M8" i="51"/>
  <c r="N8" i="51"/>
  <c r="K9" i="51"/>
  <c r="L9" i="51"/>
  <c r="M9" i="51"/>
  <c r="N9" i="51"/>
  <c r="K10" i="51"/>
  <c r="L10" i="51"/>
  <c r="M10" i="51"/>
  <c r="N10" i="51"/>
  <c r="K11" i="51"/>
  <c r="L11" i="51"/>
  <c r="M11" i="51"/>
  <c r="N11" i="51"/>
  <c r="K12" i="51"/>
  <c r="L12" i="51"/>
  <c r="M12" i="51"/>
  <c r="N12" i="51"/>
  <c r="K13" i="51"/>
  <c r="L13" i="51"/>
  <c r="M13" i="51"/>
  <c r="N13" i="51"/>
  <c r="K14" i="51"/>
  <c r="L14" i="51"/>
  <c r="M14" i="51"/>
  <c r="N14" i="51"/>
  <c r="K15" i="51"/>
  <c r="L15" i="51"/>
  <c r="M15" i="51"/>
  <c r="N15" i="51"/>
  <c r="K16" i="51"/>
  <c r="L16" i="51"/>
  <c r="M16" i="51"/>
  <c r="N16" i="51"/>
  <c r="K17" i="51"/>
  <c r="L17" i="51"/>
  <c r="M17" i="51"/>
  <c r="N17" i="51"/>
  <c r="K18" i="51"/>
  <c r="L18" i="51"/>
  <c r="M18" i="51"/>
  <c r="N18" i="51"/>
  <c r="K19" i="51"/>
  <c r="L19" i="51"/>
  <c r="M19" i="51"/>
  <c r="N19" i="51"/>
  <c r="K20" i="51"/>
  <c r="L20" i="51"/>
  <c r="M20" i="51"/>
  <c r="N20" i="51"/>
  <c r="K21" i="51"/>
  <c r="L21" i="51"/>
  <c r="M21" i="51"/>
  <c r="N21" i="51"/>
  <c r="K22" i="51"/>
  <c r="L22" i="51"/>
  <c r="M22" i="51"/>
  <c r="N22" i="51"/>
  <c r="K23" i="51"/>
  <c r="L23" i="51"/>
  <c r="M23" i="51"/>
  <c r="N23" i="51"/>
  <c r="K24" i="51"/>
  <c r="L24" i="51"/>
  <c r="M24" i="51"/>
  <c r="N24" i="51"/>
  <c r="K25" i="51"/>
  <c r="L25" i="51"/>
  <c r="M25" i="51"/>
  <c r="N25" i="51"/>
  <c r="K26" i="51"/>
  <c r="L26" i="51"/>
  <c r="M26" i="51"/>
  <c r="N26" i="51"/>
  <c r="K27" i="51"/>
  <c r="L27" i="51"/>
  <c r="M27" i="51"/>
  <c r="N27" i="51"/>
  <c r="K28" i="51"/>
  <c r="L28" i="51"/>
  <c r="M28" i="51"/>
  <c r="N28" i="51"/>
  <c r="K29" i="51"/>
  <c r="L29" i="51"/>
  <c r="M29" i="51"/>
  <c r="N29" i="51"/>
  <c r="K30" i="51"/>
  <c r="L30" i="51"/>
  <c r="M30" i="51"/>
  <c r="N30" i="51"/>
  <c r="K31" i="51"/>
  <c r="L31" i="51"/>
  <c r="M31" i="51"/>
  <c r="N31" i="51"/>
  <c r="K32" i="51"/>
  <c r="L32" i="51"/>
  <c r="M32" i="51"/>
  <c r="N32" i="51"/>
  <c r="B33" i="51"/>
  <c r="K33" i="51"/>
  <c r="L33" i="51"/>
  <c r="M33" i="51"/>
  <c r="N33" i="51"/>
  <c r="K34" i="51"/>
  <c r="L34" i="51"/>
  <c r="M34" i="51"/>
  <c r="N34" i="51"/>
  <c r="K35" i="51"/>
  <c r="L35" i="51"/>
  <c r="M35" i="51"/>
  <c r="N35" i="51"/>
  <c r="K6" i="50"/>
  <c r="L6" i="50"/>
  <c r="M6" i="50"/>
  <c r="N6" i="50"/>
  <c r="K7" i="50"/>
  <c r="L7" i="50"/>
  <c r="M7" i="50"/>
  <c r="N7" i="50"/>
  <c r="K8" i="50"/>
  <c r="L8" i="50"/>
  <c r="M8" i="50"/>
  <c r="N8" i="50"/>
  <c r="K9" i="50"/>
  <c r="L9" i="50"/>
  <c r="M9" i="50"/>
  <c r="N9" i="50"/>
  <c r="K10" i="50"/>
  <c r="L10" i="50"/>
  <c r="M10" i="50"/>
  <c r="N10" i="50"/>
  <c r="K11" i="50"/>
  <c r="L11" i="50"/>
  <c r="M11" i="50"/>
  <c r="N11" i="50"/>
  <c r="K12" i="50"/>
  <c r="L12" i="50"/>
  <c r="M12" i="50"/>
  <c r="N12" i="50"/>
  <c r="K13" i="50"/>
  <c r="L13" i="50"/>
  <c r="M13" i="50"/>
  <c r="N13" i="50"/>
  <c r="K14" i="50"/>
  <c r="L14" i="50"/>
  <c r="M14" i="50"/>
  <c r="N14" i="50"/>
  <c r="K15" i="50"/>
  <c r="L15" i="50"/>
  <c r="M15" i="50"/>
  <c r="N15" i="50"/>
  <c r="K16" i="50"/>
  <c r="L16" i="50"/>
  <c r="M16" i="50"/>
  <c r="N16" i="50"/>
  <c r="K17" i="50"/>
  <c r="L17" i="50"/>
  <c r="M17" i="50"/>
  <c r="N17" i="50"/>
  <c r="K18" i="50"/>
  <c r="L18" i="50"/>
  <c r="M18" i="50"/>
  <c r="N18" i="50"/>
  <c r="K19" i="50"/>
  <c r="L19" i="50"/>
  <c r="M19" i="50"/>
  <c r="N19" i="50"/>
  <c r="K20" i="50"/>
  <c r="L20" i="50"/>
  <c r="M20" i="50"/>
  <c r="N20" i="50"/>
  <c r="K21" i="50"/>
  <c r="L21" i="50"/>
  <c r="M21" i="50"/>
  <c r="N21" i="50"/>
  <c r="E22" i="50"/>
  <c r="K22" i="50"/>
  <c r="N22" i="50"/>
  <c r="L22" i="50"/>
  <c r="M22" i="50"/>
  <c r="E23" i="50"/>
  <c r="K23" i="50"/>
  <c r="L23" i="50"/>
  <c r="M23" i="50"/>
  <c r="N23" i="50"/>
  <c r="E24" i="50"/>
  <c r="K24" i="50"/>
  <c r="N24" i="50"/>
  <c r="L24" i="50"/>
  <c r="M24" i="50"/>
  <c r="E25" i="50"/>
  <c r="K25" i="50"/>
  <c r="L25" i="50"/>
  <c r="M25" i="50"/>
  <c r="N25" i="50"/>
  <c r="E26" i="50"/>
  <c r="K26" i="50"/>
  <c r="N26" i="50"/>
  <c r="L26" i="50"/>
  <c r="M26" i="50"/>
  <c r="E27" i="50"/>
  <c r="K27" i="50"/>
  <c r="L27" i="50"/>
  <c r="M27" i="50"/>
  <c r="N27" i="50"/>
  <c r="B28" i="50"/>
  <c r="L28" i="50"/>
  <c r="M28" i="50"/>
  <c r="B29" i="50"/>
  <c r="K29" i="50"/>
  <c r="N29" i="50"/>
  <c r="L29" i="50"/>
  <c r="M29" i="50"/>
  <c r="B30" i="50"/>
  <c r="E30" i="50"/>
  <c r="K30" i="50"/>
  <c r="L30" i="50"/>
  <c r="M30" i="50"/>
  <c r="N30" i="50"/>
  <c r="E31" i="50"/>
  <c r="K31" i="50"/>
  <c r="L31" i="50"/>
  <c r="M31" i="50"/>
  <c r="N31" i="50"/>
  <c r="E32" i="50"/>
  <c r="K32" i="50"/>
  <c r="L32" i="50"/>
  <c r="M32" i="50"/>
  <c r="N32" i="50"/>
  <c r="B33" i="50"/>
  <c r="E33" i="50"/>
  <c r="K33" i="50"/>
  <c r="N33" i="50"/>
  <c r="L33" i="50"/>
  <c r="M33" i="50"/>
  <c r="E34" i="50"/>
  <c r="K34" i="50"/>
  <c r="L34" i="50"/>
  <c r="M34" i="50"/>
  <c r="N34" i="50"/>
  <c r="K35" i="50"/>
  <c r="L35" i="50"/>
  <c r="M35" i="50"/>
  <c r="N35" i="50"/>
  <c r="K6" i="49"/>
  <c r="L6" i="49"/>
  <c r="M6" i="49"/>
  <c r="N6" i="49"/>
  <c r="K7" i="49"/>
  <c r="L7" i="49"/>
  <c r="M7" i="49"/>
  <c r="N7" i="49"/>
  <c r="K8" i="49"/>
  <c r="L8" i="49"/>
  <c r="M8" i="49"/>
  <c r="N8" i="49"/>
  <c r="K9" i="49"/>
  <c r="L9" i="49"/>
  <c r="M9" i="49"/>
  <c r="N9" i="49"/>
  <c r="K10" i="49"/>
  <c r="L10" i="49"/>
  <c r="M10" i="49"/>
  <c r="N10" i="49"/>
  <c r="K11" i="49"/>
  <c r="L11" i="49"/>
  <c r="M11" i="49"/>
  <c r="N11" i="49"/>
  <c r="K12" i="49"/>
  <c r="L12" i="49"/>
  <c r="M12" i="49"/>
  <c r="N12" i="49"/>
  <c r="K13" i="49"/>
  <c r="L13" i="49"/>
  <c r="M13" i="49"/>
  <c r="N13" i="49"/>
  <c r="K14" i="49"/>
  <c r="L14" i="49"/>
  <c r="M14" i="49"/>
  <c r="N14" i="49"/>
  <c r="K15" i="49"/>
  <c r="L15" i="49"/>
  <c r="M15" i="49"/>
  <c r="N15" i="49"/>
  <c r="K16" i="49"/>
  <c r="L16" i="49"/>
  <c r="M16" i="49"/>
  <c r="N16" i="49"/>
  <c r="K17" i="49"/>
  <c r="L17" i="49"/>
  <c r="M17" i="49"/>
  <c r="N17" i="49"/>
  <c r="K18" i="49"/>
  <c r="L18" i="49"/>
  <c r="M18" i="49"/>
  <c r="N18" i="49"/>
  <c r="K19" i="49"/>
  <c r="L19" i="49"/>
  <c r="M19" i="49"/>
  <c r="N19" i="49"/>
  <c r="K20" i="49"/>
  <c r="L20" i="49"/>
  <c r="M20" i="49"/>
  <c r="N20" i="49"/>
  <c r="K21" i="49"/>
  <c r="L21" i="49"/>
  <c r="M21" i="49"/>
  <c r="N21" i="49"/>
  <c r="K22" i="49"/>
  <c r="L22" i="49"/>
  <c r="M22" i="49"/>
  <c r="N22" i="49"/>
  <c r="K23" i="49"/>
  <c r="L23" i="49"/>
  <c r="M23" i="49"/>
  <c r="N23" i="49"/>
  <c r="K24" i="49"/>
  <c r="L24" i="49"/>
  <c r="M24" i="49"/>
  <c r="N24" i="49"/>
  <c r="K25" i="49"/>
  <c r="L25" i="49"/>
  <c r="M25" i="49"/>
  <c r="N25" i="49"/>
  <c r="K26" i="49"/>
  <c r="L26" i="49"/>
  <c r="M26" i="49"/>
  <c r="N26" i="49"/>
  <c r="K27" i="49"/>
  <c r="L27" i="49"/>
  <c r="M27" i="49"/>
  <c r="N27" i="49"/>
  <c r="K28" i="49"/>
  <c r="L28" i="49"/>
  <c r="M28" i="49"/>
  <c r="N28" i="49"/>
  <c r="K29" i="49"/>
  <c r="L29" i="49"/>
  <c r="M29" i="49"/>
  <c r="N29" i="49"/>
  <c r="B30" i="49"/>
  <c r="K30" i="49"/>
  <c r="L30" i="49"/>
  <c r="M30" i="49"/>
  <c r="N30" i="49"/>
  <c r="K31" i="49"/>
  <c r="L31" i="49"/>
  <c r="M31" i="49"/>
  <c r="N31" i="49"/>
  <c r="K32" i="49"/>
  <c r="L32" i="49"/>
  <c r="M32" i="49"/>
  <c r="N32" i="49"/>
  <c r="K33" i="49"/>
  <c r="L33" i="49"/>
  <c r="M33" i="49"/>
  <c r="N33" i="49"/>
  <c r="K34" i="49"/>
  <c r="L34" i="49"/>
  <c r="M34" i="49"/>
  <c r="N34" i="49"/>
  <c r="K35" i="49"/>
  <c r="L35" i="49"/>
  <c r="M35" i="49"/>
  <c r="N35" i="49"/>
  <c r="K6" i="48"/>
  <c r="L6" i="48"/>
  <c r="M6" i="48"/>
  <c r="N6" i="48"/>
  <c r="K7" i="48"/>
  <c r="L7" i="48"/>
  <c r="M7" i="48"/>
  <c r="N7" i="48"/>
  <c r="K8" i="48"/>
  <c r="L8" i="48"/>
  <c r="M8" i="48"/>
  <c r="N8" i="48"/>
  <c r="K9" i="48"/>
  <c r="L9" i="48"/>
  <c r="M9" i="48"/>
  <c r="N9" i="48"/>
  <c r="K10" i="48"/>
  <c r="L10" i="48"/>
  <c r="M10" i="48"/>
  <c r="N10" i="48"/>
  <c r="K11" i="48"/>
  <c r="L11" i="48"/>
  <c r="M11" i="48"/>
  <c r="N11" i="48"/>
  <c r="K12" i="48"/>
  <c r="L12" i="48"/>
  <c r="M12" i="48"/>
  <c r="N12" i="48"/>
  <c r="K13" i="48"/>
  <c r="L13" i="48"/>
  <c r="M13" i="48"/>
  <c r="N13" i="48"/>
  <c r="K14" i="48"/>
  <c r="L14" i="48"/>
  <c r="M14" i="48"/>
  <c r="N14" i="48"/>
  <c r="K15" i="48"/>
  <c r="L15" i="48"/>
  <c r="M15" i="48"/>
  <c r="N15" i="48"/>
  <c r="K16" i="48"/>
  <c r="L16" i="48"/>
  <c r="M16" i="48"/>
  <c r="N16" i="48"/>
  <c r="K17" i="48"/>
  <c r="L17" i="48"/>
  <c r="M17" i="48"/>
  <c r="N17" i="48"/>
  <c r="K18" i="48"/>
  <c r="L18" i="48"/>
  <c r="M18" i="48"/>
  <c r="N18" i="48"/>
  <c r="K19" i="48"/>
  <c r="L19" i="48"/>
  <c r="M19" i="48"/>
  <c r="N19" i="48"/>
  <c r="K20" i="48"/>
  <c r="L20" i="48"/>
  <c r="M20" i="48"/>
  <c r="N20" i="48"/>
  <c r="K21" i="48"/>
  <c r="L21" i="48"/>
  <c r="M21" i="48"/>
  <c r="N21" i="48"/>
  <c r="K22" i="48"/>
  <c r="L22" i="48"/>
  <c r="M22" i="48"/>
  <c r="N22" i="48"/>
  <c r="K23" i="48"/>
  <c r="L23" i="48"/>
  <c r="M23" i="48"/>
  <c r="N23" i="48"/>
  <c r="K24" i="48"/>
  <c r="L24" i="48"/>
  <c r="M24" i="48"/>
  <c r="N24" i="48"/>
  <c r="K25" i="48"/>
  <c r="L25" i="48"/>
  <c r="M25" i="48"/>
  <c r="N25" i="48"/>
  <c r="K26" i="48"/>
  <c r="L26" i="48"/>
  <c r="M26" i="48"/>
  <c r="N26" i="48"/>
  <c r="K27" i="48"/>
  <c r="L27" i="48"/>
  <c r="M27" i="48"/>
  <c r="N27" i="48"/>
  <c r="K28" i="48"/>
  <c r="L28" i="48"/>
  <c r="M28" i="48"/>
  <c r="N28" i="48"/>
  <c r="K29" i="48"/>
  <c r="L29" i="48"/>
  <c r="M29" i="48"/>
  <c r="N29" i="48"/>
  <c r="B30" i="48"/>
  <c r="K30" i="48"/>
  <c r="L30" i="48"/>
  <c r="M30" i="48"/>
  <c r="N30" i="48"/>
  <c r="K31" i="48"/>
  <c r="L31" i="48"/>
  <c r="M31" i="48"/>
  <c r="N31" i="48"/>
  <c r="K32" i="48"/>
  <c r="L32" i="48"/>
  <c r="M32" i="48"/>
  <c r="N32" i="48"/>
  <c r="B33" i="48"/>
  <c r="K33" i="48"/>
  <c r="L33" i="48"/>
  <c r="M33" i="48"/>
  <c r="N33" i="48"/>
  <c r="K34" i="48"/>
  <c r="L34" i="48"/>
  <c r="M34" i="48"/>
  <c r="N34" i="48"/>
  <c r="K35" i="48"/>
  <c r="L35" i="48"/>
  <c r="M35" i="48"/>
  <c r="N35" i="48"/>
  <c r="K6" i="47"/>
  <c r="L6" i="47"/>
  <c r="M6" i="47"/>
  <c r="N6" i="47"/>
  <c r="K7" i="47"/>
  <c r="L7" i="47"/>
  <c r="M7" i="47"/>
  <c r="N7" i="47"/>
  <c r="K8" i="47"/>
  <c r="L8" i="47"/>
  <c r="M8" i="47"/>
  <c r="N8" i="47"/>
  <c r="K9" i="47"/>
  <c r="L9" i="47"/>
  <c r="M9" i="47"/>
  <c r="N9" i="47"/>
  <c r="K10" i="47"/>
  <c r="L10" i="47"/>
  <c r="M10" i="47"/>
  <c r="N10" i="47"/>
  <c r="K11" i="47"/>
  <c r="L11" i="47"/>
  <c r="M11" i="47"/>
  <c r="N11" i="47"/>
  <c r="K12" i="47"/>
  <c r="L12" i="47"/>
  <c r="M12" i="47"/>
  <c r="N12" i="47"/>
  <c r="K13" i="47"/>
  <c r="L13" i="47"/>
  <c r="M13" i="47"/>
  <c r="N13" i="47"/>
  <c r="K14" i="47"/>
  <c r="L14" i="47"/>
  <c r="M14" i="47"/>
  <c r="N14" i="47"/>
  <c r="K15" i="47"/>
  <c r="L15" i="47"/>
  <c r="M15" i="47"/>
  <c r="N15" i="47"/>
  <c r="K16" i="47"/>
  <c r="L16" i="47"/>
  <c r="M16" i="47"/>
  <c r="N16" i="47"/>
  <c r="K17" i="47"/>
  <c r="L17" i="47"/>
  <c r="M17" i="47"/>
  <c r="N17" i="47"/>
  <c r="K18" i="47"/>
  <c r="L18" i="47"/>
  <c r="M18" i="47"/>
  <c r="N18" i="47"/>
  <c r="K19" i="47"/>
  <c r="L19" i="47"/>
  <c r="M19" i="47"/>
  <c r="N19" i="47"/>
  <c r="K20" i="47"/>
  <c r="L20" i="47"/>
  <c r="M20" i="47"/>
  <c r="N20" i="47"/>
  <c r="K21" i="47"/>
  <c r="L21" i="47"/>
  <c r="M21" i="47"/>
  <c r="N21" i="47"/>
  <c r="K22" i="47"/>
  <c r="L22" i="47"/>
  <c r="M22" i="47"/>
  <c r="N22" i="47"/>
  <c r="K23" i="47"/>
  <c r="L23" i="47"/>
  <c r="M23" i="47"/>
  <c r="N23" i="47"/>
  <c r="K24" i="47"/>
  <c r="L24" i="47"/>
  <c r="M24" i="47"/>
  <c r="N24" i="47"/>
  <c r="K25" i="47"/>
  <c r="L25" i="47"/>
  <c r="M25" i="47"/>
  <c r="N25" i="47"/>
  <c r="K26" i="47"/>
  <c r="L26" i="47"/>
  <c r="M26" i="47"/>
  <c r="N26" i="47"/>
  <c r="E27" i="47"/>
  <c r="K27" i="47"/>
  <c r="L27" i="47"/>
  <c r="M27" i="47"/>
  <c r="N27" i="47"/>
  <c r="E28" i="47"/>
  <c r="K28" i="47"/>
  <c r="L28" i="47"/>
  <c r="M28" i="47"/>
  <c r="N28" i="47"/>
  <c r="E29" i="47"/>
  <c r="K29" i="47"/>
  <c r="L29" i="47"/>
  <c r="M29" i="47"/>
  <c r="N29" i="47"/>
  <c r="E30" i="47"/>
  <c r="K30" i="47"/>
  <c r="L30" i="47"/>
  <c r="M30" i="47"/>
  <c r="N30" i="47"/>
  <c r="E31" i="47"/>
  <c r="K31" i="47"/>
  <c r="L31" i="47"/>
  <c r="M31" i="47"/>
  <c r="N31" i="47"/>
  <c r="K32" i="47"/>
  <c r="L32" i="47"/>
  <c r="M32" i="47"/>
  <c r="N32" i="47"/>
  <c r="B33" i="47"/>
  <c r="K33" i="47"/>
  <c r="N33" i="47"/>
  <c r="L33" i="47"/>
  <c r="M33" i="47"/>
  <c r="K34" i="47"/>
  <c r="L34" i="47"/>
  <c r="M34" i="47"/>
  <c r="N34" i="47"/>
  <c r="K35" i="47"/>
  <c r="L35" i="47"/>
  <c r="M35" i="47"/>
  <c r="N35" i="47"/>
  <c r="K6" i="46"/>
  <c r="L6" i="46"/>
  <c r="M6" i="46"/>
  <c r="N6" i="46" s="1"/>
  <c r="K7" i="46"/>
  <c r="L7" i="46"/>
  <c r="M7" i="46"/>
  <c r="N7" i="46" s="1"/>
  <c r="K8" i="46"/>
  <c r="L8" i="46"/>
  <c r="M8" i="46"/>
  <c r="N8" i="46" s="1"/>
  <c r="K9" i="46"/>
  <c r="L9" i="46"/>
  <c r="M9" i="46"/>
  <c r="N9" i="46" s="1"/>
  <c r="K10" i="46"/>
  <c r="L10" i="46"/>
  <c r="M10" i="46"/>
  <c r="N10" i="46" s="1"/>
  <c r="K11" i="46"/>
  <c r="L11" i="46"/>
  <c r="M11" i="46"/>
  <c r="N11" i="46" s="1"/>
  <c r="K12" i="46"/>
  <c r="L12" i="46"/>
  <c r="M12" i="46"/>
  <c r="N12" i="46" s="1"/>
  <c r="K13" i="46"/>
  <c r="L13" i="46"/>
  <c r="M13" i="46"/>
  <c r="N13" i="46" s="1"/>
  <c r="K14" i="46"/>
  <c r="L14" i="46"/>
  <c r="M14" i="46"/>
  <c r="N14" i="46" s="1"/>
  <c r="K15" i="46"/>
  <c r="L15" i="46"/>
  <c r="M15" i="46"/>
  <c r="N15" i="46" s="1"/>
  <c r="K16" i="46"/>
  <c r="L16" i="46"/>
  <c r="M16" i="46"/>
  <c r="N16" i="46" s="1"/>
  <c r="K17" i="46"/>
  <c r="L17" i="46"/>
  <c r="M17" i="46"/>
  <c r="N17" i="46" s="1"/>
  <c r="K18" i="46"/>
  <c r="L18" i="46"/>
  <c r="M18" i="46"/>
  <c r="N18" i="46" s="1"/>
  <c r="K19" i="46"/>
  <c r="L19" i="46"/>
  <c r="M19" i="46"/>
  <c r="N19" i="46" s="1"/>
  <c r="K20" i="46"/>
  <c r="L20" i="46"/>
  <c r="M20" i="46"/>
  <c r="N20" i="46" s="1"/>
  <c r="K21" i="46"/>
  <c r="L21" i="46"/>
  <c r="M21" i="46"/>
  <c r="N21" i="46" s="1"/>
  <c r="K22" i="46"/>
  <c r="L22" i="46"/>
  <c r="M22" i="46"/>
  <c r="N22" i="46" s="1"/>
  <c r="K23" i="46"/>
  <c r="L23" i="46"/>
  <c r="M23" i="46"/>
  <c r="N23" i="46" s="1"/>
  <c r="K24" i="46"/>
  <c r="L24" i="46"/>
  <c r="M24" i="46"/>
  <c r="N24" i="46" s="1"/>
  <c r="K25" i="46"/>
  <c r="L25" i="46"/>
  <c r="M25" i="46"/>
  <c r="N25" i="46" s="1"/>
  <c r="K26" i="46"/>
  <c r="L26" i="46"/>
  <c r="M26" i="46"/>
  <c r="N26" i="46" s="1"/>
  <c r="E27" i="46"/>
  <c r="K27" i="46" s="1"/>
  <c r="N27" i="46" s="1"/>
  <c r="L27" i="46"/>
  <c r="M27" i="46"/>
  <c r="K28" i="46"/>
  <c r="L28" i="46"/>
  <c r="M28" i="46"/>
  <c r="N28" i="46"/>
  <c r="E29" i="46"/>
  <c r="K29" i="46"/>
  <c r="L29" i="46"/>
  <c r="M29" i="46"/>
  <c r="N29" i="46" s="1"/>
  <c r="B30" i="46"/>
  <c r="B30" i="4" s="1"/>
  <c r="L30" i="46"/>
  <c r="M30" i="46"/>
  <c r="E31" i="46"/>
  <c r="K31" i="46" s="1"/>
  <c r="N31" i="46" s="1"/>
  <c r="L31" i="46"/>
  <c r="M31" i="46"/>
  <c r="E32" i="46"/>
  <c r="K32" i="46"/>
  <c r="L32" i="46"/>
  <c r="M32" i="46"/>
  <c r="N32" i="46" s="1"/>
  <c r="B33" i="46"/>
  <c r="E33" i="46" s="1"/>
  <c r="L33" i="46"/>
  <c r="M33" i="46"/>
  <c r="E34" i="46"/>
  <c r="K34" i="46" s="1"/>
  <c r="N34" i="46" s="1"/>
  <c r="L34" i="46"/>
  <c r="M34" i="46"/>
  <c r="K35" i="46"/>
  <c r="M35" i="46"/>
  <c r="N35" i="46" s="1"/>
  <c r="E6" i="45"/>
  <c r="K6" i="45"/>
  <c r="L6" i="45"/>
  <c r="M6" i="45"/>
  <c r="N6" i="45"/>
  <c r="E7" i="45"/>
  <c r="K7" i="45"/>
  <c r="N7" i="45"/>
  <c r="L7" i="45"/>
  <c r="M7" i="45"/>
  <c r="E8" i="45"/>
  <c r="K8" i="45"/>
  <c r="L8" i="45"/>
  <c r="M8" i="45"/>
  <c r="N8" i="45"/>
  <c r="E9" i="45"/>
  <c r="K9" i="45"/>
  <c r="N9" i="45"/>
  <c r="L9" i="45"/>
  <c r="M9" i="45"/>
  <c r="E10" i="45"/>
  <c r="K10" i="45"/>
  <c r="L10" i="45"/>
  <c r="M10" i="45"/>
  <c r="N10" i="45"/>
  <c r="E11" i="45"/>
  <c r="K11" i="45"/>
  <c r="N11" i="45"/>
  <c r="L11" i="45"/>
  <c r="M11" i="45"/>
  <c r="E12" i="45"/>
  <c r="K12" i="45"/>
  <c r="L12" i="45"/>
  <c r="M12" i="45"/>
  <c r="N12" i="45"/>
  <c r="E13" i="45"/>
  <c r="K13" i="45"/>
  <c r="N13" i="45"/>
  <c r="L13" i="45"/>
  <c r="M13" i="45"/>
  <c r="K14" i="45"/>
  <c r="L14" i="45"/>
  <c r="M14" i="45"/>
  <c r="N14" i="45"/>
  <c r="K15" i="45"/>
  <c r="L15" i="45"/>
  <c r="M15" i="45"/>
  <c r="N15" i="45"/>
  <c r="K16" i="45"/>
  <c r="L16" i="45"/>
  <c r="M16" i="45"/>
  <c r="N16" i="45"/>
  <c r="K17" i="45"/>
  <c r="L17" i="45"/>
  <c r="M17" i="45"/>
  <c r="N17" i="45"/>
  <c r="K18" i="45"/>
  <c r="L18" i="45"/>
  <c r="M18" i="45"/>
  <c r="N18" i="45"/>
  <c r="K19" i="45"/>
  <c r="L19" i="45"/>
  <c r="M19" i="45"/>
  <c r="N19" i="45"/>
  <c r="K20" i="45"/>
  <c r="L20" i="45"/>
  <c r="M20" i="45"/>
  <c r="N20" i="45"/>
  <c r="K21" i="45"/>
  <c r="L21" i="45"/>
  <c r="M21" i="45"/>
  <c r="N21" i="45"/>
  <c r="K22" i="45"/>
  <c r="L22" i="45"/>
  <c r="M22" i="45"/>
  <c r="N22" i="45"/>
  <c r="K23" i="45"/>
  <c r="L23" i="45"/>
  <c r="M23" i="45"/>
  <c r="N23" i="45"/>
  <c r="K24" i="45"/>
  <c r="L24" i="45"/>
  <c r="M24" i="45"/>
  <c r="N24" i="45"/>
  <c r="K25" i="45"/>
  <c r="L25" i="45"/>
  <c r="M25" i="45"/>
  <c r="N25" i="45"/>
  <c r="K26" i="45"/>
  <c r="L26" i="45"/>
  <c r="M26" i="45"/>
  <c r="N26" i="45"/>
  <c r="E27" i="45"/>
  <c r="K27" i="45"/>
  <c r="L27" i="45"/>
  <c r="M27" i="45"/>
  <c r="N27" i="45"/>
  <c r="E28" i="45"/>
  <c r="K28" i="45"/>
  <c r="N28" i="45"/>
  <c r="L28" i="45"/>
  <c r="M28" i="45"/>
  <c r="E29" i="45"/>
  <c r="K29" i="45"/>
  <c r="L29" i="45"/>
  <c r="M29" i="45"/>
  <c r="N29" i="45"/>
  <c r="B30" i="45"/>
  <c r="L30" i="45"/>
  <c r="M30" i="45"/>
  <c r="E31" i="45"/>
  <c r="K31" i="45"/>
  <c r="N31" i="45"/>
  <c r="L31" i="45"/>
  <c r="M31" i="45"/>
  <c r="E32" i="45"/>
  <c r="K32" i="45"/>
  <c r="L32" i="45"/>
  <c r="M32" i="45"/>
  <c r="N32" i="45"/>
  <c r="B33" i="45"/>
  <c r="L33" i="45"/>
  <c r="M33" i="45"/>
  <c r="E34" i="45"/>
  <c r="K34" i="45"/>
  <c r="N34" i="45"/>
  <c r="L34" i="45"/>
  <c r="M34" i="45"/>
  <c r="K35" i="45"/>
  <c r="L35" i="45"/>
  <c r="M35" i="45"/>
  <c r="N35" i="45"/>
  <c r="K6" i="44"/>
  <c r="L6" i="44"/>
  <c r="M6" i="44"/>
  <c r="N6" i="44"/>
  <c r="E7" i="44"/>
  <c r="K7" i="44"/>
  <c r="L7" i="44"/>
  <c r="M7" i="44"/>
  <c r="N7" i="44"/>
  <c r="E8" i="44"/>
  <c r="K8" i="44"/>
  <c r="N8" i="44"/>
  <c r="L8" i="44"/>
  <c r="M8" i="44"/>
  <c r="E9" i="44"/>
  <c r="K9" i="44"/>
  <c r="L9" i="44"/>
  <c r="M9" i="44"/>
  <c r="N9" i="44"/>
  <c r="E10" i="44"/>
  <c r="K10" i="44"/>
  <c r="N10" i="44"/>
  <c r="L10" i="44"/>
  <c r="M10" i="44"/>
  <c r="E11" i="44"/>
  <c r="K11" i="44"/>
  <c r="L11" i="44"/>
  <c r="M11" i="44"/>
  <c r="N11" i="44"/>
  <c r="E12" i="44"/>
  <c r="K12" i="44"/>
  <c r="N12" i="44"/>
  <c r="L12" i="44"/>
  <c r="M12" i="44"/>
  <c r="E13" i="44"/>
  <c r="K13" i="44"/>
  <c r="L13" i="44"/>
  <c r="M13" i="44"/>
  <c r="N13" i="44"/>
  <c r="E14" i="44"/>
  <c r="K14" i="44"/>
  <c r="N14" i="44"/>
  <c r="L14" i="44"/>
  <c r="M14" i="44"/>
  <c r="E15" i="44"/>
  <c r="K15" i="44"/>
  <c r="L15" i="44"/>
  <c r="M15" i="44"/>
  <c r="N15" i="44"/>
  <c r="E16" i="44"/>
  <c r="K16" i="44"/>
  <c r="N16" i="44"/>
  <c r="L16" i="44"/>
  <c r="M16" i="44"/>
  <c r="E17" i="44"/>
  <c r="K17" i="44"/>
  <c r="L17" i="44"/>
  <c r="M17" i="44"/>
  <c r="N17" i="44"/>
  <c r="E18" i="44"/>
  <c r="K18" i="44"/>
  <c r="N18" i="44"/>
  <c r="L18" i="44"/>
  <c r="M18" i="44"/>
  <c r="E19" i="44"/>
  <c r="K19" i="44"/>
  <c r="L19" i="44"/>
  <c r="M19" i="44"/>
  <c r="N19" i="44"/>
  <c r="E20" i="44"/>
  <c r="K20" i="44"/>
  <c r="L20" i="44"/>
  <c r="M20" i="44"/>
  <c r="N20" i="44"/>
  <c r="E21" i="44"/>
  <c r="K21" i="44"/>
  <c r="N21" i="44"/>
  <c r="L21" i="44"/>
  <c r="M21" i="44"/>
  <c r="E22" i="44"/>
  <c r="K22" i="44"/>
  <c r="L22" i="44"/>
  <c r="M22" i="44"/>
  <c r="N22" i="44"/>
  <c r="E23" i="44"/>
  <c r="K23" i="44"/>
  <c r="N23" i="44"/>
  <c r="L23" i="44"/>
  <c r="M23" i="44"/>
  <c r="E24" i="44"/>
  <c r="K24" i="44"/>
  <c r="L24" i="44"/>
  <c r="M24" i="44"/>
  <c r="N24" i="44"/>
  <c r="E25" i="44"/>
  <c r="K25" i="44"/>
  <c r="N25" i="44"/>
  <c r="L25" i="44"/>
  <c r="M25" i="44"/>
  <c r="E26" i="44"/>
  <c r="K26" i="44"/>
  <c r="L26" i="44"/>
  <c r="M26" i="44"/>
  <c r="N26" i="44"/>
  <c r="E27" i="44"/>
  <c r="K27" i="44"/>
  <c r="N27" i="44"/>
  <c r="L27" i="44"/>
  <c r="M27" i="44"/>
  <c r="E28" i="44"/>
  <c r="K28" i="44"/>
  <c r="L28" i="44"/>
  <c r="M28" i="44"/>
  <c r="N28" i="44"/>
  <c r="E29" i="44"/>
  <c r="K29" i="44"/>
  <c r="N29" i="44"/>
  <c r="L29" i="44"/>
  <c r="M29" i="44"/>
  <c r="E30" i="44"/>
  <c r="K30" i="44"/>
  <c r="L30" i="44"/>
  <c r="M30" i="44"/>
  <c r="N30" i="44"/>
  <c r="E31" i="44"/>
  <c r="K31" i="44"/>
  <c r="N31" i="44"/>
  <c r="L31" i="44"/>
  <c r="M31" i="44"/>
  <c r="K32" i="44"/>
  <c r="L32" i="44"/>
  <c r="M32" i="44"/>
  <c r="N32" i="44"/>
  <c r="K33" i="44"/>
  <c r="L33" i="44"/>
  <c r="M33" i="44"/>
  <c r="N33" i="44"/>
  <c r="K34" i="44"/>
  <c r="L34" i="44"/>
  <c r="M34" i="44"/>
  <c r="N34" i="44"/>
  <c r="K35" i="44"/>
  <c r="L35" i="44"/>
  <c r="M35" i="44"/>
  <c r="N35" i="44"/>
  <c r="K6" i="43"/>
  <c r="L6" i="43"/>
  <c r="M6" i="43"/>
  <c r="N6" i="43"/>
  <c r="K7" i="43"/>
  <c r="L7" i="43"/>
  <c r="M7" i="43"/>
  <c r="N7" i="43"/>
  <c r="K8" i="43"/>
  <c r="L8" i="43"/>
  <c r="M8" i="43"/>
  <c r="N8" i="43"/>
  <c r="K9" i="43"/>
  <c r="L9" i="43"/>
  <c r="M9" i="43"/>
  <c r="N9" i="43"/>
  <c r="K10" i="43"/>
  <c r="L10" i="43"/>
  <c r="M10" i="43"/>
  <c r="N10" i="43"/>
  <c r="K11" i="43"/>
  <c r="L11" i="43"/>
  <c r="M11" i="43"/>
  <c r="N11" i="43"/>
  <c r="K12" i="43"/>
  <c r="L12" i="43"/>
  <c r="M12" i="43"/>
  <c r="N12" i="43"/>
  <c r="K13" i="43"/>
  <c r="L13" i="43"/>
  <c r="M13" i="43"/>
  <c r="N13" i="43"/>
  <c r="K14" i="43"/>
  <c r="L14" i="43"/>
  <c r="M14" i="43"/>
  <c r="N14" i="43"/>
  <c r="K15" i="43"/>
  <c r="L15" i="43"/>
  <c r="M15" i="43"/>
  <c r="N15" i="43"/>
  <c r="K16" i="43"/>
  <c r="L16" i="43"/>
  <c r="M16" i="43"/>
  <c r="N16" i="43"/>
  <c r="K17" i="43"/>
  <c r="L17" i="43"/>
  <c r="M17" i="43"/>
  <c r="N17" i="43"/>
  <c r="K18" i="43"/>
  <c r="L18" i="43"/>
  <c r="M18" i="43"/>
  <c r="N18" i="43"/>
  <c r="K19" i="43"/>
  <c r="L19" i="43"/>
  <c r="M19" i="43"/>
  <c r="N19" i="43"/>
  <c r="K20" i="43"/>
  <c r="L20" i="43"/>
  <c r="M20" i="43"/>
  <c r="N20" i="43"/>
  <c r="K21" i="43"/>
  <c r="L21" i="43"/>
  <c r="M21" i="43"/>
  <c r="N21" i="43"/>
  <c r="E22" i="43"/>
  <c r="K22" i="43"/>
  <c r="L22" i="43"/>
  <c r="M22" i="43"/>
  <c r="N22" i="43"/>
  <c r="E23" i="43"/>
  <c r="K23" i="43"/>
  <c r="N23" i="43"/>
  <c r="L23" i="43"/>
  <c r="M23" i="43"/>
  <c r="E24" i="43"/>
  <c r="K24" i="43"/>
  <c r="L24" i="43"/>
  <c r="M24" i="43"/>
  <c r="N24" i="43"/>
  <c r="E25" i="43"/>
  <c r="K25" i="43"/>
  <c r="N25" i="43"/>
  <c r="L25" i="43"/>
  <c r="M25" i="43"/>
  <c r="E26" i="43"/>
  <c r="K26" i="43"/>
  <c r="L26" i="43"/>
  <c r="M26" i="43"/>
  <c r="N26" i="43"/>
  <c r="E27" i="43"/>
  <c r="K27" i="43"/>
  <c r="N27" i="43"/>
  <c r="L27" i="43"/>
  <c r="M27" i="43"/>
  <c r="E28" i="43"/>
  <c r="K28" i="43"/>
  <c r="L28" i="43"/>
  <c r="M28" i="43"/>
  <c r="N28" i="43"/>
  <c r="E29" i="43"/>
  <c r="K29" i="43"/>
  <c r="N29" i="43"/>
  <c r="L29" i="43"/>
  <c r="M29" i="43"/>
  <c r="E30" i="43"/>
  <c r="K30" i="43"/>
  <c r="L30" i="43"/>
  <c r="M30" i="43"/>
  <c r="N30" i="43"/>
  <c r="B31" i="43"/>
  <c r="E31" i="43"/>
  <c r="L31" i="43"/>
  <c r="M31" i="43"/>
  <c r="B32" i="43"/>
  <c r="E32" i="43"/>
  <c r="L32" i="43"/>
  <c r="M32" i="43"/>
  <c r="B33" i="43"/>
  <c r="E33" i="43"/>
  <c r="L33" i="43"/>
  <c r="M33" i="43"/>
  <c r="E34" i="43"/>
  <c r="K34" i="43"/>
  <c r="N34" i="43"/>
  <c r="L34" i="43"/>
  <c r="M34" i="43"/>
  <c r="K35" i="43"/>
  <c r="L35" i="43"/>
  <c r="M35" i="43"/>
  <c r="N35" i="43"/>
  <c r="K6" i="42"/>
  <c r="L6" i="42"/>
  <c r="M6" i="42"/>
  <c r="N6" i="42"/>
  <c r="K7" i="42"/>
  <c r="L7" i="42"/>
  <c r="M7" i="42"/>
  <c r="N7" i="42"/>
  <c r="K8" i="42"/>
  <c r="L8" i="42"/>
  <c r="M8" i="42"/>
  <c r="N8" i="42"/>
  <c r="K9" i="42"/>
  <c r="L9" i="42"/>
  <c r="M9" i="42"/>
  <c r="N9" i="42"/>
  <c r="K10" i="42"/>
  <c r="L10" i="42"/>
  <c r="M10" i="42"/>
  <c r="N10" i="42"/>
  <c r="K11" i="42"/>
  <c r="L11" i="42"/>
  <c r="M11" i="42"/>
  <c r="N11" i="42"/>
  <c r="K12" i="42"/>
  <c r="L12" i="42"/>
  <c r="M12" i="42"/>
  <c r="N12" i="42"/>
  <c r="K13" i="42"/>
  <c r="L13" i="42"/>
  <c r="M13" i="42"/>
  <c r="N13" i="42"/>
  <c r="K14" i="42"/>
  <c r="L14" i="42"/>
  <c r="M14" i="42"/>
  <c r="N14" i="42"/>
  <c r="K15" i="42"/>
  <c r="L15" i="42"/>
  <c r="M15" i="42"/>
  <c r="N15" i="42"/>
  <c r="K16" i="42"/>
  <c r="L16" i="42"/>
  <c r="M16" i="42"/>
  <c r="N16" i="42"/>
  <c r="K17" i="42"/>
  <c r="L17" i="42"/>
  <c r="M17" i="42"/>
  <c r="N17" i="42"/>
  <c r="K18" i="42"/>
  <c r="L18" i="42"/>
  <c r="M18" i="42"/>
  <c r="N18" i="42"/>
  <c r="E19" i="42"/>
  <c r="K19" i="42"/>
  <c r="L19" i="42"/>
  <c r="M19" i="42"/>
  <c r="N19" i="42"/>
  <c r="K20" i="42"/>
  <c r="L20" i="42"/>
  <c r="M20" i="42"/>
  <c r="N20" i="42"/>
  <c r="K21" i="42"/>
  <c r="L21" i="42"/>
  <c r="M21" i="42"/>
  <c r="N21" i="42"/>
  <c r="K22" i="42"/>
  <c r="L22" i="42"/>
  <c r="M22" i="42"/>
  <c r="N22" i="42"/>
  <c r="E23" i="42"/>
  <c r="K23" i="42"/>
  <c r="L23" i="42"/>
  <c r="M23" i="42"/>
  <c r="N23" i="42"/>
  <c r="E24" i="42"/>
  <c r="K24" i="42"/>
  <c r="L24" i="42"/>
  <c r="M24" i="42"/>
  <c r="N24" i="42"/>
  <c r="K25" i="42"/>
  <c r="L25" i="42"/>
  <c r="M25" i="42"/>
  <c r="N25" i="42"/>
  <c r="K26" i="42"/>
  <c r="L26" i="42"/>
  <c r="M26" i="42"/>
  <c r="N26" i="42"/>
  <c r="E27" i="42"/>
  <c r="K27" i="42"/>
  <c r="L27" i="42"/>
  <c r="M27" i="42"/>
  <c r="N27" i="42"/>
  <c r="E28" i="42"/>
  <c r="K28" i="42"/>
  <c r="L28" i="42"/>
  <c r="M28" i="42"/>
  <c r="N28" i="42"/>
  <c r="K29" i="42"/>
  <c r="L29" i="42"/>
  <c r="M29" i="42"/>
  <c r="N29" i="42"/>
  <c r="B30" i="42"/>
  <c r="K30" i="42"/>
  <c r="N30" i="42"/>
  <c r="L30" i="42"/>
  <c r="M30" i="42"/>
  <c r="K31" i="42"/>
  <c r="L31" i="42"/>
  <c r="M31" i="42"/>
  <c r="N31" i="42"/>
  <c r="K32" i="42"/>
  <c r="L32" i="42"/>
  <c r="M32" i="42"/>
  <c r="N32" i="42"/>
  <c r="B33" i="42"/>
  <c r="K33" i="42"/>
  <c r="L33" i="42"/>
  <c r="M33" i="42"/>
  <c r="N33" i="42"/>
  <c r="E34" i="42"/>
  <c r="K34" i="42"/>
  <c r="N34" i="42"/>
  <c r="L34" i="42"/>
  <c r="M34" i="42"/>
  <c r="K35" i="42"/>
  <c r="L35" i="42"/>
  <c r="M35" i="42"/>
  <c r="N35" i="42"/>
  <c r="K6" i="41"/>
  <c r="L6" i="41"/>
  <c r="M6" i="41"/>
  <c r="N6" i="41"/>
  <c r="K7" i="41"/>
  <c r="L7" i="41"/>
  <c r="M7" i="41"/>
  <c r="N7" i="41"/>
  <c r="K8" i="41"/>
  <c r="L8" i="41"/>
  <c r="M8" i="41"/>
  <c r="N8" i="41"/>
  <c r="K9" i="41"/>
  <c r="L9" i="41"/>
  <c r="M9" i="41"/>
  <c r="N9" i="41"/>
  <c r="K10" i="41"/>
  <c r="L10" i="41"/>
  <c r="M10" i="41"/>
  <c r="N10" i="41"/>
  <c r="K11" i="41"/>
  <c r="L11" i="41"/>
  <c r="M11" i="41"/>
  <c r="N11" i="41"/>
  <c r="K12" i="41"/>
  <c r="L12" i="41"/>
  <c r="M12" i="41"/>
  <c r="N12" i="41"/>
  <c r="K13" i="41"/>
  <c r="L13" i="41"/>
  <c r="M13" i="41"/>
  <c r="N13" i="41"/>
  <c r="K14" i="41"/>
  <c r="L14" i="41"/>
  <c r="M14" i="41"/>
  <c r="N14" i="41"/>
  <c r="K15" i="41"/>
  <c r="L15" i="41"/>
  <c r="M15" i="41"/>
  <c r="N15" i="41"/>
  <c r="K16" i="41"/>
  <c r="L16" i="41"/>
  <c r="M16" i="41"/>
  <c r="N16" i="41"/>
  <c r="K17" i="41"/>
  <c r="L17" i="41"/>
  <c r="M17" i="41"/>
  <c r="N17" i="41"/>
  <c r="K18" i="41"/>
  <c r="L18" i="41"/>
  <c r="M18" i="41"/>
  <c r="N18" i="41"/>
  <c r="K19" i="41"/>
  <c r="L19" i="41"/>
  <c r="M19" i="41"/>
  <c r="N19" i="41"/>
  <c r="K20" i="41"/>
  <c r="L20" i="41"/>
  <c r="M20" i="41"/>
  <c r="N20" i="41"/>
  <c r="K21" i="41"/>
  <c r="L21" i="41"/>
  <c r="M21" i="41"/>
  <c r="N21" i="41"/>
  <c r="K22" i="41"/>
  <c r="L22" i="41"/>
  <c r="M22" i="41"/>
  <c r="N22" i="41"/>
  <c r="K23" i="41"/>
  <c r="L23" i="41"/>
  <c r="M23" i="41"/>
  <c r="N23" i="41"/>
  <c r="K24" i="41"/>
  <c r="L24" i="41"/>
  <c r="M24" i="41"/>
  <c r="N24" i="41"/>
  <c r="K25" i="41"/>
  <c r="L25" i="41"/>
  <c r="M25" i="41"/>
  <c r="N25" i="41"/>
  <c r="K26" i="41"/>
  <c r="L26" i="41"/>
  <c r="M26" i="41"/>
  <c r="N26" i="41"/>
  <c r="E27" i="41"/>
  <c r="K27" i="41"/>
  <c r="L27" i="41"/>
  <c r="M27" i="41"/>
  <c r="N27" i="41"/>
  <c r="E28" i="41"/>
  <c r="K28" i="41"/>
  <c r="N28" i="41"/>
  <c r="L28" i="41"/>
  <c r="M28" i="41"/>
  <c r="K29" i="41"/>
  <c r="L29" i="41"/>
  <c r="M29" i="41"/>
  <c r="N29" i="41"/>
  <c r="B30" i="41"/>
  <c r="K30" i="41"/>
  <c r="L30" i="41"/>
  <c r="M30" i="41"/>
  <c r="N30" i="41"/>
  <c r="K31" i="41"/>
  <c r="L31" i="41"/>
  <c r="M31" i="41"/>
  <c r="N31" i="41"/>
  <c r="K32" i="41"/>
  <c r="L32" i="41"/>
  <c r="M32" i="41"/>
  <c r="N32" i="41"/>
  <c r="B33" i="41"/>
  <c r="K33" i="41"/>
  <c r="N33" i="41"/>
  <c r="L33" i="41"/>
  <c r="M33" i="41"/>
  <c r="K34" i="41"/>
  <c r="L34" i="41"/>
  <c r="M34" i="41"/>
  <c r="N34" i="41"/>
  <c r="K35" i="41"/>
  <c r="L35" i="41"/>
  <c r="M35" i="41"/>
  <c r="N35" i="41"/>
  <c r="K6" i="40"/>
  <c r="L6" i="40"/>
  <c r="M6" i="40"/>
  <c r="N6" i="40"/>
  <c r="K7" i="40"/>
  <c r="L7" i="40"/>
  <c r="M7" i="40"/>
  <c r="N7" i="40"/>
  <c r="K8" i="40"/>
  <c r="L8" i="40"/>
  <c r="M8" i="40"/>
  <c r="N8" i="40"/>
  <c r="K9" i="40"/>
  <c r="L9" i="40"/>
  <c r="M9" i="40"/>
  <c r="N9" i="40"/>
  <c r="K10" i="40"/>
  <c r="L10" i="40"/>
  <c r="M10" i="40"/>
  <c r="N10" i="40"/>
  <c r="K11" i="40"/>
  <c r="L11" i="40"/>
  <c r="M11" i="40"/>
  <c r="N11" i="40"/>
  <c r="K12" i="40"/>
  <c r="L12" i="40"/>
  <c r="M12" i="40"/>
  <c r="N12" i="40"/>
  <c r="K13" i="40"/>
  <c r="L13" i="40"/>
  <c r="M13" i="40"/>
  <c r="N13" i="40"/>
  <c r="K14" i="40"/>
  <c r="L14" i="40"/>
  <c r="M14" i="40"/>
  <c r="N14" i="40"/>
  <c r="K15" i="40"/>
  <c r="L15" i="40"/>
  <c r="M15" i="40"/>
  <c r="N15" i="40"/>
  <c r="K16" i="40"/>
  <c r="L16" i="40"/>
  <c r="M16" i="40"/>
  <c r="N16" i="40"/>
  <c r="K17" i="40"/>
  <c r="L17" i="40"/>
  <c r="M17" i="40"/>
  <c r="N17" i="40"/>
  <c r="K18" i="40"/>
  <c r="L18" i="40"/>
  <c r="M18" i="40"/>
  <c r="N18" i="40"/>
  <c r="K19" i="40"/>
  <c r="L19" i="40"/>
  <c r="M19" i="40"/>
  <c r="N19" i="40"/>
  <c r="K20" i="40"/>
  <c r="L20" i="40"/>
  <c r="M20" i="40"/>
  <c r="N20" i="40"/>
  <c r="K21" i="40"/>
  <c r="L21" i="40"/>
  <c r="M21" i="40"/>
  <c r="N21" i="40"/>
  <c r="K22" i="40"/>
  <c r="L22" i="40"/>
  <c r="M22" i="40"/>
  <c r="N22" i="40"/>
  <c r="K23" i="40"/>
  <c r="L23" i="40"/>
  <c r="M23" i="40"/>
  <c r="N23" i="40"/>
  <c r="K24" i="40"/>
  <c r="L24" i="40"/>
  <c r="M24" i="40"/>
  <c r="N24" i="40"/>
  <c r="K25" i="40"/>
  <c r="L25" i="40"/>
  <c r="M25" i="40"/>
  <c r="N25" i="40"/>
  <c r="K26" i="40"/>
  <c r="L26" i="40"/>
  <c r="M26" i="40"/>
  <c r="N26" i="40"/>
  <c r="K27" i="40"/>
  <c r="L27" i="40"/>
  <c r="M27" i="40"/>
  <c r="N27" i="40"/>
  <c r="K28" i="40"/>
  <c r="L28" i="40"/>
  <c r="M28" i="40"/>
  <c r="N28" i="40"/>
  <c r="E29" i="40"/>
  <c r="K29" i="40"/>
  <c r="L29" i="40"/>
  <c r="M29" i="40"/>
  <c r="N29" i="40"/>
  <c r="B30" i="40"/>
  <c r="K30" i="40"/>
  <c r="N30" i="40"/>
  <c r="L30" i="40"/>
  <c r="M30" i="40"/>
  <c r="B31" i="40"/>
  <c r="K31" i="40"/>
  <c r="L31" i="40"/>
  <c r="M31" i="40"/>
  <c r="N31" i="40"/>
  <c r="K32" i="40"/>
  <c r="L32" i="40"/>
  <c r="M32" i="40"/>
  <c r="N32" i="40"/>
  <c r="B33" i="40"/>
  <c r="K33" i="40"/>
  <c r="L33" i="40"/>
  <c r="M33" i="40"/>
  <c r="N33" i="40"/>
  <c r="K34" i="40"/>
  <c r="L34" i="40"/>
  <c r="M34" i="40"/>
  <c r="N34" i="40"/>
  <c r="K35" i="40"/>
  <c r="L35" i="40"/>
  <c r="M35" i="40"/>
  <c r="N35" i="40"/>
  <c r="K6" i="39"/>
  <c r="L6" i="39"/>
  <c r="M6" i="39"/>
  <c r="N6" i="39"/>
  <c r="K7" i="39"/>
  <c r="L7" i="39"/>
  <c r="M7" i="39"/>
  <c r="N7" i="39"/>
  <c r="K8" i="39"/>
  <c r="L8" i="39"/>
  <c r="M8" i="39"/>
  <c r="N8" i="39"/>
  <c r="K9" i="39"/>
  <c r="L9" i="39"/>
  <c r="M9" i="39"/>
  <c r="N9" i="39"/>
  <c r="K10" i="39"/>
  <c r="L10" i="39"/>
  <c r="M10" i="39"/>
  <c r="N10" i="39"/>
  <c r="K11" i="39"/>
  <c r="L11" i="39"/>
  <c r="M11" i="39"/>
  <c r="N11" i="39"/>
  <c r="E12" i="39"/>
  <c r="K12" i="39"/>
  <c r="L12" i="39"/>
  <c r="M12" i="39"/>
  <c r="N12" i="39"/>
  <c r="E13" i="39"/>
  <c r="K13" i="39"/>
  <c r="L13" i="39"/>
  <c r="M13" i="39"/>
  <c r="N13" i="39"/>
  <c r="E14" i="39"/>
  <c r="F14" i="39"/>
  <c r="F14" i="4"/>
  <c r="K14" i="39"/>
  <c r="L14" i="39"/>
  <c r="M14" i="39"/>
  <c r="N14" i="39"/>
  <c r="E15" i="39"/>
  <c r="F15" i="39"/>
  <c r="K15" i="39"/>
  <c r="L15" i="39"/>
  <c r="M15" i="39"/>
  <c r="N15" i="39"/>
  <c r="E16" i="39"/>
  <c r="K16" i="39"/>
  <c r="L16" i="39"/>
  <c r="M16" i="39"/>
  <c r="N16" i="39"/>
  <c r="E17" i="39"/>
  <c r="K17" i="39"/>
  <c r="L17" i="39"/>
  <c r="M17" i="39"/>
  <c r="N17" i="39"/>
  <c r="E18" i="39"/>
  <c r="K18" i="39"/>
  <c r="L18" i="39"/>
  <c r="M18" i="39"/>
  <c r="N18" i="39"/>
  <c r="E19" i="39"/>
  <c r="K19" i="39"/>
  <c r="L19" i="39"/>
  <c r="M19" i="39"/>
  <c r="N19" i="39"/>
  <c r="E20" i="39"/>
  <c r="K20" i="39"/>
  <c r="L20" i="39"/>
  <c r="M20" i="39"/>
  <c r="N20" i="39"/>
  <c r="E21" i="39"/>
  <c r="K21" i="39"/>
  <c r="L21" i="39"/>
  <c r="M21" i="39"/>
  <c r="N21" i="39"/>
  <c r="E22" i="39"/>
  <c r="K22" i="39"/>
  <c r="L22" i="39"/>
  <c r="M22" i="39"/>
  <c r="N22" i="39"/>
  <c r="E23" i="39"/>
  <c r="K23" i="39"/>
  <c r="L23" i="39"/>
  <c r="M23" i="39"/>
  <c r="N23" i="39"/>
  <c r="E24" i="39"/>
  <c r="K24" i="39"/>
  <c r="L24" i="39"/>
  <c r="M24" i="39"/>
  <c r="N24" i="39"/>
  <c r="E25" i="39"/>
  <c r="K25" i="39"/>
  <c r="L25" i="39"/>
  <c r="M25" i="39"/>
  <c r="N25" i="39"/>
  <c r="E26" i="39"/>
  <c r="K26" i="39"/>
  <c r="L26" i="39"/>
  <c r="M26" i="39"/>
  <c r="N26" i="39"/>
  <c r="E27" i="39"/>
  <c r="K27" i="39"/>
  <c r="L27" i="39"/>
  <c r="M27" i="39"/>
  <c r="N27" i="39"/>
  <c r="E28" i="39"/>
  <c r="K28" i="39"/>
  <c r="L28" i="39"/>
  <c r="M28" i="39"/>
  <c r="N28" i="39"/>
  <c r="E29" i="39"/>
  <c r="K29" i="39"/>
  <c r="L29" i="39"/>
  <c r="M29" i="39"/>
  <c r="N29" i="39"/>
  <c r="B30" i="39"/>
  <c r="E30" i="39"/>
  <c r="K30" i="39"/>
  <c r="N30" i="39"/>
  <c r="L30" i="39"/>
  <c r="M30" i="39"/>
  <c r="E31" i="39"/>
  <c r="K31" i="39"/>
  <c r="L31" i="39"/>
  <c r="M31" i="39"/>
  <c r="N31" i="39"/>
  <c r="E32" i="39"/>
  <c r="K32" i="39"/>
  <c r="N32" i="39"/>
  <c r="L32" i="39"/>
  <c r="M32" i="39"/>
  <c r="B33" i="39"/>
  <c r="E33" i="39"/>
  <c r="K33" i="39"/>
  <c r="L33" i="39"/>
  <c r="M33" i="39"/>
  <c r="N33" i="39"/>
  <c r="E34" i="39"/>
  <c r="K34" i="39"/>
  <c r="L34" i="39"/>
  <c r="M34" i="39"/>
  <c r="N34" i="39"/>
  <c r="K35" i="39"/>
  <c r="L35" i="39"/>
  <c r="M35" i="39"/>
  <c r="N35" i="39"/>
  <c r="K6" i="38"/>
  <c r="L6" i="38"/>
  <c r="M6" i="38"/>
  <c r="N6" i="38"/>
  <c r="E7" i="38"/>
  <c r="K7" i="38"/>
  <c r="L7" i="38"/>
  <c r="M7" i="38"/>
  <c r="N7" i="38"/>
  <c r="E8" i="38"/>
  <c r="K8" i="38"/>
  <c r="L8" i="38"/>
  <c r="M8" i="38"/>
  <c r="N8" i="38"/>
  <c r="E9" i="38"/>
  <c r="K9" i="38"/>
  <c r="L9" i="38"/>
  <c r="M9" i="38"/>
  <c r="N9" i="38"/>
  <c r="E10" i="38"/>
  <c r="K10" i="38"/>
  <c r="L10" i="38"/>
  <c r="M10" i="38"/>
  <c r="N10" i="38"/>
  <c r="E11" i="38"/>
  <c r="K11" i="38"/>
  <c r="L11" i="38"/>
  <c r="M11" i="38"/>
  <c r="N11" i="38"/>
  <c r="K12" i="38"/>
  <c r="L12" i="38"/>
  <c r="M12" i="38"/>
  <c r="N12" i="38"/>
  <c r="K13" i="38"/>
  <c r="L13" i="38"/>
  <c r="M13" i="38"/>
  <c r="N13" i="38"/>
  <c r="K14" i="38"/>
  <c r="L14" i="38"/>
  <c r="M14" i="38"/>
  <c r="N14" i="38"/>
  <c r="K15" i="38"/>
  <c r="L15" i="38"/>
  <c r="M15" i="38"/>
  <c r="N15" i="38"/>
  <c r="F16" i="38"/>
  <c r="K16" i="38"/>
  <c r="L16" i="38"/>
  <c r="M16" i="38"/>
  <c r="N16" i="38"/>
  <c r="K17" i="38"/>
  <c r="L17" i="38"/>
  <c r="M17" i="38"/>
  <c r="N17" i="38"/>
  <c r="E18" i="38"/>
  <c r="K18" i="38"/>
  <c r="N18" i="38"/>
  <c r="L18" i="38"/>
  <c r="M18" i="38"/>
  <c r="E19" i="38"/>
  <c r="K19" i="38"/>
  <c r="L19" i="38"/>
  <c r="M19" i="38"/>
  <c r="N19" i="38"/>
  <c r="E20" i="38"/>
  <c r="K20" i="38"/>
  <c r="N20" i="38"/>
  <c r="L20" i="38"/>
  <c r="M20" i="38"/>
  <c r="E21" i="38"/>
  <c r="K21" i="38"/>
  <c r="L21" i="38"/>
  <c r="M21" i="38"/>
  <c r="N21" i="38"/>
  <c r="E22" i="38"/>
  <c r="K22" i="38"/>
  <c r="N22" i="38"/>
  <c r="L22" i="38"/>
  <c r="M22" i="38"/>
  <c r="K23" i="38"/>
  <c r="L23" i="38"/>
  <c r="M23" i="38"/>
  <c r="N23" i="38"/>
  <c r="K24" i="38"/>
  <c r="L24" i="38"/>
  <c r="M24" i="38"/>
  <c r="N24" i="38"/>
  <c r="E25" i="38"/>
  <c r="K25" i="38"/>
  <c r="L25" i="38"/>
  <c r="M25" i="38"/>
  <c r="N25" i="38"/>
  <c r="E26" i="38"/>
  <c r="K26" i="38"/>
  <c r="N26" i="38"/>
  <c r="L26" i="38"/>
  <c r="M26" i="38"/>
  <c r="E27" i="38"/>
  <c r="K27" i="38"/>
  <c r="L27" i="38"/>
  <c r="M27" i="38"/>
  <c r="N27" i="38"/>
  <c r="E28" i="38"/>
  <c r="K28" i="38"/>
  <c r="N28" i="38"/>
  <c r="L28" i="38"/>
  <c r="M28" i="38"/>
  <c r="E29" i="38"/>
  <c r="K29" i="38"/>
  <c r="L29" i="38"/>
  <c r="M29" i="38"/>
  <c r="N29" i="38"/>
  <c r="B30" i="38"/>
  <c r="E30" i="38"/>
  <c r="L30" i="38"/>
  <c r="M30" i="38"/>
  <c r="E31" i="38"/>
  <c r="K31" i="38"/>
  <c r="N31" i="38"/>
  <c r="L31" i="38"/>
  <c r="M31" i="38"/>
  <c r="E32" i="38"/>
  <c r="K32" i="38"/>
  <c r="L32" i="38"/>
  <c r="M32" i="38"/>
  <c r="N32" i="38"/>
  <c r="B33" i="38"/>
  <c r="E33" i="38"/>
  <c r="L33" i="38"/>
  <c r="M33" i="38"/>
  <c r="E34" i="38"/>
  <c r="K34" i="38"/>
  <c r="N34" i="38"/>
  <c r="L34" i="38"/>
  <c r="M34" i="38"/>
  <c r="K35" i="38"/>
  <c r="L35" i="38"/>
  <c r="M35" i="38"/>
  <c r="N35" i="38"/>
  <c r="K6" i="37"/>
  <c r="L6" i="37"/>
  <c r="M6" i="37"/>
  <c r="N6" i="37"/>
  <c r="K7" i="37"/>
  <c r="L7" i="37"/>
  <c r="M7" i="37"/>
  <c r="N7" i="37"/>
  <c r="K8" i="37"/>
  <c r="L8" i="37"/>
  <c r="M8" i="37"/>
  <c r="N8" i="37"/>
  <c r="K9" i="37"/>
  <c r="L9" i="37"/>
  <c r="M9" i="37"/>
  <c r="N9" i="37"/>
  <c r="K10" i="37"/>
  <c r="L10" i="37"/>
  <c r="M10" i="37"/>
  <c r="N10" i="37"/>
  <c r="K11" i="37"/>
  <c r="L11" i="37"/>
  <c r="M11" i="37"/>
  <c r="N11" i="37"/>
  <c r="K12" i="37"/>
  <c r="L12" i="37"/>
  <c r="M12" i="37"/>
  <c r="N12" i="37"/>
  <c r="K13" i="37"/>
  <c r="L13" i="37"/>
  <c r="M13" i="37"/>
  <c r="N13" i="37"/>
  <c r="K14" i="37"/>
  <c r="L14" i="37"/>
  <c r="M14" i="37"/>
  <c r="N14" i="37"/>
  <c r="K15" i="37"/>
  <c r="L15" i="37"/>
  <c r="M15" i="37"/>
  <c r="N15" i="37"/>
  <c r="K16" i="37"/>
  <c r="L16" i="37"/>
  <c r="M16" i="37"/>
  <c r="N16" i="37"/>
  <c r="K17" i="37"/>
  <c r="L17" i="37"/>
  <c r="M17" i="37"/>
  <c r="N17" i="37"/>
  <c r="K18" i="37"/>
  <c r="L18" i="37"/>
  <c r="M18" i="37"/>
  <c r="N18" i="37"/>
  <c r="E19" i="37"/>
  <c r="K19" i="37"/>
  <c r="L19" i="37"/>
  <c r="M19" i="37"/>
  <c r="N19" i="37"/>
  <c r="E20" i="37"/>
  <c r="K20" i="37"/>
  <c r="N20" i="37"/>
  <c r="L20" i="37"/>
  <c r="M20" i="37"/>
  <c r="E21" i="37"/>
  <c r="K21" i="37"/>
  <c r="L21" i="37"/>
  <c r="M21" i="37"/>
  <c r="N21" i="37"/>
  <c r="E22" i="37"/>
  <c r="K22" i="37"/>
  <c r="N22" i="37"/>
  <c r="L22" i="37"/>
  <c r="M22" i="37"/>
  <c r="E23" i="37"/>
  <c r="K23" i="37"/>
  <c r="L23" i="37"/>
  <c r="M23" i="37"/>
  <c r="N23" i="37"/>
  <c r="E24" i="37"/>
  <c r="K24" i="37"/>
  <c r="N24" i="37"/>
  <c r="L24" i="37"/>
  <c r="M24" i="37"/>
  <c r="E25" i="37"/>
  <c r="K25" i="37"/>
  <c r="L25" i="37"/>
  <c r="M25" i="37"/>
  <c r="N25" i="37"/>
  <c r="E26" i="37"/>
  <c r="K26" i="37"/>
  <c r="N26" i="37"/>
  <c r="L26" i="37"/>
  <c r="M26" i="37"/>
  <c r="E27" i="37"/>
  <c r="K27" i="37"/>
  <c r="L27" i="37"/>
  <c r="M27" i="37"/>
  <c r="N27" i="37"/>
  <c r="E28" i="37"/>
  <c r="K28" i="37"/>
  <c r="N28" i="37"/>
  <c r="L28" i="37"/>
  <c r="M28" i="37"/>
  <c r="E29" i="37"/>
  <c r="K29" i="37"/>
  <c r="L29" i="37"/>
  <c r="M29" i="37"/>
  <c r="N29" i="37"/>
  <c r="B30" i="37"/>
  <c r="E30" i="37"/>
  <c r="L30" i="37"/>
  <c r="M30" i="37"/>
  <c r="E31" i="37"/>
  <c r="K31" i="37"/>
  <c r="N31" i="37"/>
  <c r="L31" i="37"/>
  <c r="M31" i="37"/>
  <c r="E32" i="37"/>
  <c r="K32" i="37"/>
  <c r="L32" i="37"/>
  <c r="M32" i="37"/>
  <c r="N32" i="37"/>
  <c r="B33" i="37"/>
  <c r="E33" i="37"/>
  <c r="L33" i="37"/>
  <c r="M33" i="37"/>
  <c r="E34" i="37"/>
  <c r="K34" i="37"/>
  <c r="N34" i="37"/>
  <c r="L34" i="37"/>
  <c r="M34" i="37"/>
  <c r="K35" i="37"/>
  <c r="L35" i="37"/>
  <c r="M35" i="37"/>
  <c r="N35" i="37"/>
  <c r="K6" i="36"/>
  <c r="L6" i="36"/>
  <c r="M6" i="36"/>
  <c r="N6" i="36"/>
  <c r="K7" i="36"/>
  <c r="L7" i="36"/>
  <c r="M7" i="36"/>
  <c r="N7" i="36"/>
  <c r="K8" i="36"/>
  <c r="L8" i="36"/>
  <c r="M8" i="36"/>
  <c r="N8" i="36"/>
  <c r="K9" i="36"/>
  <c r="L9" i="36"/>
  <c r="M9" i="36"/>
  <c r="N9" i="36"/>
  <c r="K10" i="36"/>
  <c r="L10" i="36"/>
  <c r="M10" i="36"/>
  <c r="N10" i="36"/>
  <c r="K11" i="36"/>
  <c r="L11" i="36"/>
  <c r="M11" i="36"/>
  <c r="N11" i="36"/>
  <c r="K12" i="36"/>
  <c r="L12" i="36"/>
  <c r="M12" i="36"/>
  <c r="N12" i="36"/>
  <c r="K13" i="36"/>
  <c r="L13" i="36"/>
  <c r="M13" i="36"/>
  <c r="N13" i="36"/>
  <c r="E14" i="36"/>
  <c r="K14" i="36"/>
  <c r="L14" i="36"/>
  <c r="M14" i="36"/>
  <c r="N14" i="36"/>
  <c r="E15" i="36"/>
  <c r="K15" i="36"/>
  <c r="N15" i="36"/>
  <c r="L15" i="36"/>
  <c r="M15" i="36"/>
  <c r="K16" i="36"/>
  <c r="L16" i="36"/>
  <c r="M16" i="36"/>
  <c r="N16" i="36"/>
  <c r="K17" i="36"/>
  <c r="L17" i="36"/>
  <c r="M17" i="36"/>
  <c r="N17" i="36"/>
  <c r="K18" i="36"/>
  <c r="L18" i="36"/>
  <c r="M18" i="36"/>
  <c r="N18" i="36"/>
  <c r="K19" i="36"/>
  <c r="L19" i="36"/>
  <c r="M19" i="36"/>
  <c r="N19" i="36"/>
  <c r="K20" i="36"/>
  <c r="L20" i="36"/>
  <c r="M20" i="36"/>
  <c r="N20" i="36"/>
  <c r="K21" i="36"/>
  <c r="L21" i="36"/>
  <c r="M21" i="36"/>
  <c r="N21" i="36"/>
  <c r="K22" i="36"/>
  <c r="L22" i="36"/>
  <c r="M22" i="36"/>
  <c r="N22" i="36"/>
  <c r="K23" i="36"/>
  <c r="L23" i="36"/>
  <c r="M23" i="36"/>
  <c r="N23" i="36"/>
  <c r="K24" i="36"/>
  <c r="L24" i="36"/>
  <c r="M24" i="36"/>
  <c r="N24" i="36"/>
  <c r="E25" i="36"/>
  <c r="K25" i="36"/>
  <c r="L25" i="36"/>
  <c r="M25" i="36"/>
  <c r="N25" i="36"/>
  <c r="E26" i="36"/>
  <c r="K26" i="36"/>
  <c r="N26" i="36"/>
  <c r="L26" i="36"/>
  <c r="M26" i="36"/>
  <c r="E27" i="36"/>
  <c r="K27" i="36"/>
  <c r="L27" i="36"/>
  <c r="M27" i="36"/>
  <c r="N27" i="36"/>
  <c r="E28" i="36"/>
  <c r="K28" i="36"/>
  <c r="N28" i="36"/>
  <c r="L28" i="36"/>
  <c r="M28" i="36"/>
  <c r="E29" i="36"/>
  <c r="K29" i="36"/>
  <c r="L29" i="36"/>
  <c r="M29" i="36"/>
  <c r="N29" i="36"/>
  <c r="B30" i="36"/>
  <c r="E30" i="36"/>
  <c r="L30" i="36"/>
  <c r="M30" i="36"/>
  <c r="E31" i="36"/>
  <c r="K31" i="36"/>
  <c r="N31" i="36"/>
  <c r="L31" i="36"/>
  <c r="M31" i="36"/>
  <c r="K32" i="36"/>
  <c r="L32" i="36"/>
  <c r="M32" i="36"/>
  <c r="N32" i="36"/>
  <c r="B33" i="36"/>
  <c r="E33" i="36"/>
  <c r="K33" i="36"/>
  <c r="L33" i="36"/>
  <c r="M33" i="36"/>
  <c r="N33" i="36"/>
  <c r="E34" i="36"/>
  <c r="K34" i="36"/>
  <c r="L34" i="36"/>
  <c r="M34" i="36"/>
  <c r="N34" i="36"/>
  <c r="K35" i="36"/>
  <c r="L35" i="36"/>
  <c r="M35" i="36"/>
  <c r="N35" i="36"/>
  <c r="K6" i="35"/>
  <c r="L6" i="35"/>
  <c r="M6" i="35"/>
  <c r="N6" i="35"/>
  <c r="K7" i="35"/>
  <c r="L7" i="35"/>
  <c r="M7" i="35"/>
  <c r="N7" i="35"/>
  <c r="K8" i="35"/>
  <c r="L8" i="35"/>
  <c r="M8" i="35"/>
  <c r="N8" i="35"/>
  <c r="K9" i="35"/>
  <c r="L9" i="35"/>
  <c r="M9" i="35"/>
  <c r="N9" i="35"/>
  <c r="K10" i="35"/>
  <c r="L10" i="35"/>
  <c r="M10" i="35"/>
  <c r="N10" i="35"/>
  <c r="K11" i="35"/>
  <c r="L11" i="35"/>
  <c r="M11" i="35"/>
  <c r="N11" i="35"/>
  <c r="K12" i="35"/>
  <c r="L12" i="35"/>
  <c r="M12" i="35"/>
  <c r="N12" i="35"/>
  <c r="K13" i="35"/>
  <c r="L13" i="35"/>
  <c r="M13" i="35"/>
  <c r="N13" i="35"/>
  <c r="H14" i="35"/>
  <c r="K14" i="35"/>
  <c r="N14" i="35"/>
  <c r="L14" i="35"/>
  <c r="M14" i="35"/>
  <c r="H15" i="35"/>
  <c r="K15" i="35"/>
  <c r="L15" i="35"/>
  <c r="M15" i="35"/>
  <c r="N15" i="35"/>
  <c r="K16" i="35"/>
  <c r="L16" i="35"/>
  <c r="M16" i="35"/>
  <c r="N16" i="35"/>
  <c r="K17" i="35"/>
  <c r="L17" i="35"/>
  <c r="M17" i="35"/>
  <c r="N17" i="35"/>
  <c r="K18" i="35"/>
  <c r="L18" i="35"/>
  <c r="M18" i="35"/>
  <c r="N18" i="35"/>
  <c r="K19" i="35"/>
  <c r="L19" i="35"/>
  <c r="M19" i="35"/>
  <c r="N19" i="35"/>
  <c r="K20" i="35"/>
  <c r="L20" i="35"/>
  <c r="M20" i="35"/>
  <c r="N20" i="35"/>
  <c r="K21" i="35"/>
  <c r="L21" i="35"/>
  <c r="M21" i="35"/>
  <c r="N21" i="35"/>
  <c r="K22" i="35"/>
  <c r="L22" i="35"/>
  <c r="M22" i="35"/>
  <c r="N22" i="35"/>
  <c r="K23" i="35"/>
  <c r="L23" i="35"/>
  <c r="M23" i="35"/>
  <c r="N23" i="35"/>
  <c r="K24" i="35"/>
  <c r="L24" i="35"/>
  <c r="M24" i="35"/>
  <c r="N24" i="35"/>
  <c r="K25" i="35"/>
  <c r="L25" i="35"/>
  <c r="M25" i="35"/>
  <c r="N25" i="35"/>
  <c r="K26" i="35"/>
  <c r="L26" i="35"/>
  <c r="M26" i="35"/>
  <c r="N26" i="35"/>
  <c r="K27" i="35"/>
  <c r="L27" i="35"/>
  <c r="M27" i="35"/>
  <c r="N27" i="35"/>
  <c r="K28" i="35"/>
  <c r="L28" i="35"/>
  <c r="M28" i="35"/>
  <c r="N28" i="35"/>
  <c r="K29" i="35"/>
  <c r="L29" i="35"/>
  <c r="M29" i="35"/>
  <c r="N29" i="35"/>
  <c r="B30" i="35"/>
  <c r="K30" i="35"/>
  <c r="N30" i="35"/>
  <c r="L30" i="35"/>
  <c r="M30" i="35"/>
  <c r="K31" i="35"/>
  <c r="L31" i="35"/>
  <c r="M31" i="35"/>
  <c r="N31" i="35"/>
  <c r="K32" i="35"/>
  <c r="L32" i="35"/>
  <c r="M32" i="35"/>
  <c r="N32" i="35"/>
  <c r="K33" i="35"/>
  <c r="L33" i="35"/>
  <c r="M33" i="35"/>
  <c r="N33" i="35"/>
  <c r="K34" i="35"/>
  <c r="L34" i="35"/>
  <c r="M34" i="35"/>
  <c r="N34" i="35"/>
  <c r="K35" i="35"/>
  <c r="L35" i="35"/>
  <c r="M35" i="35"/>
  <c r="N35" i="35"/>
  <c r="K6" i="34"/>
  <c r="L6" i="34"/>
  <c r="M6" i="34"/>
  <c r="N6" i="34"/>
  <c r="K7" i="34"/>
  <c r="L7" i="34"/>
  <c r="M7" i="34"/>
  <c r="N7" i="34"/>
  <c r="K8" i="34"/>
  <c r="L8" i="34"/>
  <c r="M8" i="34"/>
  <c r="N8" i="34"/>
  <c r="K9" i="34"/>
  <c r="L9" i="34"/>
  <c r="M9" i="34"/>
  <c r="N9" i="34"/>
  <c r="K10" i="34"/>
  <c r="L10" i="34"/>
  <c r="M10" i="34"/>
  <c r="N10" i="34"/>
  <c r="K11" i="34"/>
  <c r="L11" i="34"/>
  <c r="M11" i="34"/>
  <c r="N11" i="34"/>
  <c r="K12" i="34"/>
  <c r="L12" i="34"/>
  <c r="M12" i="34"/>
  <c r="N12" i="34"/>
  <c r="K13" i="34"/>
  <c r="L13" i="34"/>
  <c r="M13" i="34"/>
  <c r="N13" i="34"/>
  <c r="K14" i="34"/>
  <c r="L14" i="34"/>
  <c r="M14" i="34"/>
  <c r="N14" i="34"/>
  <c r="K15" i="34"/>
  <c r="L15" i="34"/>
  <c r="M15" i="34"/>
  <c r="N15" i="34"/>
  <c r="K16" i="34"/>
  <c r="L16" i="34"/>
  <c r="M16" i="34"/>
  <c r="N16" i="34"/>
  <c r="K17" i="34"/>
  <c r="L17" i="34"/>
  <c r="M17" i="34"/>
  <c r="N17" i="34"/>
  <c r="K18" i="34"/>
  <c r="L18" i="34"/>
  <c r="M18" i="34"/>
  <c r="N18" i="34"/>
  <c r="K19" i="34"/>
  <c r="L19" i="34"/>
  <c r="M19" i="34"/>
  <c r="N19" i="34"/>
  <c r="K20" i="34"/>
  <c r="L20" i="34"/>
  <c r="M20" i="34"/>
  <c r="N20" i="34"/>
  <c r="K21" i="34"/>
  <c r="L21" i="34"/>
  <c r="M21" i="34"/>
  <c r="N21" i="34"/>
  <c r="K22" i="34"/>
  <c r="L22" i="34"/>
  <c r="M22" i="34"/>
  <c r="N22" i="34"/>
  <c r="K23" i="34"/>
  <c r="L23" i="34"/>
  <c r="M23" i="34"/>
  <c r="N23" i="34"/>
  <c r="K24" i="34"/>
  <c r="L24" i="34"/>
  <c r="M24" i="34"/>
  <c r="N24" i="34"/>
  <c r="K25" i="34"/>
  <c r="L25" i="34"/>
  <c r="M25" i="34"/>
  <c r="N25" i="34"/>
  <c r="K26" i="34"/>
  <c r="L26" i="34"/>
  <c r="M26" i="34"/>
  <c r="N26" i="34"/>
  <c r="E27" i="34"/>
  <c r="K27" i="34"/>
  <c r="L27" i="34"/>
  <c r="M27" i="34"/>
  <c r="N27" i="34"/>
  <c r="E28" i="34"/>
  <c r="K28" i="34"/>
  <c r="N28" i="34"/>
  <c r="L28" i="34"/>
  <c r="M28" i="34"/>
  <c r="K29" i="34"/>
  <c r="L29" i="34"/>
  <c r="M29" i="34"/>
  <c r="N29" i="34"/>
  <c r="B30" i="34"/>
  <c r="E30" i="34"/>
  <c r="K30" i="34"/>
  <c r="L30" i="34"/>
  <c r="M30" i="34"/>
  <c r="N30" i="34"/>
  <c r="E31" i="34"/>
  <c r="K31" i="34"/>
  <c r="L31" i="34"/>
  <c r="M31" i="34"/>
  <c r="N31" i="34"/>
  <c r="E32" i="34"/>
  <c r="K32" i="34"/>
  <c r="L32" i="34"/>
  <c r="M32" i="34"/>
  <c r="N32" i="34"/>
  <c r="B33" i="34"/>
  <c r="E33" i="34"/>
  <c r="K33" i="34"/>
  <c r="N33" i="34"/>
  <c r="L33" i="34"/>
  <c r="M33" i="34"/>
  <c r="E34" i="34"/>
  <c r="K34" i="34"/>
  <c r="L34" i="34"/>
  <c r="M34" i="34"/>
  <c r="N34" i="34"/>
  <c r="K35" i="34"/>
  <c r="L35" i="34"/>
  <c r="M35" i="34"/>
  <c r="N35" i="34"/>
  <c r="K6" i="33"/>
  <c r="L6" i="33"/>
  <c r="M6" i="33"/>
  <c r="N6" i="33"/>
  <c r="K7" i="33"/>
  <c r="L7" i="33"/>
  <c r="M7" i="33"/>
  <c r="N7" i="33"/>
  <c r="K8" i="33"/>
  <c r="L8" i="33"/>
  <c r="M8" i="33"/>
  <c r="N8" i="33"/>
  <c r="K9" i="33"/>
  <c r="L9" i="33"/>
  <c r="M9" i="33"/>
  <c r="N9" i="33"/>
  <c r="K10" i="33"/>
  <c r="L10" i="33"/>
  <c r="M10" i="33"/>
  <c r="N10" i="33"/>
  <c r="K11" i="33"/>
  <c r="L11" i="33"/>
  <c r="M11" i="33"/>
  <c r="N11" i="33"/>
  <c r="K12" i="33"/>
  <c r="L12" i="33"/>
  <c r="M12" i="33"/>
  <c r="N12" i="33"/>
  <c r="K13" i="33"/>
  <c r="L13" i="33"/>
  <c r="M13" i="33"/>
  <c r="N13" i="33"/>
  <c r="K14" i="33"/>
  <c r="L14" i="33"/>
  <c r="M14" i="33"/>
  <c r="N14" i="33"/>
  <c r="K15" i="33"/>
  <c r="L15" i="33"/>
  <c r="M15" i="33"/>
  <c r="N15" i="33"/>
  <c r="K16" i="33"/>
  <c r="L16" i="33"/>
  <c r="M16" i="33"/>
  <c r="N16" i="33"/>
  <c r="K17" i="33"/>
  <c r="L17" i="33"/>
  <c r="M17" i="33"/>
  <c r="N17" i="33"/>
  <c r="K18" i="33"/>
  <c r="L18" i="33"/>
  <c r="M18" i="33"/>
  <c r="N18" i="33"/>
  <c r="K19" i="33"/>
  <c r="L19" i="33"/>
  <c r="M19" i="33"/>
  <c r="N19" i="33"/>
  <c r="K20" i="33"/>
  <c r="L20" i="33"/>
  <c r="M20" i="33"/>
  <c r="N20" i="33"/>
  <c r="K21" i="33"/>
  <c r="L21" i="33"/>
  <c r="M21" i="33"/>
  <c r="N21" i="33"/>
  <c r="K22" i="33"/>
  <c r="L22" i="33"/>
  <c r="M22" i="33"/>
  <c r="N22" i="33"/>
  <c r="K23" i="33"/>
  <c r="L23" i="33"/>
  <c r="M23" i="33"/>
  <c r="N23" i="33"/>
  <c r="K24" i="33"/>
  <c r="L24" i="33"/>
  <c r="M24" i="33"/>
  <c r="N24" i="33"/>
  <c r="K25" i="33"/>
  <c r="L25" i="33"/>
  <c r="M25" i="33"/>
  <c r="N25" i="33"/>
  <c r="K26" i="33"/>
  <c r="L26" i="33"/>
  <c r="M26" i="33"/>
  <c r="N26" i="33"/>
  <c r="K27" i="33"/>
  <c r="L27" i="33"/>
  <c r="M27" i="33"/>
  <c r="N27" i="33"/>
  <c r="K28" i="33"/>
  <c r="L28" i="33"/>
  <c r="M28" i="33"/>
  <c r="N28" i="33"/>
  <c r="K29" i="33"/>
  <c r="L29" i="33"/>
  <c r="M29" i="33"/>
  <c r="N29" i="33"/>
  <c r="B30" i="33"/>
  <c r="K30" i="33"/>
  <c r="L30" i="33"/>
  <c r="M30" i="33"/>
  <c r="N30" i="33"/>
  <c r="K31" i="33"/>
  <c r="L31" i="33"/>
  <c r="M31" i="33"/>
  <c r="N31" i="33"/>
  <c r="K32" i="33"/>
  <c r="L32" i="33"/>
  <c r="M32" i="33"/>
  <c r="N32" i="33"/>
  <c r="B33" i="33"/>
  <c r="E33" i="33"/>
  <c r="K33" i="33"/>
  <c r="N33" i="33"/>
  <c r="L33" i="33"/>
  <c r="M33" i="33"/>
  <c r="E34" i="33"/>
  <c r="K34" i="33"/>
  <c r="L34" i="33"/>
  <c r="M34" i="33"/>
  <c r="N34" i="33"/>
  <c r="K35" i="33"/>
  <c r="L35" i="33"/>
  <c r="M35" i="33"/>
  <c r="N35" i="33"/>
  <c r="K6" i="32"/>
  <c r="L6" i="32"/>
  <c r="M6" i="32"/>
  <c r="N6" i="32"/>
  <c r="K7" i="32"/>
  <c r="L7" i="32"/>
  <c r="M7" i="32"/>
  <c r="N7" i="32"/>
  <c r="K8" i="32"/>
  <c r="L8" i="32"/>
  <c r="M8" i="32"/>
  <c r="N8" i="32"/>
  <c r="K9" i="32"/>
  <c r="L9" i="32"/>
  <c r="M9" i="32"/>
  <c r="N9" i="32"/>
  <c r="K10" i="32"/>
  <c r="L10" i="32"/>
  <c r="M10" i="32"/>
  <c r="N10" i="32"/>
  <c r="K11" i="32"/>
  <c r="L11" i="32"/>
  <c r="M11" i="32"/>
  <c r="N11" i="32"/>
  <c r="K12" i="32"/>
  <c r="L12" i="32"/>
  <c r="M12" i="32"/>
  <c r="N12" i="32"/>
  <c r="K13" i="32"/>
  <c r="L13" i="32"/>
  <c r="M13" i="32"/>
  <c r="N13" i="32"/>
  <c r="K14" i="32"/>
  <c r="L14" i="32"/>
  <c r="M14" i="32"/>
  <c r="N14" i="32"/>
  <c r="K15" i="32"/>
  <c r="L15" i="32"/>
  <c r="M15" i="32"/>
  <c r="N15" i="32"/>
  <c r="K16" i="32"/>
  <c r="L16" i="32"/>
  <c r="M16" i="32"/>
  <c r="N16" i="32"/>
  <c r="K17" i="32"/>
  <c r="L17" i="32"/>
  <c r="M17" i="32"/>
  <c r="N17" i="32"/>
  <c r="K18" i="32"/>
  <c r="L18" i="32"/>
  <c r="M18" i="32"/>
  <c r="N18" i="32"/>
  <c r="K19" i="32"/>
  <c r="L19" i="32"/>
  <c r="M19" i="32"/>
  <c r="N19" i="32"/>
  <c r="K20" i="32"/>
  <c r="L20" i="32"/>
  <c r="M20" i="32"/>
  <c r="N20" i="32"/>
  <c r="K21" i="32"/>
  <c r="L21" i="32"/>
  <c r="M21" i="32"/>
  <c r="N21" i="32"/>
  <c r="K22" i="32"/>
  <c r="L22" i="32"/>
  <c r="M22" i="32"/>
  <c r="N22" i="32"/>
  <c r="K23" i="32"/>
  <c r="L23" i="32"/>
  <c r="M23" i="32"/>
  <c r="N23" i="32"/>
  <c r="E24" i="32"/>
  <c r="K24" i="32"/>
  <c r="L24" i="32"/>
  <c r="M24" i="32"/>
  <c r="N24" i="32"/>
  <c r="E25" i="32"/>
  <c r="K25" i="32"/>
  <c r="L25" i="32"/>
  <c r="M25" i="32"/>
  <c r="N25" i="32"/>
  <c r="E26" i="32"/>
  <c r="K26" i="32"/>
  <c r="L26" i="32"/>
  <c r="M26" i="32"/>
  <c r="N26" i="32"/>
  <c r="E27" i="32"/>
  <c r="K27" i="32"/>
  <c r="L27" i="32"/>
  <c r="M27" i="32"/>
  <c r="N27" i="32"/>
  <c r="E28" i="32"/>
  <c r="K28" i="32"/>
  <c r="L28" i="32"/>
  <c r="M28" i="32"/>
  <c r="N28" i="32"/>
  <c r="E29" i="32"/>
  <c r="K29" i="32"/>
  <c r="L29" i="32"/>
  <c r="M29" i="32"/>
  <c r="N29" i="32"/>
  <c r="B30" i="32"/>
  <c r="E30" i="32"/>
  <c r="K30" i="32"/>
  <c r="L30" i="32"/>
  <c r="M30" i="32"/>
  <c r="N30" i="32"/>
  <c r="E31" i="32"/>
  <c r="K31" i="32"/>
  <c r="L31" i="32"/>
  <c r="M31" i="32"/>
  <c r="N31" i="32"/>
  <c r="E32" i="32"/>
  <c r="K32" i="32"/>
  <c r="L32" i="32"/>
  <c r="M32" i="32"/>
  <c r="N32" i="32"/>
  <c r="B33" i="32"/>
  <c r="E33" i="32"/>
  <c r="K33" i="32"/>
  <c r="L33" i="32"/>
  <c r="M33" i="32"/>
  <c r="N33" i="32"/>
  <c r="E34" i="32"/>
  <c r="K34" i="32"/>
  <c r="N34" i="32"/>
  <c r="L34" i="32"/>
  <c r="M34" i="32"/>
  <c r="K35" i="32"/>
  <c r="L35" i="32"/>
  <c r="M35" i="32"/>
  <c r="N35" i="32"/>
  <c r="K6" i="31"/>
  <c r="L6" i="31"/>
  <c r="M6" i="31"/>
  <c r="N6" i="31"/>
  <c r="K7" i="31"/>
  <c r="L7" i="31"/>
  <c r="M7" i="31"/>
  <c r="N7" i="31"/>
  <c r="K8" i="31"/>
  <c r="L8" i="31"/>
  <c r="M8" i="31"/>
  <c r="N8" i="31"/>
  <c r="K9" i="31"/>
  <c r="L9" i="31"/>
  <c r="M9" i="31"/>
  <c r="N9" i="31"/>
  <c r="K10" i="31"/>
  <c r="L10" i="31"/>
  <c r="M10" i="31"/>
  <c r="N10" i="31"/>
  <c r="K11" i="31"/>
  <c r="L11" i="31"/>
  <c r="M11" i="31"/>
  <c r="N11" i="31"/>
  <c r="K12" i="31"/>
  <c r="L12" i="31"/>
  <c r="M12" i="31"/>
  <c r="N12" i="31"/>
  <c r="K13" i="31"/>
  <c r="L13" i="31"/>
  <c r="M13" i="31"/>
  <c r="N13" i="31"/>
  <c r="K14" i="31"/>
  <c r="L14" i="31"/>
  <c r="M14" i="31"/>
  <c r="N14" i="31"/>
  <c r="K15" i="31"/>
  <c r="L15" i="31"/>
  <c r="M15" i="31"/>
  <c r="N15" i="31"/>
  <c r="K16" i="31"/>
  <c r="L16" i="31"/>
  <c r="M16" i="31"/>
  <c r="N16" i="31"/>
  <c r="K17" i="31"/>
  <c r="L17" i="31"/>
  <c r="M17" i="31"/>
  <c r="N17" i="31"/>
  <c r="K18" i="31"/>
  <c r="L18" i="31"/>
  <c r="M18" i="31"/>
  <c r="N18" i="31"/>
  <c r="K19" i="31"/>
  <c r="L19" i="31"/>
  <c r="M19" i="31"/>
  <c r="N19" i="31"/>
  <c r="K20" i="31"/>
  <c r="L20" i="31"/>
  <c r="M20" i="31"/>
  <c r="N20" i="31"/>
  <c r="K21" i="31"/>
  <c r="L21" i="31"/>
  <c r="M21" i="31"/>
  <c r="N21" i="31"/>
  <c r="K22" i="31"/>
  <c r="L22" i="31"/>
  <c r="M22" i="31"/>
  <c r="N22" i="31"/>
  <c r="K23" i="31"/>
  <c r="L23" i="31"/>
  <c r="M23" i="31"/>
  <c r="N23" i="31"/>
  <c r="K24" i="31"/>
  <c r="L24" i="31"/>
  <c r="M24" i="31"/>
  <c r="N24" i="31"/>
  <c r="K25" i="31"/>
  <c r="L25" i="31"/>
  <c r="M25" i="31"/>
  <c r="N25" i="31"/>
  <c r="K26" i="31"/>
  <c r="L26" i="31"/>
  <c r="M26" i="31"/>
  <c r="N26" i="31"/>
  <c r="K27" i="31"/>
  <c r="L27" i="31"/>
  <c r="M27" i="31"/>
  <c r="N27" i="31"/>
  <c r="K28" i="31"/>
  <c r="L28" i="31"/>
  <c r="M28" i="31"/>
  <c r="N28" i="31"/>
  <c r="K29" i="31"/>
  <c r="L29" i="31"/>
  <c r="M29" i="31"/>
  <c r="N29" i="31"/>
  <c r="E30" i="31"/>
  <c r="K30" i="31"/>
  <c r="L30" i="31"/>
  <c r="M30" i="31"/>
  <c r="N30" i="31"/>
  <c r="E31" i="31"/>
  <c r="K31" i="31"/>
  <c r="N31" i="31"/>
  <c r="L31" i="31"/>
  <c r="M31" i="31"/>
  <c r="E32" i="31"/>
  <c r="K32" i="31"/>
  <c r="L32" i="31"/>
  <c r="M32" i="31"/>
  <c r="N32" i="31"/>
  <c r="E33" i="31"/>
  <c r="K33" i="31"/>
  <c r="N33" i="31"/>
  <c r="L33" i="31"/>
  <c r="M33" i="31"/>
  <c r="E34" i="31"/>
  <c r="K34" i="31"/>
  <c r="L34" i="31"/>
  <c r="M34" i="31"/>
  <c r="N34" i="31"/>
  <c r="K35" i="31"/>
  <c r="L35" i="31"/>
  <c r="M35" i="31"/>
  <c r="N35" i="31"/>
  <c r="K6" i="30"/>
  <c r="L6" i="30"/>
  <c r="M6" i="30"/>
  <c r="N6" i="30"/>
  <c r="K7" i="30"/>
  <c r="L7" i="30"/>
  <c r="M7" i="30"/>
  <c r="N7" i="30"/>
  <c r="K8" i="30"/>
  <c r="L8" i="30"/>
  <c r="M8" i="30"/>
  <c r="N8" i="30"/>
  <c r="K9" i="30"/>
  <c r="L9" i="30"/>
  <c r="M9" i="30"/>
  <c r="N9" i="30"/>
  <c r="K10" i="30"/>
  <c r="L10" i="30"/>
  <c r="M10" i="30"/>
  <c r="N10" i="30"/>
  <c r="K11" i="30"/>
  <c r="L11" i="30"/>
  <c r="M11" i="30"/>
  <c r="N11" i="30"/>
  <c r="K12" i="30"/>
  <c r="L12" i="30"/>
  <c r="M12" i="30"/>
  <c r="N12" i="30"/>
  <c r="K13" i="30"/>
  <c r="L13" i="30"/>
  <c r="M13" i="30"/>
  <c r="N13" i="30"/>
  <c r="K14" i="30"/>
  <c r="L14" i="30"/>
  <c r="M14" i="30"/>
  <c r="N14" i="30"/>
  <c r="K15" i="30"/>
  <c r="L15" i="30"/>
  <c r="M15" i="30"/>
  <c r="N15" i="30"/>
  <c r="K16" i="30"/>
  <c r="L16" i="30"/>
  <c r="M16" i="30"/>
  <c r="N16" i="30"/>
  <c r="K17" i="30"/>
  <c r="L17" i="30"/>
  <c r="M17" i="30"/>
  <c r="N17" i="30"/>
  <c r="K18" i="30"/>
  <c r="L18" i="30"/>
  <c r="M18" i="30"/>
  <c r="N18" i="30"/>
  <c r="K19" i="30"/>
  <c r="L19" i="30"/>
  <c r="M19" i="30"/>
  <c r="N19" i="30"/>
  <c r="K20" i="30"/>
  <c r="L20" i="30"/>
  <c r="M20" i="30"/>
  <c r="N20" i="30"/>
  <c r="K21" i="30"/>
  <c r="L21" i="30"/>
  <c r="M21" i="30"/>
  <c r="N21" i="30"/>
  <c r="K22" i="30"/>
  <c r="L22" i="30"/>
  <c r="M22" i="30"/>
  <c r="N22" i="30"/>
  <c r="K23" i="30"/>
  <c r="L23" i="30"/>
  <c r="M23" i="30"/>
  <c r="N23" i="30"/>
  <c r="K24" i="30"/>
  <c r="L24" i="30"/>
  <c r="M24" i="30"/>
  <c r="N24" i="30"/>
  <c r="K25" i="30"/>
  <c r="L25" i="30"/>
  <c r="M25" i="30"/>
  <c r="N25" i="30"/>
  <c r="K26" i="30"/>
  <c r="L26" i="30"/>
  <c r="M26" i="30"/>
  <c r="N26" i="30"/>
  <c r="E27" i="30"/>
  <c r="K27" i="30"/>
  <c r="N27" i="30"/>
  <c r="L27" i="30"/>
  <c r="M27" i="30"/>
  <c r="K28" i="30"/>
  <c r="L28" i="30"/>
  <c r="M28" i="30"/>
  <c r="N28" i="30"/>
  <c r="E29" i="30"/>
  <c r="K29" i="30"/>
  <c r="L29" i="30"/>
  <c r="M29" i="30"/>
  <c r="N29" i="30"/>
  <c r="B30" i="30"/>
  <c r="K30" i="30"/>
  <c r="N30" i="30"/>
  <c r="L30" i="30"/>
  <c r="M30" i="30"/>
  <c r="K31" i="30"/>
  <c r="L31" i="30"/>
  <c r="M31" i="30"/>
  <c r="N31" i="30"/>
  <c r="K32" i="30"/>
  <c r="L32" i="30"/>
  <c r="M32" i="30"/>
  <c r="N32" i="30"/>
  <c r="B33" i="30"/>
  <c r="K33" i="30"/>
  <c r="L33" i="30"/>
  <c r="M33" i="30"/>
  <c r="N33" i="30"/>
  <c r="K34" i="30"/>
  <c r="L34" i="30"/>
  <c r="M34" i="30"/>
  <c r="N34" i="30"/>
  <c r="K35" i="30"/>
  <c r="L35" i="30"/>
  <c r="M35" i="30"/>
  <c r="N35" i="30"/>
  <c r="E6" i="29"/>
  <c r="K6" i="29"/>
  <c r="N6" i="29"/>
  <c r="L6" i="29"/>
  <c r="M6" i="29"/>
  <c r="E7" i="29"/>
  <c r="K7" i="29"/>
  <c r="L7" i="29"/>
  <c r="M7" i="29"/>
  <c r="N7" i="29"/>
  <c r="E8" i="29"/>
  <c r="K8" i="29"/>
  <c r="N8" i="29"/>
  <c r="L8" i="29"/>
  <c r="M8" i="29"/>
  <c r="E9" i="29"/>
  <c r="K9" i="29"/>
  <c r="L9" i="29"/>
  <c r="M9" i="29"/>
  <c r="N9" i="29"/>
  <c r="E10" i="29"/>
  <c r="K10" i="29"/>
  <c r="N10" i="29"/>
  <c r="L10" i="29"/>
  <c r="M10" i="29"/>
  <c r="E11" i="29"/>
  <c r="K11" i="29"/>
  <c r="L11" i="29"/>
  <c r="M11" i="29"/>
  <c r="N11" i="29"/>
  <c r="E12" i="29"/>
  <c r="K12" i="29"/>
  <c r="N12" i="29"/>
  <c r="L12" i="29"/>
  <c r="M12" i="29"/>
  <c r="E13" i="29"/>
  <c r="K13" i="29"/>
  <c r="L13" i="29"/>
  <c r="M13" i="29"/>
  <c r="N13" i="29"/>
  <c r="E14" i="29"/>
  <c r="K14" i="29"/>
  <c r="N14" i="29"/>
  <c r="L14" i="29"/>
  <c r="M14" i="29"/>
  <c r="E15" i="29"/>
  <c r="K15" i="29"/>
  <c r="L15" i="29"/>
  <c r="M15" i="29"/>
  <c r="N15" i="29"/>
  <c r="E16" i="29"/>
  <c r="K16" i="29"/>
  <c r="N16" i="29"/>
  <c r="L16" i="29"/>
  <c r="M16" i="29"/>
  <c r="E17" i="29"/>
  <c r="K17" i="29"/>
  <c r="L17" i="29"/>
  <c r="M17" i="29"/>
  <c r="N17" i="29"/>
  <c r="E18" i="29"/>
  <c r="K18" i="29"/>
  <c r="N18" i="29"/>
  <c r="L18" i="29"/>
  <c r="M18" i="29"/>
  <c r="E19" i="29"/>
  <c r="K19" i="29"/>
  <c r="L19" i="29"/>
  <c r="M19" i="29"/>
  <c r="N19" i="29"/>
  <c r="E20" i="29"/>
  <c r="K20" i="29"/>
  <c r="N20" i="29"/>
  <c r="L20" i="29"/>
  <c r="M20" i="29"/>
  <c r="E21" i="29"/>
  <c r="K21" i="29"/>
  <c r="L21" i="29"/>
  <c r="M21" i="29"/>
  <c r="N21" i="29"/>
  <c r="E22" i="29"/>
  <c r="K22" i="29"/>
  <c r="N22" i="29"/>
  <c r="L22" i="29"/>
  <c r="M22" i="29"/>
  <c r="E23" i="29"/>
  <c r="K23" i="29"/>
  <c r="L23" i="29"/>
  <c r="M23" i="29"/>
  <c r="N23" i="29"/>
  <c r="E24" i="29"/>
  <c r="K24" i="29"/>
  <c r="N24" i="29"/>
  <c r="L24" i="29"/>
  <c r="M24" i="29"/>
  <c r="E25" i="29"/>
  <c r="K25" i="29"/>
  <c r="L25" i="29"/>
  <c r="M25" i="29"/>
  <c r="N25" i="29"/>
  <c r="E26" i="29"/>
  <c r="K26" i="29"/>
  <c r="N26" i="29"/>
  <c r="L26" i="29"/>
  <c r="M26" i="29"/>
  <c r="E27" i="29"/>
  <c r="K27" i="29"/>
  <c r="L27" i="29"/>
  <c r="M27" i="29"/>
  <c r="N27" i="29"/>
  <c r="E28" i="29"/>
  <c r="K28" i="29"/>
  <c r="N28" i="29"/>
  <c r="L28" i="29"/>
  <c r="M28" i="29"/>
  <c r="E29" i="29"/>
  <c r="K29" i="29"/>
  <c r="L29" i="29"/>
  <c r="M29" i="29"/>
  <c r="N29" i="29"/>
  <c r="B30" i="29"/>
  <c r="E30" i="29"/>
  <c r="L30" i="29"/>
  <c r="M30" i="29"/>
  <c r="E31" i="29"/>
  <c r="K31" i="29"/>
  <c r="N31" i="29"/>
  <c r="L31" i="29"/>
  <c r="M31" i="29"/>
  <c r="E32" i="29"/>
  <c r="K32" i="29"/>
  <c r="L32" i="29"/>
  <c r="M32" i="29"/>
  <c r="N32" i="29"/>
  <c r="B33" i="29"/>
  <c r="E33" i="29"/>
  <c r="K33" i="29"/>
  <c r="L33" i="29"/>
  <c r="M33" i="29"/>
  <c r="N33" i="29"/>
  <c r="E34" i="29"/>
  <c r="K34" i="29"/>
  <c r="L34" i="29"/>
  <c r="M34" i="29"/>
  <c r="N34" i="29"/>
  <c r="K35" i="29"/>
  <c r="L35" i="29"/>
  <c r="M35" i="29"/>
  <c r="N35" i="29"/>
  <c r="K6" i="28"/>
  <c r="L6" i="28"/>
  <c r="M6" i="28"/>
  <c r="N6" i="28"/>
  <c r="K7" i="28"/>
  <c r="L7" i="28"/>
  <c r="M7" i="28"/>
  <c r="N7" i="28"/>
  <c r="K8" i="28"/>
  <c r="L8" i="28"/>
  <c r="M8" i="28"/>
  <c r="N8" i="28"/>
  <c r="K9" i="28"/>
  <c r="L9" i="28"/>
  <c r="M9" i="28"/>
  <c r="N9" i="28"/>
  <c r="K10" i="28"/>
  <c r="L10" i="28"/>
  <c r="M10" i="28"/>
  <c r="N10" i="28"/>
  <c r="K11" i="28"/>
  <c r="L11" i="28"/>
  <c r="M11" i="28"/>
  <c r="N11" i="28"/>
  <c r="K12" i="28"/>
  <c r="L12" i="28"/>
  <c r="M12" i="28"/>
  <c r="N12" i="28"/>
  <c r="K13" i="28"/>
  <c r="L13" i="28"/>
  <c r="M13" i="28"/>
  <c r="N13" i="28"/>
  <c r="K14" i="28"/>
  <c r="L14" i="28"/>
  <c r="M14" i="28"/>
  <c r="N14" i="28"/>
  <c r="K15" i="28"/>
  <c r="L15" i="28"/>
  <c r="M15" i="28"/>
  <c r="N15" i="28"/>
  <c r="K16" i="28"/>
  <c r="L16" i="28"/>
  <c r="M16" i="28"/>
  <c r="N16" i="28"/>
  <c r="K17" i="28"/>
  <c r="L17" i="28"/>
  <c r="M17" i="28"/>
  <c r="N17" i="28"/>
  <c r="K18" i="28"/>
  <c r="L18" i="28"/>
  <c r="M18" i="28"/>
  <c r="N18" i="28"/>
  <c r="K19" i="28"/>
  <c r="L19" i="28"/>
  <c r="M19" i="28"/>
  <c r="N19" i="28"/>
  <c r="E20" i="28"/>
  <c r="K20" i="28"/>
  <c r="L20" i="28"/>
  <c r="M20" i="28"/>
  <c r="N20" i="28"/>
  <c r="E21" i="28"/>
  <c r="K21" i="28"/>
  <c r="L21" i="28"/>
  <c r="M21" i="28"/>
  <c r="N21" i="28"/>
  <c r="K22" i="28"/>
  <c r="L22" i="28"/>
  <c r="M22" i="28"/>
  <c r="N22" i="28"/>
  <c r="E23" i="28"/>
  <c r="K23" i="28"/>
  <c r="L23" i="28"/>
  <c r="M23" i="28"/>
  <c r="N23" i="28"/>
  <c r="E24" i="28"/>
  <c r="K24" i="28"/>
  <c r="L24" i="28"/>
  <c r="M24" i="28"/>
  <c r="N24" i="28"/>
  <c r="E25" i="28"/>
  <c r="K25" i="28"/>
  <c r="L25" i="28"/>
  <c r="M25" i="28"/>
  <c r="N25" i="28"/>
  <c r="E26" i="28"/>
  <c r="K26" i="28"/>
  <c r="L26" i="28"/>
  <c r="M26" i="28"/>
  <c r="N26" i="28"/>
  <c r="K27" i="28"/>
  <c r="L27" i="28"/>
  <c r="M27" i="28"/>
  <c r="N27" i="28"/>
  <c r="K28" i="28"/>
  <c r="L28" i="28"/>
  <c r="M28" i="28"/>
  <c r="N28" i="28"/>
  <c r="E29" i="28"/>
  <c r="K29" i="28"/>
  <c r="L29" i="28"/>
  <c r="M29" i="28"/>
  <c r="N29" i="28"/>
  <c r="B30" i="28"/>
  <c r="E30" i="28"/>
  <c r="K30" i="28"/>
  <c r="L30" i="28"/>
  <c r="M30" i="28"/>
  <c r="N30" i="28"/>
  <c r="E31" i="28"/>
  <c r="K31" i="28"/>
  <c r="L31" i="28"/>
  <c r="M31" i="28"/>
  <c r="N31" i="28"/>
  <c r="E32" i="28"/>
  <c r="K32" i="28"/>
  <c r="L32" i="28"/>
  <c r="M32" i="28"/>
  <c r="N32" i="28"/>
  <c r="B33" i="28"/>
  <c r="E33" i="28"/>
  <c r="K33" i="28"/>
  <c r="L33" i="28"/>
  <c r="M33" i="28"/>
  <c r="N33" i="28"/>
  <c r="E34" i="28"/>
  <c r="K34" i="28"/>
  <c r="L34" i="28"/>
  <c r="M34" i="28"/>
  <c r="N34" i="28"/>
  <c r="K35" i="28"/>
  <c r="L35" i="28"/>
  <c r="M35" i="28"/>
  <c r="N35" i="28"/>
  <c r="K6" i="27"/>
  <c r="L6" i="27"/>
  <c r="M6" i="27"/>
  <c r="N6" i="27"/>
  <c r="K7" i="27"/>
  <c r="L7" i="27"/>
  <c r="M7" i="27"/>
  <c r="N7" i="27"/>
  <c r="K8" i="27"/>
  <c r="L8" i="27"/>
  <c r="M8" i="27"/>
  <c r="N8" i="27"/>
  <c r="K9" i="27"/>
  <c r="L9" i="27"/>
  <c r="M9" i="27"/>
  <c r="N9" i="27"/>
  <c r="K10" i="27"/>
  <c r="L10" i="27"/>
  <c r="M10" i="27"/>
  <c r="N10" i="27"/>
  <c r="K11" i="27"/>
  <c r="L11" i="27"/>
  <c r="M11" i="27"/>
  <c r="N11" i="27"/>
  <c r="K12" i="27"/>
  <c r="L12" i="27"/>
  <c r="M12" i="27"/>
  <c r="N12" i="27"/>
  <c r="K13" i="27"/>
  <c r="L13" i="27"/>
  <c r="M13" i="27"/>
  <c r="N13" i="27"/>
  <c r="K14" i="27"/>
  <c r="L14" i="27"/>
  <c r="M14" i="27"/>
  <c r="N14" i="27"/>
  <c r="K15" i="27"/>
  <c r="L15" i="27"/>
  <c r="M15" i="27"/>
  <c r="N15" i="27"/>
  <c r="K16" i="27"/>
  <c r="L16" i="27"/>
  <c r="M16" i="27"/>
  <c r="N16" i="27"/>
  <c r="K17" i="27"/>
  <c r="L17" i="27"/>
  <c r="M17" i="27"/>
  <c r="N17" i="27"/>
  <c r="K18" i="27"/>
  <c r="L18" i="27"/>
  <c r="M18" i="27"/>
  <c r="N18" i="27"/>
  <c r="K19" i="27"/>
  <c r="L19" i="27"/>
  <c r="M19" i="27"/>
  <c r="N19" i="27"/>
  <c r="K20" i="27"/>
  <c r="L20" i="27"/>
  <c r="M20" i="27"/>
  <c r="N20" i="27"/>
  <c r="K21" i="27"/>
  <c r="L21" i="27"/>
  <c r="M21" i="27"/>
  <c r="N21" i="27"/>
  <c r="K22" i="27"/>
  <c r="L22" i="27"/>
  <c r="M22" i="27"/>
  <c r="N22" i="27"/>
  <c r="K23" i="27"/>
  <c r="L23" i="27"/>
  <c r="M23" i="27"/>
  <c r="N23" i="27"/>
  <c r="K24" i="27"/>
  <c r="L24" i="27"/>
  <c r="M24" i="27"/>
  <c r="N24" i="27"/>
  <c r="K25" i="27"/>
  <c r="L25" i="27"/>
  <c r="M25" i="27"/>
  <c r="N25" i="27"/>
  <c r="K26" i="27"/>
  <c r="L26" i="27"/>
  <c r="M26" i="27"/>
  <c r="N26" i="27"/>
  <c r="E27" i="27"/>
  <c r="K27" i="27"/>
  <c r="L27" i="27"/>
  <c r="M27" i="27"/>
  <c r="N27" i="27"/>
  <c r="E28" i="27"/>
  <c r="K28" i="27"/>
  <c r="L28" i="27"/>
  <c r="M28" i="27"/>
  <c r="N28" i="27"/>
  <c r="E29" i="27"/>
  <c r="K29" i="27"/>
  <c r="L29" i="27"/>
  <c r="M29" i="27"/>
  <c r="N29" i="27"/>
  <c r="B30" i="27"/>
  <c r="E30" i="27"/>
  <c r="K30" i="27"/>
  <c r="L30" i="27"/>
  <c r="M30" i="27"/>
  <c r="N30" i="27"/>
  <c r="E31" i="27"/>
  <c r="K31" i="27"/>
  <c r="L31" i="27"/>
  <c r="M31" i="27"/>
  <c r="N31" i="27"/>
  <c r="E32" i="27"/>
  <c r="K32" i="27"/>
  <c r="L32" i="27"/>
  <c r="M32" i="27"/>
  <c r="N32" i="27"/>
  <c r="B33" i="27"/>
  <c r="E33" i="27"/>
  <c r="K33" i="27"/>
  <c r="L33" i="27"/>
  <c r="M33" i="27"/>
  <c r="N33" i="27"/>
  <c r="E34" i="27"/>
  <c r="K34" i="27"/>
  <c r="L34" i="27"/>
  <c r="M34" i="27"/>
  <c r="N34" i="27"/>
  <c r="K35" i="27"/>
  <c r="L35" i="27"/>
  <c r="M35" i="27"/>
  <c r="N35" i="27"/>
  <c r="K6" i="26"/>
  <c r="L6" i="26"/>
  <c r="M6" i="26"/>
  <c r="N6" i="26"/>
  <c r="K7" i="26"/>
  <c r="L7" i="26"/>
  <c r="M7" i="26"/>
  <c r="N7" i="26"/>
  <c r="K8" i="26"/>
  <c r="L8" i="26"/>
  <c r="M8" i="26"/>
  <c r="N8" i="26"/>
  <c r="K9" i="26"/>
  <c r="L9" i="26"/>
  <c r="M9" i="26"/>
  <c r="N9" i="26"/>
  <c r="K10" i="26"/>
  <c r="L10" i="26"/>
  <c r="M10" i="26"/>
  <c r="N10" i="26"/>
  <c r="K11" i="26"/>
  <c r="L11" i="26"/>
  <c r="M11" i="26"/>
  <c r="N11" i="26"/>
  <c r="E12" i="26"/>
  <c r="K12" i="26"/>
  <c r="L12" i="26"/>
  <c r="M12" i="26"/>
  <c r="N12" i="26"/>
  <c r="E13" i="26"/>
  <c r="K13" i="26"/>
  <c r="L13" i="26"/>
  <c r="M13" i="26"/>
  <c r="N13" i="26"/>
  <c r="K14" i="26"/>
  <c r="L14" i="26"/>
  <c r="M14" i="26"/>
  <c r="N14" i="26"/>
  <c r="K15" i="26"/>
  <c r="L15" i="26"/>
  <c r="M15" i="26"/>
  <c r="N15" i="26"/>
  <c r="E16" i="26"/>
  <c r="K16" i="26"/>
  <c r="L16" i="26"/>
  <c r="M16" i="26"/>
  <c r="N16" i="26"/>
  <c r="E17" i="26"/>
  <c r="K17" i="26"/>
  <c r="N17" i="26"/>
  <c r="L17" i="26"/>
  <c r="M17" i="26"/>
  <c r="E18" i="26"/>
  <c r="K18" i="26"/>
  <c r="L18" i="26"/>
  <c r="M18" i="26"/>
  <c r="N18" i="26"/>
  <c r="E19" i="26"/>
  <c r="K19" i="26"/>
  <c r="N19" i="26"/>
  <c r="L19" i="26"/>
  <c r="M19" i="26"/>
  <c r="E20" i="26"/>
  <c r="K20" i="26"/>
  <c r="L20" i="26"/>
  <c r="M20" i="26"/>
  <c r="N20" i="26"/>
  <c r="E21" i="26"/>
  <c r="K21" i="26"/>
  <c r="N21" i="26"/>
  <c r="L21" i="26"/>
  <c r="M21" i="26"/>
  <c r="K22" i="26"/>
  <c r="L22" i="26"/>
  <c r="M22" i="26"/>
  <c r="N22" i="26"/>
  <c r="K23" i="26"/>
  <c r="L23" i="26"/>
  <c r="M23" i="26"/>
  <c r="N23" i="26"/>
  <c r="K24" i="26"/>
  <c r="L24" i="26"/>
  <c r="M24" i="26"/>
  <c r="N24" i="26"/>
  <c r="K25" i="26"/>
  <c r="L25" i="26"/>
  <c r="M25" i="26"/>
  <c r="N25" i="26"/>
  <c r="K26" i="26"/>
  <c r="L26" i="26"/>
  <c r="M26" i="26"/>
  <c r="N26" i="26"/>
  <c r="K27" i="26"/>
  <c r="L27" i="26"/>
  <c r="M27" i="26"/>
  <c r="N27" i="26"/>
  <c r="E28" i="26"/>
  <c r="K28" i="26"/>
  <c r="L28" i="26"/>
  <c r="M28" i="26"/>
  <c r="N28" i="26"/>
  <c r="K29" i="26"/>
  <c r="L29" i="26"/>
  <c r="M29" i="26"/>
  <c r="N29" i="26"/>
  <c r="B30" i="26"/>
  <c r="E30" i="26"/>
  <c r="K30" i="26"/>
  <c r="L30" i="26"/>
  <c r="M30" i="26"/>
  <c r="N30" i="26"/>
  <c r="E31" i="26"/>
  <c r="K31" i="26"/>
  <c r="N31" i="26"/>
  <c r="L31" i="26"/>
  <c r="M31" i="26"/>
  <c r="E32" i="26"/>
  <c r="K32" i="26"/>
  <c r="L32" i="26"/>
  <c r="M32" i="26"/>
  <c r="N32" i="26"/>
  <c r="K33" i="26"/>
  <c r="L33" i="26"/>
  <c r="M33" i="26"/>
  <c r="N33" i="26"/>
  <c r="E34" i="26"/>
  <c r="K34" i="26"/>
  <c r="N34" i="26"/>
  <c r="L34" i="26"/>
  <c r="M34" i="26"/>
  <c r="K35" i="26"/>
  <c r="L35" i="26"/>
  <c r="M35" i="26"/>
  <c r="N35" i="26"/>
  <c r="K6" i="25"/>
  <c r="L6" i="25"/>
  <c r="M6" i="25"/>
  <c r="N6" i="25"/>
  <c r="K7" i="25"/>
  <c r="L7" i="25"/>
  <c r="M7" i="25"/>
  <c r="N7" i="25"/>
  <c r="K8" i="25"/>
  <c r="L8" i="25"/>
  <c r="M8" i="25"/>
  <c r="N8" i="25"/>
  <c r="K9" i="25"/>
  <c r="L9" i="25"/>
  <c r="M9" i="25"/>
  <c r="N9" i="25"/>
  <c r="K10" i="25"/>
  <c r="L10" i="25"/>
  <c r="M10" i="25"/>
  <c r="N10" i="25"/>
  <c r="K11" i="25"/>
  <c r="L11" i="25"/>
  <c r="M11" i="25"/>
  <c r="N11" i="25"/>
  <c r="K12" i="25"/>
  <c r="L12" i="25"/>
  <c r="M12" i="25"/>
  <c r="N12" i="25"/>
  <c r="K13" i="25"/>
  <c r="L13" i="25"/>
  <c r="M13" i="25"/>
  <c r="N13" i="25"/>
  <c r="K14" i="25"/>
  <c r="L14" i="25"/>
  <c r="M14" i="25"/>
  <c r="N14" i="25"/>
  <c r="K15" i="25"/>
  <c r="L15" i="25"/>
  <c r="M15" i="25"/>
  <c r="N15" i="25"/>
  <c r="K16" i="25"/>
  <c r="L16" i="25"/>
  <c r="M16" i="25"/>
  <c r="N16" i="25"/>
  <c r="K17" i="25"/>
  <c r="L17" i="25"/>
  <c r="M17" i="25"/>
  <c r="N17" i="25"/>
  <c r="K18" i="25"/>
  <c r="L18" i="25"/>
  <c r="M18" i="25"/>
  <c r="N18" i="25"/>
  <c r="K19" i="25"/>
  <c r="L19" i="25"/>
  <c r="M19" i="25"/>
  <c r="N19" i="25"/>
  <c r="K20" i="25"/>
  <c r="L20" i="25"/>
  <c r="M20" i="25"/>
  <c r="N20" i="25"/>
  <c r="K21" i="25"/>
  <c r="L21" i="25"/>
  <c r="M21" i="25"/>
  <c r="N21" i="25"/>
  <c r="K22" i="25"/>
  <c r="L22" i="25"/>
  <c r="M22" i="25"/>
  <c r="N22" i="25"/>
  <c r="K23" i="25"/>
  <c r="L23" i="25"/>
  <c r="M23" i="25"/>
  <c r="N23" i="25"/>
  <c r="K24" i="25"/>
  <c r="L24" i="25"/>
  <c r="M24" i="25"/>
  <c r="N24" i="25"/>
  <c r="K25" i="25"/>
  <c r="L25" i="25"/>
  <c r="M25" i="25"/>
  <c r="N25" i="25"/>
  <c r="K26" i="25"/>
  <c r="L26" i="25"/>
  <c r="M26" i="25"/>
  <c r="N26" i="25"/>
  <c r="K27" i="25"/>
  <c r="L27" i="25"/>
  <c r="M27" i="25"/>
  <c r="N27" i="25"/>
  <c r="K28" i="25"/>
  <c r="L28" i="25"/>
  <c r="M28" i="25"/>
  <c r="N28" i="25"/>
  <c r="K29" i="25"/>
  <c r="L29" i="25"/>
  <c r="M29" i="25"/>
  <c r="N29" i="25"/>
  <c r="B30" i="25"/>
  <c r="K30" i="25"/>
  <c r="L30" i="25"/>
  <c r="M30" i="25"/>
  <c r="N30" i="25"/>
  <c r="K31" i="25"/>
  <c r="L31" i="25"/>
  <c r="M31" i="25"/>
  <c r="N31" i="25"/>
  <c r="K32" i="25"/>
  <c r="L32" i="25"/>
  <c r="M32" i="25"/>
  <c r="N32" i="25"/>
  <c r="B33" i="25"/>
  <c r="K33" i="25"/>
  <c r="N33" i="25"/>
  <c r="L33" i="25"/>
  <c r="M33" i="25"/>
  <c r="K34" i="25"/>
  <c r="L34" i="25"/>
  <c r="M34" i="25"/>
  <c r="N34" i="25"/>
  <c r="K35" i="25"/>
  <c r="L35" i="25"/>
  <c r="M35" i="25"/>
  <c r="N35" i="25"/>
  <c r="K6" i="24"/>
  <c r="L6" i="24"/>
  <c r="M6" i="24"/>
  <c r="N6" i="24"/>
  <c r="K7" i="24"/>
  <c r="L7" i="24"/>
  <c r="M7" i="24"/>
  <c r="N7" i="24"/>
  <c r="K8" i="24"/>
  <c r="L8" i="24"/>
  <c r="M8" i="24"/>
  <c r="N8" i="24"/>
  <c r="K9" i="24"/>
  <c r="L9" i="24"/>
  <c r="M9" i="24"/>
  <c r="N9" i="24"/>
  <c r="K10" i="24"/>
  <c r="L10" i="24"/>
  <c r="M10" i="24"/>
  <c r="N10" i="24"/>
  <c r="K11" i="24"/>
  <c r="L11" i="24"/>
  <c r="M11" i="24"/>
  <c r="N11" i="24"/>
  <c r="K12" i="24"/>
  <c r="L12" i="24"/>
  <c r="M12" i="24"/>
  <c r="N12" i="24"/>
  <c r="K13" i="24"/>
  <c r="L13" i="24"/>
  <c r="M13" i="24"/>
  <c r="N13" i="24"/>
  <c r="K14" i="24"/>
  <c r="L14" i="24"/>
  <c r="M14" i="24"/>
  <c r="N14" i="24"/>
  <c r="K15" i="24"/>
  <c r="L15" i="24"/>
  <c r="M15" i="24"/>
  <c r="N15" i="24"/>
  <c r="K16" i="24"/>
  <c r="L16" i="24"/>
  <c r="M16" i="24"/>
  <c r="N16" i="24"/>
  <c r="K17" i="24"/>
  <c r="L17" i="24"/>
  <c r="M17" i="24"/>
  <c r="N17" i="24"/>
  <c r="K18" i="24"/>
  <c r="L18" i="24"/>
  <c r="M18" i="24"/>
  <c r="N18" i="24"/>
  <c r="K19" i="24"/>
  <c r="L19" i="24"/>
  <c r="M19" i="24"/>
  <c r="N19" i="24"/>
  <c r="K20" i="24"/>
  <c r="L20" i="24"/>
  <c r="M20" i="24"/>
  <c r="N20" i="24"/>
  <c r="K21" i="24"/>
  <c r="L21" i="24"/>
  <c r="M21" i="24"/>
  <c r="N21" i="24"/>
  <c r="K22" i="24"/>
  <c r="L22" i="24"/>
  <c r="M22" i="24"/>
  <c r="N22" i="24"/>
  <c r="K23" i="24"/>
  <c r="L23" i="24"/>
  <c r="M23" i="24"/>
  <c r="N23" i="24"/>
  <c r="K24" i="24"/>
  <c r="L24" i="24"/>
  <c r="M24" i="24"/>
  <c r="N24" i="24"/>
  <c r="K25" i="24"/>
  <c r="L25" i="24"/>
  <c r="M25" i="24"/>
  <c r="N25" i="24"/>
  <c r="K26" i="24"/>
  <c r="L26" i="24"/>
  <c r="M26" i="24"/>
  <c r="N26" i="24"/>
  <c r="E27" i="24"/>
  <c r="K27" i="24"/>
  <c r="L27" i="24"/>
  <c r="M27" i="24"/>
  <c r="N27" i="24"/>
  <c r="E28" i="24"/>
  <c r="K28" i="24"/>
  <c r="N28" i="24"/>
  <c r="L28" i="24"/>
  <c r="M28" i="24"/>
  <c r="E29" i="24"/>
  <c r="K29" i="24"/>
  <c r="L29" i="24"/>
  <c r="M29" i="24"/>
  <c r="N29" i="24"/>
  <c r="B30" i="24"/>
  <c r="E30" i="24"/>
  <c r="K30" i="24"/>
  <c r="L30" i="24"/>
  <c r="M30" i="24"/>
  <c r="N30" i="24"/>
  <c r="E31" i="24"/>
  <c r="K31" i="24"/>
  <c r="N31" i="24"/>
  <c r="L31" i="24"/>
  <c r="M31" i="24"/>
  <c r="K32" i="24"/>
  <c r="L32" i="24"/>
  <c r="M32" i="24"/>
  <c r="N32" i="24"/>
  <c r="B33" i="24"/>
  <c r="K33" i="24"/>
  <c r="L33" i="24"/>
  <c r="M33" i="24"/>
  <c r="N33" i="24"/>
  <c r="K34" i="24"/>
  <c r="L34" i="24"/>
  <c r="M34" i="24"/>
  <c r="N34" i="24"/>
  <c r="K35" i="24"/>
  <c r="L35" i="24"/>
  <c r="M35" i="24"/>
  <c r="N35" i="24"/>
  <c r="K6" i="23"/>
  <c r="L6" i="23"/>
  <c r="M6" i="23"/>
  <c r="N6" i="23"/>
  <c r="K7" i="23"/>
  <c r="L7" i="23"/>
  <c r="M7" i="23"/>
  <c r="N7" i="23"/>
  <c r="K8" i="23"/>
  <c r="L8" i="23"/>
  <c r="M8" i="23"/>
  <c r="N8" i="23"/>
  <c r="K9" i="23"/>
  <c r="L9" i="23"/>
  <c r="M9" i="23"/>
  <c r="N9" i="23"/>
  <c r="K10" i="23"/>
  <c r="L10" i="23"/>
  <c r="M10" i="23"/>
  <c r="N10" i="23"/>
  <c r="K11" i="23"/>
  <c r="L11" i="23"/>
  <c r="M11" i="23"/>
  <c r="N11" i="23"/>
  <c r="K12" i="23"/>
  <c r="L12" i="23"/>
  <c r="M12" i="23"/>
  <c r="N12" i="23"/>
  <c r="K13" i="23"/>
  <c r="L13" i="23"/>
  <c r="M13" i="23"/>
  <c r="N13" i="23"/>
  <c r="K14" i="23"/>
  <c r="L14" i="23"/>
  <c r="M14" i="23"/>
  <c r="N14" i="23"/>
  <c r="K15" i="23"/>
  <c r="L15" i="23"/>
  <c r="M15" i="23"/>
  <c r="N15" i="23"/>
  <c r="K16" i="23"/>
  <c r="L16" i="23"/>
  <c r="M16" i="23"/>
  <c r="N16" i="23"/>
  <c r="K17" i="23"/>
  <c r="L17" i="23"/>
  <c r="M17" i="23"/>
  <c r="N17" i="23"/>
  <c r="K18" i="23"/>
  <c r="L18" i="23"/>
  <c r="M18" i="23"/>
  <c r="N18" i="23"/>
  <c r="K19" i="23"/>
  <c r="L19" i="23"/>
  <c r="M19" i="23"/>
  <c r="N19" i="23"/>
  <c r="K20" i="23"/>
  <c r="L20" i="23"/>
  <c r="M20" i="23"/>
  <c r="N20" i="23"/>
  <c r="K21" i="23"/>
  <c r="L21" i="23"/>
  <c r="M21" i="23"/>
  <c r="N21" i="23"/>
  <c r="K22" i="23"/>
  <c r="L22" i="23"/>
  <c r="M22" i="23"/>
  <c r="N22" i="23"/>
  <c r="K23" i="23"/>
  <c r="L23" i="23"/>
  <c r="M23" i="23"/>
  <c r="N23" i="23"/>
  <c r="K24" i="23"/>
  <c r="L24" i="23"/>
  <c r="M24" i="23"/>
  <c r="N24" i="23"/>
  <c r="K25" i="23"/>
  <c r="L25" i="23"/>
  <c r="M25" i="23"/>
  <c r="N25" i="23"/>
  <c r="K26" i="23"/>
  <c r="L26" i="23"/>
  <c r="M26" i="23"/>
  <c r="N26" i="23"/>
  <c r="K27" i="23"/>
  <c r="L27" i="23"/>
  <c r="M27" i="23"/>
  <c r="N27" i="23"/>
  <c r="K28" i="23"/>
  <c r="L28" i="23"/>
  <c r="M28" i="23"/>
  <c r="N28" i="23"/>
  <c r="K29" i="23"/>
  <c r="L29" i="23"/>
  <c r="M29" i="23"/>
  <c r="N29" i="23"/>
  <c r="K30" i="23"/>
  <c r="L30" i="23"/>
  <c r="M30" i="23"/>
  <c r="N30" i="23"/>
  <c r="K31" i="23"/>
  <c r="L31" i="23"/>
  <c r="M31" i="23"/>
  <c r="N31" i="23"/>
  <c r="K32" i="23"/>
  <c r="L32" i="23"/>
  <c r="M32" i="23"/>
  <c r="N32" i="23"/>
  <c r="K33" i="23"/>
  <c r="L33" i="23"/>
  <c r="M33" i="23"/>
  <c r="N33" i="23"/>
  <c r="K34" i="23"/>
  <c r="L34" i="23"/>
  <c r="M34" i="23"/>
  <c r="N34" i="23"/>
  <c r="K35" i="23"/>
  <c r="L35" i="23"/>
  <c r="M35" i="23"/>
  <c r="N35" i="23"/>
  <c r="K6" i="22"/>
  <c r="L6" i="22"/>
  <c r="M6" i="22"/>
  <c r="N6" i="22"/>
  <c r="K7" i="22"/>
  <c r="L7" i="22"/>
  <c r="M7" i="22"/>
  <c r="N7" i="22"/>
  <c r="K8" i="22"/>
  <c r="L8" i="22"/>
  <c r="M8" i="22"/>
  <c r="N8" i="22"/>
  <c r="K9" i="22"/>
  <c r="L9" i="22"/>
  <c r="M9" i="22"/>
  <c r="N9" i="22"/>
  <c r="K10" i="22"/>
  <c r="L10" i="22"/>
  <c r="M10" i="22"/>
  <c r="N10" i="22"/>
  <c r="K11" i="22"/>
  <c r="L11" i="22"/>
  <c r="M11" i="22"/>
  <c r="N11" i="22"/>
  <c r="K12" i="22"/>
  <c r="L12" i="22"/>
  <c r="M12" i="22"/>
  <c r="N12" i="22"/>
  <c r="E13" i="22"/>
  <c r="K13" i="22"/>
  <c r="N13" i="22"/>
  <c r="L13" i="22"/>
  <c r="M13" i="22"/>
  <c r="E14" i="22"/>
  <c r="K14" i="22"/>
  <c r="L14" i="22"/>
  <c r="M14" i="22"/>
  <c r="N14" i="22"/>
  <c r="E15" i="22"/>
  <c r="K15" i="22"/>
  <c r="N15" i="22"/>
  <c r="L15" i="22"/>
  <c r="M15" i="22"/>
  <c r="E16" i="22"/>
  <c r="K16" i="22"/>
  <c r="L16" i="22"/>
  <c r="M16" i="22"/>
  <c r="N16" i="22"/>
  <c r="E17" i="22"/>
  <c r="K17" i="22"/>
  <c r="N17" i="22"/>
  <c r="L17" i="22"/>
  <c r="M17" i="22"/>
  <c r="E18" i="22"/>
  <c r="K18" i="22"/>
  <c r="L18" i="22"/>
  <c r="M18" i="22"/>
  <c r="N18" i="22"/>
  <c r="K19" i="22"/>
  <c r="L19" i="22"/>
  <c r="M19" i="22"/>
  <c r="N19" i="22"/>
  <c r="E20" i="22"/>
  <c r="K20" i="22"/>
  <c r="N20" i="22"/>
  <c r="L20" i="22"/>
  <c r="M20" i="22"/>
  <c r="E21" i="22"/>
  <c r="K21" i="22"/>
  <c r="L21" i="22"/>
  <c r="M21" i="22"/>
  <c r="N21" i="22"/>
  <c r="E22" i="22"/>
  <c r="K22" i="22"/>
  <c r="N22" i="22"/>
  <c r="L22" i="22"/>
  <c r="M22" i="22"/>
  <c r="E23" i="22"/>
  <c r="K23" i="22"/>
  <c r="L23" i="22"/>
  <c r="M23" i="22"/>
  <c r="N23" i="22"/>
  <c r="E24" i="22"/>
  <c r="K24" i="22"/>
  <c r="N24" i="22"/>
  <c r="L24" i="22"/>
  <c r="M24" i="22"/>
  <c r="K25" i="22"/>
  <c r="L25" i="22"/>
  <c r="M25" i="22"/>
  <c r="N25" i="22"/>
  <c r="K26" i="22"/>
  <c r="L26" i="22"/>
  <c r="M26" i="22"/>
  <c r="N26" i="22"/>
  <c r="K27" i="22"/>
  <c r="L27" i="22"/>
  <c r="M27" i="22"/>
  <c r="N27" i="22"/>
  <c r="E28" i="22"/>
  <c r="K28" i="22"/>
  <c r="L28" i="22"/>
  <c r="M28" i="22"/>
  <c r="N28" i="22"/>
  <c r="K29" i="22"/>
  <c r="L29" i="22"/>
  <c r="M29" i="22"/>
  <c r="N29" i="22"/>
  <c r="B30" i="22"/>
  <c r="K30" i="22"/>
  <c r="N30" i="22"/>
  <c r="L30" i="22"/>
  <c r="M30" i="22"/>
  <c r="K31" i="22"/>
  <c r="L31" i="22"/>
  <c r="M31" i="22"/>
  <c r="N31" i="22"/>
  <c r="K32" i="22"/>
  <c r="L32" i="22"/>
  <c r="M32" i="22"/>
  <c r="N32" i="22"/>
  <c r="B33" i="22"/>
  <c r="E33" i="22"/>
  <c r="K33" i="22"/>
  <c r="N33" i="22"/>
  <c r="L33" i="22"/>
  <c r="M33" i="22"/>
  <c r="K34" i="22"/>
  <c r="L34" i="22"/>
  <c r="M34" i="22"/>
  <c r="N34" i="22"/>
  <c r="K35" i="22"/>
  <c r="L35" i="22"/>
  <c r="M35" i="22"/>
  <c r="N35" i="22"/>
  <c r="K6" i="21"/>
  <c r="L6" i="21"/>
  <c r="M6" i="21"/>
  <c r="N6" i="21"/>
  <c r="K7" i="21"/>
  <c r="L7" i="21"/>
  <c r="M7" i="21"/>
  <c r="N7" i="21"/>
  <c r="K8" i="21"/>
  <c r="L8" i="21"/>
  <c r="M8" i="21"/>
  <c r="N8" i="21"/>
  <c r="K9" i="21"/>
  <c r="L9" i="21"/>
  <c r="M9" i="21"/>
  <c r="N9" i="21"/>
  <c r="K10" i="21"/>
  <c r="L10" i="21"/>
  <c r="M10" i="21"/>
  <c r="N10" i="21"/>
  <c r="K11" i="21"/>
  <c r="L11" i="21"/>
  <c r="M11" i="21"/>
  <c r="N11" i="21"/>
  <c r="K12" i="21"/>
  <c r="L12" i="21"/>
  <c r="M12" i="21"/>
  <c r="N12" i="21"/>
  <c r="K13" i="21"/>
  <c r="L13" i="21"/>
  <c r="M13" i="21"/>
  <c r="N13" i="21"/>
  <c r="K14" i="21"/>
  <c r="L14" i="21"/>
  <c r="M14" i="21"/>
  <c r="N14" i="21"/>
  <c r="K15" i="21"/>
  <c r="L15" i="21"/>
  <c r="M15" i="21"/>
  <c r="N15" i="21"/>
  <c r="K16" i="21"/>
  <c r="L16" i="21"/>
  <c r="M16" i="21"/>
  <c r="N16" i="21"/>
  <c r="K17" i="21"/>
  <c r="L17" i="21"/>
  <c r="M17" i="21"/>
  <c r="N17" i="21"/>
  <c r="K18" i="21"/>
  <c r="L18" i="21"/>
  <c r="M18" i="21"/>
  <c r="N18" i="21"/>
  <c r="K19" i="21"/>
  <c r="L19" i="21"/>
  <c r="M19" i="21"/>
  <c r="N19" i="21"/>
  <c r="K20" i="21"/>
  <c r="L20" i="21"/>
  <c r="M20" i="21"/>
  <c r="N20" i="21"/>
  <c r="K21" i="21"/>
  <c r="L21" i="21"/>
  <c r="M21" i="21"/>
  <c r="N21" i="21"/>
  <c r="K22" i="21"/>
  <c r="L22" i="21"/>
  <c r="M22" i="21"/>
  <c r="N22" i="21"/>
  <c r="K23" i="21"/>
  <c r="L23" i="21"/>
  <c r="M23" i="21"/>
  <c r="N23" i="21"/>
  <c r="K24" i="21"/>
  <c r="L24" i="21"/>
  <c r="M24" i="21"/>
  <c r="N24" i="21"/>
  <c r="K25" i="21"/>
  <c r="L25" i="21"/>
  <c r="M25" i="21"/>
  <c r="N25" i="21"/>
  <c r="K26" i="21"/>
  <c r="L26" i="21"/>
  <c r="M26" i="21"/>
  <c r="N26" i="21"/>
  <c r="E27" i="21"/>
  <c r="K27" i="21"/>
  <c r="L27" i="21"/>
  <c r="M27" i="21"/>
  <c r="N27" i="21"/>
  <c r="K28" i="21"/>
  <c r="L28" i="21"/>
  <c r="M28" i="21"/>
  <c r="N28" i="21"/>
  <c r="E29" i="21"/>
  <c r="K29" i="21"/>
  <c r="N29" i="21"/>
  <c r="L29" i="21"/>
  <c r="M29" i="21"/>
  <c r="B30" i="21"/>
  <c r="K30" i="21"/>
  <c r="L30" i="21"/>
  <c r="M30" i="21"/>
  <c r="N30" i="21"/>
  <c r="K31" i="21"/>
  <c r="L31" i="21"/>
  <c r="M31" i="21"/>
  <c r="N31" i="21"/>
  <c r="K32" i="21"/>
  <c r="L32" i="21"/>
  <c r="M32" i="21"/>
  <c r="N32" i="21"/>
  <c r="B33" i="21"/>
  <c r="K33" i="21"/>
  <c r="N33" i="21"/>
  <c r="L33" i="21"/>
  <c r="M33" i="21"/>
  <c r="K34" i="21"/>
  <c r="L34" i="21"/>
  <c r="M34" i="21"/>
  <c r="N34" i="21"/>
  <c r="K35" i="21"/>
  <c r="L35" i="21"/>
  <c r="M35" i="21"/>
  <c r="N35" i="21"/>
  <c r="K6" i="55"/>
  <c r="L6" i="55"/>
  <c r="M6" i="55"/>
  <c r="N6" i="55"/>
  <c r="K7" i="55"/>
  <c r="L7" i="55"/>
  <c r="M7" i="55"/>
  <c r="N7" i="55"/>
  <c r="K8" i="55"/>
  <c r="L8" i="55"/>
  <c r="M8" i="55"/>
  <c r="N8" i="55"/>
  <c r="K9" i="55"/>
  <c r="L9" i="55"/>
  <c r="M9" i="55"/>
  <c r="N9" i="55"/>
  <c r="K10" i="55"/>
  <c r="L10" i="55"/>
  <c r="M10" i="55"/>
  <c r="N10" i="55"/>
  <c r="K11" i="55"/>
  <c r="L11" i="55"/>
  <c r="M11" i="55"/>
  <c r="N11" i="55"/>
  <c r="K12" i="55"/>
  <c r="L12" i="55"/>
  <c r="M12" i="55"/>
  <c r="N12" i="55"/>
  <c r="K13" i="55"/>
  <c r="L13" i="55"/>
  <c r="M13" i="55"/>
  <c r="N13" i="55"/>
  <c r="K14" i="55"/>
  <c r="L14" i="55"/>
  <c r="M14" i="55"/>
  <c r="N14" i="55"/>
  <c r="K15" i="55"/>
  <c r="L15" i="55"/>
  <c r="M15" i="55"/>
  <c r="N15" i="55"/>
  <c r="E16" i="55"/>
  <c r="K16" i="55"/>
  <c r="L16" i="55"/>
  <c r="M16" i="55"/>
  <c r="N16" i="55"/>
  <c r="K17" i="55"/>
  <c r="L17" i="55"/>
  <c r="M17" i="55"/>
  <c r="N17" i="55"/>
  <c r="K18" i="55"/>
  <c r="L18" i="55"/>
  <c r="M18" i="55"/>
  <c r="N18" i="55"/>
  <c r="K19" i="55"/>
  <c r="L19" i="55"/>
  <c r="M19" i="55"/>
  <c r="N19" i="55"/>
  <c r="E20" i="55"/>
  <c r="F20" i="55"/>
  <c r="K20" i="55"/>
  <c r="L20" i="55"/>
  <c r="M20" i="55"/>
  <c r="N20" i="55"/>
  <c r="E21" i="55"/>
  <c r="F21" i="55"/>
  <c r="K21" i="55"/>
  <c r="L21" i="55"/>
  <c r="M21" i="55"/>
  <c r="N21" i="55"/>
  <c r="E22" i="55"/>
  <c r="K22" i="55"/>
  <c r="N22" i="55"/>
  <c r="L22" i="55"/>
  <c r="M22" i="55"/>
  <c r="E23" i="55"/>
  <c r="K23" i="55"/>
  <c r="L23" i="55"/>
  <c r="M23" i="55"/>
  <c r="N23" i="55"/>
  <c r="E24" i="55"/>
  <c r="K24" i="55"/>
  <c r="N24" i="55"/>
  <c r="L24" i="55"/>
  <c r="M24" i="55"/>
  <c r="E25" i="55"/>
  <c r="F25" i="55"/>
  <c r="K25" i="55"/>
  <c r="L25" i="55"/>
  <c r="M25" i="55"/>
  <c r="N25" i="55"/>
  <c r="E26" i="55"/>
  <c r="F26" i="55"/>
  <c r="F26" i="4"/>
  <c r="K26" i="55"/>
  <c r="L26" i="55"/>
  <c r="M26" i="55"/>
  <c r="N26" i="55"/>
  <c r="E27" i="55"/>
  <c r="K27" i="55"/>
  <c r="L27" i="55"/>
  <c r="M27" i="55"/>
  <c r="N27" i="55"/>
  <c r="K28" i="55"/>
  <c r="L28" i="55"/>
  <c r="M28" i="55"/>
  <c r="N28" i="55"/>
  <c r="K29" i="55"/>
  <c r="L29" i="55"/>
  <c r="M29" i="55"/>
  <c r="N29" i="55"/>
  <c r="E30" i="55"/>
  <c r="K30" i="55"/>
  <c r="N30" i="55"/>
  <c r="L30" i="55"/>
  <c r="M30" i="55"/>
  <c r="E31" i="55"/>
  <c r="K31" i="55"/>
  <c r="L31" i="55"/>
  <c r="M31" i="55"/>
  <c r="N31" i="55"/>
  <c r="E32" i="55"/>
  <c r="K32" i="55"/>
  <c r="N32" i="55"/>
  <c r="L32" i="55"/>
  <c r="M32" i="55"/>
  <c r="B33" i="55"/>
  <c r="E33" i="55"/>
  <c r="K33" i="55"/>
  <c r="N33" i="55"/>
  <c r="L33" i="55"/>
  <c r="M33" i="55"/>
  <c r="E34" i="55"/>
  <c r="K34" i="55"/>
  <c r="L34" i="55"/>
  <c r="M34" i="55"/>
  <c r="N34" i="55"/>
  <c r="K35" i="55"/>
  <c r="L35" i="55"/>
  <c r="M35" i="55"/>
  <c r="N35" i="55"/>
  <c r="K6" i="20"/>
  <c r="L6" i="20"/>
  <c r="M6" i="20"/>
  <c r="N6" i="20"/>
  <c r="E7" i="20"/>
  <c r="K7" i="20"/>
  <c r="N7" i="20"/>
  <c r="L7" i="20"/>
  <c r="M7" i="20"/>
  <c r="E8" i="20"/>
  <c r="K8" i="20"/>
  <c r="L8" i="20"/>
  <c r="M8" i="20"/>
  <c r="N8" i="20"/>
  <c r="E9" i="20"/>
  <c r="K9" i="20"/>
  <c r="N9" i="20"/>
  <c r="L9" i="20"/>
  <c r="M9" i="20"/>
  <c r="E10" i="20"/>
  <c r="K10" i="20"/>
  <c r="L10" i="20"/>
  <c r="M10" i="20"/>
  <c r="N10" i="20"/>
  <c r="E11" i="20"/>
  <c r="K11" i="20"/>
  <c r="N11" i="20"/>
  <c r="L11" i="20"/>
  <c r="M11" i="20"/>
  <c r="K12" i="20"/>
  <c r="L12" i="20"/>
  <c r="M12" i="20"/>
  <c r="N12" i="20"/>
  <c r="K13" i="20"/>
  <c r="L13" i="20"/>
  <c r="M13" i="20"/>
  <c r="N13" i="20"/>
  <c r="K14" i="20"/>
  <c r="L14" i="20"/>
  <c r="M14" i="20"/>
  <c r="N14" i="20"/>
  <c r="K15" i="20"/>
  <c r="L15" i="20"/>
  <c r="M15" i="20"/>
  <c r="N15" i="20"/>
  <c r="K16" i="20"/>
  <c r="L16" i="20"/>
  <c r="M16" i="20"/>
  <c r="N16" i="20"/>
  <c r="K17" i="20"/>
  <c r="L17" i="20"/>
  <c r="M17" i="20"/>
  <c r="N17" i="20"/>
  <c r="K18" i="20"/>
  <c r="L18" i="20"/>
  <c r="M18" i="20"/>
  <c r="N18" i="20"/>
  <c r="K19" i="20"/>
  <c r="L19" i="20"/>
  <c r="M19" i="20"/>
  <c r="N19" i="20"/>
  <c r="K20" i="20"/>
  <c r="L20" i="20"/>
  <c r="M20" i="20"/>
  <c r="N20" i="20"/>
  <c r="K21" i="20"/>
  <c r="L21" i="20"/>
  <c r="M21" i="20"/>
  <c r="N21" i="20"/>
  <c r="K22" i="20"/>
  <c r="L22" i="20"/>
  <c r="M22" i="20"/>
  <c r="N22" i="20"/>
  <c r="K23" i="20"/>
  <c r="L23" i="20"/>
  <c r="M23" i="20"/>
  <c r="N23" i="20"/>
  <c r="K24" i="20"/>
  <c r="L24" i="20"/>
  <c r="M24" i="20"/>
  <c r="N24" i="20"/>
  <c r="K25" i="20"/>
  <c r="L25" i="20"/>
  <c r="M25" i="20"/>
  <c r="N25" i="20"/>
  <c r="K26" i="20"/>
  <c r="L26" i="20"/>
  <c r="M26" i="20"/>
  <c r="N26" i="20"/>
  <c r="K27" i="20"/>
  <c r="L27" i="20"/>
  <c r="M27" i="20"/>
  <c r="N27" i="20"/>
  <c r="K28" i="20"/>
  <c r="L28" i="20"/>
  <c r="M28" i="20"/>
  <c r="N28" i="20"/>
  <c r="E29" i="20"/>
  <c r="K29" i="20"/>
  <c r="L29" i="20"/>
  <c r="M29" i="20"/>
  <c r="N29" i="20"/>
  <c r="B30" i="20"/>
  <c r="K30" i="20"/>
  <c r="N30" i="20"/>
  <c r="L30" i="20"/>
  <c r="M30" i="20"/>
  <c r="K31" i="20"/>
  <c r="L31" i="20"/>
  <c r="M31" i="20"/>
  <c r="N31" i="20"/>
  <c r="K32" i="20"/>
  <c r="L32" i="20"/>
  <c r="M32" i="20"/>
  <c r="N32" i="20"/>
  <c r="B33" i="20"/>
  <c r="K33" i="20"/>
  <c r="L33" i="20"/>
  <c r="M33" i="20"/>
  <c r="N33" i="20"/>
  <c r="K34" i="20"/>
  <c r="L34" i="20"/>
  <c r="M34" i="20"/>
  <c r="N34" i="20"/>
  <c r="K35" i="20"/>
  <c r="L35" i="20"/>
  <c r="M35" i="20"/>
  <c r="N35" i="20"/>
  <c r="K6" i="19"/>
  <c r="L6" i="19"/>
  <c r="M6" i="19"/>
  <c r="N6" i="19"/>
  <c r="K7" i="19"/>
  <c r="L7" i="19"/>
  <c r="M7" i="19"/>
  <c r="N7" i="19"/>
  <c r="K8" i="19"/>
  <c r="L8" i="19"/>
  <c r="M8" i="19"/>
  <c r="N8" i="19"/>
  <c r="K9" i="19"/>
  <c r="L9" i="19"/>
  <c r="M9" i="19"/>
  <c r="N9" i="19"/>
  <c r="K10" i="19"/>
  <c r="L10" i="19"/>
  <c r="M10" i="19"/>
  <c r="N10" i="19"/>
  <c r="K11" i="19"/>
  <c r="L11" i="19"/>
  <c r="M11" i="19"/>
  <c r="N11" i="19"/>
  <c r="K12" i="19"/>
  <c r="L12" i="19"/>
  <c r="M12" i="19"/>
  <c r="N12" i="19"/>
  <c r="K13" i="19"/>
  <c r="L13" i="19"/>
  <c r="M13" i="19"/>
  <c r="N13" i="19"/>
  <c r="K14" i="19"/>
  <c r="L14" i="19"/>
  <c r="M14" i="19"/>
  <c r="N14" i="19"/>
  <c r="K15" i="19"/>
  <c r="L15" i="19"/>
  <c r="M15" i="19"/>
  <c r="N15" i="19"/>
  <c r="K16" i="19"/>
  <c r="L16" i="19"/>
  <c r="M16" i="19"/>
  <c r="N16" i="19"/>
  <c r="K17" i="19"/>
  <c r="L17" i="19"/>
  <c r="M17" i="19"/>
  <c r="N17" i="19"/>
  <c r="K18" i="19"/>
  <c r="L18" i="19"/>
  <c r="M18" i="19"/>
  <c r="N18" i="19"/>
  <c r="K19" i="19"/>
  <c r="L19" i="19"/>
  <c r="M19" i="19"/>
  <c r="N19" i="19"/>
  <c r="K20" i="19"/>
  <c r="L20" i="19"/>
  <c r="M20" i="19"/>
  <c r="N20" i="19"/>
  <c r="K21" i="19"/>
  <c r="L21" i="19"/>
  <c r="M21" i="19"/>
  <c r="N21" i="19"/>
  <c r="K22" i="19"/>
  <c r="L22" i="19"/>
  <c r="M22" i="19"/>
  <c r="N22" i="19"/>
  <c r="K23" i="19"/>
  <c r="L23" i="19"/>
  <c r="M23" i="19"/>
  <c r="N23" i="19"/>
  <c r="K24" i="19"/>
  <c r="L24" i="19"/>
  <c r="M24" i="19"/>
  <c r="N24" i="19"/>
  <c r="K25" i="19"/>
  <c r="L25" i="19"/>
  <c r="M25" i="19"/>
  <c r="N25" i="19"/>
  <c r="K26" i="19"/>
  <c r="L26" i="19"/>
  <c r="M26" i="19"/>
  <c r="N26" i="19"/>
  <c r="K27" i="19"/>
  <c r="L27" i="19"/>
  <c r="M27" i="19"/>
  <c r="N27" i="19"/>
  <c r="K28" i="19"/>
  <c r="L28" i="19"/>
  <c r="M28" i="19"/>
  <c r="N28" i="19"/>
  <c r="K29" i="19"/>
  <c r="L29" i="19"/>
  <c r="M29" i="19"/>
  <c r="N29" i="19"/>
  <c r="K30" i="19"/>
  <c r="L30" i="19"/>
  <c r="M30" i="19"/>
  <c r="N30" i="19"/>
  <c r="K31" i="19"/>
  <c r="L31" i="19"/>
  <c r="M31" i="19"/>
  <c r="N31" i="19"/>
  <c r="B32" i="19"/>
  <c r="K32" i="19"/>
  <c r="N32" i="19"/>
  <c r="L32" i="19"/>
  <c r="M32" i="19"/>
  <c r="B33" i="19"/>
  <c r="K33" i="19"/>
  <c r="L33" i="19"/>
  <c r="M33" i="19"/>
  <c r="N33" i="19"/>
  <c r="B34" i="19"/>
  <c r="K34" i="19"/>
  <c r="N34" i="19"/>
  <c r="L34" i="19"/>
  <c r="M34" i="19"/>
  <c r="K35" i="19"/>
  <c r="L35" i="19"/>
  <c r="M35" i="19"/>
  <c r="N35" i="19"/>
  <c r="K6" i="18"/>
  <c r="L6" i="18"/>
  <c r="M6" i="18"/>
  <c r="N6" i="18"/>
  <c r="K7" i="18"/>
  <c r="L7" i="18"/>
  <c r="M7" i="18"/>
  <c r="N7" i="18"/>
  <c r="K8" i="18"/>
  <c r="L8" i="18"/>
  <c r="M8" i="18"/>
  <c r="N8" i="18"/>
  <c r="K9" i="18"/>
  <c r="L9" i="18"/>
  <c r="M9" i="18"/>
  <c r="N9" i="18"/>
  <c r="K10" i="18"/>
  <c r="L10" i="18"/>
  <c r="M10" i="18"/>
  <c r="N10" i="18"/>
  <c r="K11" i="18"/>
  <c r="L11" i="18"/>
  <c r="M11" i="18"/>
  <c r="N11" i="18"/>
  <c r="K12" i="18"/>
  <c r="L12" i="18"/>
  <c r="M12" i="18"/>
  <c r="N12" i="18"/>
  <c r="K13" i="18"/>
  <c r="L13" i="18"/>
  <c r="M13" i="18"/>
  <c r="N13" i="18"/>
  <c r="K14" i="18"/>
  <c r="L14" i="18"/>
  <c r="M14" i="18"/>
  <c r="N14" i="18"/>
  <c r="K15" i="18"/>
  <c r="L15" i="18"/>
  <c r="M15" i="18"/>
  <c r="N15" i="18"/>
  <c r="K16" i="18"/>
  <c r="L16" i="18"/>
  <c r="M16" i="18"/>
  <c r="N16" i="18"/>
  <c r="K17" i="18"/>
  <c r="L17" i="18"/>
  <c r="M17" i="18"/>
  <c r="N17" i="18"/>
  <c r="E18" i="18"/>
  <c r="K18" i="18"/>
  <c r="L18" i="18"/>
  <c r="M18" i="18"/>
  <c r="N18" i="18"/>
  <c r="K19" i="18"/>
  <c r="L19" i="18"/>
  <c r="M19" i="18"/>
  <c r="N19" i="18"/>
  <c r="K20" i="18"/>
  <c r="L20" i="18"/>
  <c r="M20" i="18"/>
  <c r="N20" i="18"/>
  <c r="K21" i="18"/>
  <c r="L21" i="18"/>
  <c r="M21" i="18"/>
  <c r="N21" i="18"/>
  <c r="K22" i="18"/>
  <c r="L22" i="18"/>
  <c r="M22" i="18"/>
  <c r="N22" i="18"/>
  <c r="K23" i="18"/>
  <c r="L23" i="18"/>
  <c r="M23" i="18"/>
  <c r="N23" i="18"/>
  <c r="K24" i="18"/>
  <c r="L24" i="18"/>
  <c r="M24" i="18"/>
  <c r="N24" i="18"/>
  <c r="K25" i="18"/>
  <c r="L25" i="18"/>
  <c r="M25" i="18"/>
  <c r="N25" i="18"/>
  <c r="K26" i="18"/>
  <c r="L26" i="18"/>
  <c r="M26" i="18"/>
  <c r="N26" i="18"/>
  <c r="K27" i="18"/>
  <c r="L27" i="18"/>
  <c r="M27" i="18"/>
  <c r="N27" i="18"/>
  <c r="K28" i="18"/>
  <c r="L28" i="18"/>
  <c r="M28" i="18"/>
  <c r="N28" i="18"/>
  <c r="K29" i="18"/>
  <c r="L29" i="18"/>
  <c r="M29" i="18"/>
  <c r="N29" i="18"/>
  <c r="K30" i="18"/>
  <c r="L30" i="18"/>
  <c r="M30" i="18"/>
  <c r="N30" i="18"/>
  <c r="K31" i="18"/>
  <c r="L31" i="18"/>
  <c r="M31" i="18"/>
  <c r="N31" i="18"/>
  <c r="K32" i="18"/>
  <c r="L32" i="18"/>
  <c r="M32" i="18"/>
  <c r="N32" i="18"/>
  <c r="K33" i="18"/>
  <c r="L33" i="18"/>
  <c r="M33" i="18"/>
  <c r="N33" i="18"/>
  <c r="K34" i="18"/>
  <c r="L34" i="18"/>
  <c r="M34" i="18"/>
  <c r="N34" i="18"/>
  <c r="K35" i="18"/>
  <c r="L35" i="18"/>
  <c r="M35" i="18"/>
  <c r="N35" i="18"/>
  <c r="K6" i="17"/>
  <c r="L6" i="17"/>
  <c r="M6" i="17"/>
  <c r="N6" i="17"/>
  <c r="K7" i="17"/>
  <c r="L7" i="17"/>
  <c r="M7" i="17"/>
  <c r="N7" i="17"/>
  <c r="K8" i="17"/>
  <c r="L8" i="17"/>
  <c r="M8" i="17"/>
  <c r="N8" i="17"/>
  <c r="K9" i="17"/>
  <c r="L9" i="17"/>
  <c r="M9" i="17"/>
  <c r="N9" i="17"/>
  <c r="K10" i="17"/>
  <c r="L10" i="17"/>
  <c r="M10" i="17"/>
  <c r="N10" i="17"/>
  <c r="K11" i="17"/>
  <c r="L11" i="17"/>
  <c r="M11" i="17"/>
  <c r="N11" i="17"/>
  <c r="K12" i="17"/>
  <c r="L12" i="17"/>
  <c r="M12" i="17"/>
  <c r="N12" i="17"/>
  <c r="K13" i="17"/>
  <c r="L13" i="17"/>
  <c r="M13" i="17"/>
  <c r="N13" i="17"/>
  <c r="K14" i="17"/>
  <c r="L14" i="17"/>
  <c r="M14" i="17"/>
  <c r="N14" i="17"/>
  <c r="K15" i="17"/>
  <c r="L15" i="17"/>
  <c r="M15" i="17"/>
  <c r="N15" i="17"/>
  <c r="K16" i="17"/>
  <c r="L16" i="17"/>
  <c r="M16" i="17"/>
  <c r="N16" i="17"/>
  <c r="K17" i="17"/>
  <c r="L17" i="17"/>
  <c r="M17" i="17"/>
  <c r="N17" i="17"/>
  <c r="K18" i="17"/>
  <c r="L18" i="17"/>
  <c r="M18" i="17"/>
  <c r="N18" i="17"/>
  <c r="K19" i="17"/>
  <c r="L19" i="17"/>
  <c r="M19" i="17"/>
  <c r="N19" i="17"/>
  <c r="K20" i="17"/>
  <c r="L20" i="17"/>
  <c r="M20" i="17"/>
  <c r="N20" i="17"/>
  <c r="K21" i="17"/>
  <c r="L21" i="17"/>
  <c r="M21" i="17"/>
  <c r="N21" i="17"/>
  <c r="K22" i="17"/>
  <c r="L22" i="17"/>
  <c r="M22" i="17"/>
  <c r="N22" i="17"/>
  <c r="K23" i="17"/>
  <c r="L23" i="17"/>
  <c r="M23" i="17"/>
  <c r="N23" i="17"/>
  <c r="K24" i="17"/>
  <c r="L24" i="17"/>
  <c r="M24" i="17"/>
  <c r="N24" i="17"/>
  <c r="K25" i="17"/>
  <c r="L25" i="17"/>
  <c r="M25" i="17"/>
  <c r="N25" i="17"/>
  <c r="K26" i="17"/>
  <c r="L26" i="17"/>
  <c r="M26" i="17"/>
  <c r="N26" i="17"/>
  <c r="E27" i="17"/>
  <c r="K27" i="17"/>
  <c r="N27" i="17"/>
  <c r="L27" i="17"/>
  <c r="M27" i="17"/>
  <c r="E28" i="17"/>
  <c r="K28" i="17"/>
  <c r="L28" i="17"/>
  <c r="M28" i="17"/>
  <c r="N28" i="17"/>
  <c r="K29" i="17"/>
  <c r="L29" i="17"/>
  <c r="M29" i="17"/>
  <c r="N29" i="17"/>
  <c r="B30" i="17"/>
  <c r="E30" i="17"/>
  <c r="K30" i="17"/>
  <c r="L30" i="17"/>
  <c r="M30" i="17"/>
  <c r="N30" i="17"/>
  <c r="E31" i="17"/>
  <c r="K31" i="17"/>
  <c r="N31" i="17"/>
  <c r="L31" i="17"/>
  <c r="M31" i="17"/>
  <c r="E32" i="17"/>
  <c r="K32" i="17"/>
  <c r="L32" i="17"/>
  <c r="M32" i="17"/>
  <c r="N32" i="17"/>
  <c r="B33" i="17"/>
  <c r="K33" i="17"/>
  <c r="N33" i="17"/>
  <c r="L33" i="17"/>
  <c r="M33" i="17"/>
  <c r="K34" i="17"/>
  <c r="L34" i="17"/>
  <c r="M34" i="17"/>
  <c r="N34" i="17"/>
  <c r="K35" i="17"/>
  <c r="L35" i="17"/>
  <c r="M35" i="17"/>
  <c r="N35" i="17"/>
  <c r="K6" i="16"/>
  <c r="L6" i="16"/>
  <c r="M6" i="16"/>
  <c r="N6" i="16"/>
  <c r="K7" i="16"/>
  <c r="L7" i="16"/>
  <c r="M7" i="16"/>
  <c r="N7" i="16"/>
  <c r="E8" i="16"/>
  <c r="K8" i="16"/>
  <c r="L8" i="16"/>
  <c r="M8" i="16"/>
  <c r="N8" i="16"/>
  <c r="E9" i="16"/>
  <c r="K9" i="16"/>
  <c r="N9" i="16"/>
  <c r="L9" i="16"/>
  <c r="M9" i="16"/>
  <c r="K10" i="16"/>
  <c r="L10" i="16"/>
  <c r="M10" i="16"/>
  <c r="N10" i="16"/>
  <c r="K11" i="16"/>
  <c r="L11" i="16"/>
  <c r="M11" i="16"/>
  <c r="N11" i="16"/>
  <c r="K12" i="16"/>
  <c r="L12" i="16"/>
  <c r="M12" i="16"/>
  <c r="N12" i="16"/>
  <c r="E13" i="16"/>
  <c r="K13" i="16"/>
  <c r="L13" i="16"/>
  <c r="M13" i="16"/>
  <c r="N13" i="16"/>
  <c r="G14" i="16"/>
  <c r="M14" i="16"/>
  <c r="N14" i="16"/>
  <c r="K14" i="16"/>
  <c r="L14" i="16"/>
  <c r="G15" i="16"/>
  <c r="K15" i="16"/>
  <c r="L15" i="16"/>
  <c r="M15" i="16"/>
  <c r="N15" i="16"/>
  <c r="K16" i="16"/>
  <c r="L16" i="16"/>
  <c r="M16" i="16"/>
  <c r="N16" i="16"/>
  <c r="E17" i="16"/>
  <c r="K17" i="16"/>
  <c r="N17" i="16"/>
  <c r="L17" i="16"/>
  <c r="M17" i="16"/>
  <c r="E18" i="16"/>
  <c r="K18" i="16"/>
  <c r="L18" i="16"/>
  <c r="M18" i="16"/>
  <c r="N18" i="16"/>
  <c r="E19" i="16"/>
  <c r="K19" i="16"/>
  <c r="N19" i="16"/>
  <c r="L19" i="16"/>
  <c r="M19" i="16"/>
  <c r="E20" i="16"/>
  <c r="K20" i="16"/>
  <c r="L20" i="16"/>
  <c r="M20" i="16"/>
  <c r="N20" i="16"/>
  <c r="E21" i="16"/>
  <c r="K21" i="16"/>
  <c r="N21" i="16"/>
  <c r="L21" i="16"/>
  <c r="M21" i="16"/>
  <c r="E22" i="16"/>
  <c r="F22" i="16"/>
  <c r="F22" i="4"/>
  <c r="K22" i="16"/>
  <c r="L22" i="16"/>
  <c r="M22" i="16"/>
  <c r="N22" i="16"/>
  <c r="E23" i="16"/>
  <c r="F23" i="16"/>
  <c r="K23" i="16"/>
  <c r="L23" i="16"/>
  <c r="M23" i="16"/>
  <c r="N23" i="16"/>
  <c r="E24" i="16"/>
  <c r="F24" i="16"/>
  <c r="F24" i="4"/>
  <c r="K24" i="16"/>
  <c r="L24" i="16"/>
  <c r="M24" i="16"/>
  <c r="N24" i="16"/>
  <c r="E25" i="16"/>
  <c r="F25" i="16"/>
  <c r="K25" i="16"/>
  <c r="L25" i="16"/>
  <c r="M25" i="16"/>
  <c r="N25" i="16"/>
  <c r="E26" i="16"/>
  <c r="F26" i="16"/>
  <c r="K26" i="16"/>
  <c r="L26" i="16"/>
  <c r="M26" i="16"/>
  <c r="N26" i="16"/>
  <c r="E27" i="16"/>
  <c r="F27" i="16"/>
  <c r="K27" i="16"/>
  <c r="L27" i="16"/>
  <c r="M27" i="16"/>
  <c r="N27" i="16"/>
  <c r="E28" i="16"/>
  <c r="K28" i="16"/>
  <c r="L28" i="16"/>
  <c r="M28" i="16"/>
  <c r="N28" i="16"/>
  <c r="E29" i="16"/>
  <c r="K29" i="16"/>
  <c r="N29" i="16"/>
  <c r="L29" i="16"/>
  <c r="M29" i="16"/>
  <c r="E30" i="16"/>
  <c r="K30" i="16"/>
  <c r="L30" i="16"/>
  <c r="M30" i="16"/>
  <c r="N30" i="16"/>
  <c r="E31" i="16"/>
  <c r="K31" i="16"/>
  <c r="N31" i="16"/>
  <c r="L31" i="16"/>
  <c r="M31" i="16"/>
  <c r="E32" i="16"/>
  <c r="K32" i="16"/>
  <c r="L32" i="16"/>
  <c r="M32" i="16"/>
  <c r="N32" i="16"/>
  <c r="B33" i="16"/>
  <c r="E33" i="16"/>
  <c r="K33" i="16"/>
  <c r="L33" i="16"/>
  <c r="M33" i="16"/>
  <c r="N33" i="16"/>
  <c r="E34" i="16"/>
  <c r="K34" i="16"/>
  <c r="N34" i="16"/>
  <c r="L34" i="16"/>
  <c r="M34" i="16"/>
  <c r="K35" i="16"/>
  <c r="L35" i="16"/>
  <c r="M35" i="16"/>
  <c r="N35" i="16"/>
  <c r="B6" i="4"/>
  <c r="C6" i="4"/>
  <c r="D6" i="4"/>
  <c r="E6" i="4"/>
  <c r="F6" i="4"/>
  <c r="G6" i="4"/>
  <c r="H6" i="4"/>
  <c r="I6" i="4"/>
  <c r="J6" i="4"/>
  <c r="M6" i="4" s="1"/>
  <c r="B7" i="4"/>
  <c r="C7" i="4"/>
  <c r="D7" i="4"/>
  <c r="F7" i="4"/>
  <c r="G7" i="4"/>
  <c r="H7" i="4"/>
  <c r="I7" i="4"/>
  <c r="J7" i="4"/>
  <c r="B8" i="4"/>
  <c r="C8" i="4"/>
  <c r="D8" i="4"/>
  <c r="E8" i="4"/>
  <c r="F8" i="4"/>
  <c r="G8" i="4"/>
  <c r="H8" i="4"/>
  <c r="I8" i="4"/>
  <c r="J8" i="4"/>
  <c r="B9" i="4"/>
  <c r="C9" i="4"/>
  <c r="D9" i="4"/>
  <c r="F9" i="4"/>
  <c r="G9" i="4"/>
  <c r="H9" i="4"/>
  <c r="I9" i="4"/>
  <c r="J9" i="4"/>
  <c r="B10" i="4"/>
  <c r="C10" i="4"/>
  <c r="D10" i="4"/>
  <c r="E10" i="4"/>
  <c r="F10" i="4"/>
  <c r="G10" i="4"/>
  <c r="H10" i="4"/>
  <c r="I10" i="4"/>
  <c r="J10" i="4"/>
  <c r="B11" i="4"/>
  <c r="C11" i="4"/>
  <c r="D11" i="4"/>
  <c r="F11" i="4"/>
  <c r="G11" i="4"/>
  <c r="H11" i="4"/>
  <c r="I11" i="4"/>
  <c r="J11" i="4"/>
  <c r="B12" i="4"/>
  <c r="C12" i="4"/>
  <c r="D12" i="4"/>
  <c r="E12" i="4"/>
  <c r="F12" i="4"/>
  <c r="G12" i="4"/>
  <c r="H12" i="4"/>
  <c r="I12" i="4"/>
  <c r="J12" i="4"/>
  <c r="B13" i="4"/>
  <c r="C13" i="4"/>
  <c r="D13" i="4"/>
  <c r="F13" i="4"/>
  <c r="G13" i="4"/>
  <c r="H13" i="4"/>
  <c r="I13" i="4"/>
  <c r="J13" i="4"/>
  <c r="B14" i="4"/>
  <c r="C14" i="4"/>
  <c r="D14" i="4"/>
  <c r="E14" i="4"/>
  <c r="G14" i="4"/>
  <c r="I14" i="4"/>
  <c r="J14" i="4"/>
  <c r="B15" i="4"/>
  <c r="C15" i="4"/>
  <c r="D15" i="4"/>
  <c r="F15" i="4"/>
  <c r="G15" i="4"/>
  <c r="H15" i="4"/>
  <c r="I15" i="4"/>
  <c r="J15" i="4"/>
  <c r="B16" i="4"/>
  <c r="C16" i="4"/>
  <c r="D16" i="4"/>
  <c r="F16" i="4"/>
  <c r="G16" i="4"/>
  <c r="H16" i="4"/>
  <c r="I16" i="4"/>
  <c r="J16" i="4"/>
  <c r="B17" i="4"/>
  <c r="C17" i="4"/>
  <c r="D17" i="4"/>
  <c r="F17" i="4"/>
  <c r="G17" i="4"/>
  <c r="H17" i="4"/>
  <c r="I17" i="4"/>
  <c r="J17" i="4"/>
  <c r="B18" i="4"/>
  <c r="C18" i="4"/>
  <c r="D18" i="4"/>
  <c r="F18" i="4"/>
  <c r="G18" i="4"/>
  <c r="H18" i="4"/>
  <c r="I18" i="4"/>
  <c r="J18" i="4"/>
  <c r="B19" i="4"/>
  <c r="C19" i="4"/>
  <c r="D19" i="4"/>
  <c r="F19" i="4"/>
  <c r="G19" i="4"/>
  <c r="H19" i="4"/>
  <c r="I19" i="4"/>
  <c r="J19" i="4"/>
  <c r="B20" i="4"/>
  <c r="C20" i="4"/>
  <c r="D20" i="4"/>
  <c r="F20" i="4"/>
  <c r="G20" i="4"/>
  <c r="H20" i="4"/>
  <c r="I20" i="4"/>
  <c r="J20" i="4"/>
  <c r="B21" i="4"/>
  <c r="C21" i="4"/>
  <c r="D21" i="4"/>
  <c r="F21" i="4"/>
  <c r="G21" i="4"/>
  <c r="H21" i="4"/>
  <c r="I21" i="4"/>
  <c r="J21" i="4"/>
  <c r="B22" i="4"/>
  <c r="C22" i="4"/>
  <c r="D22" i="4"/>
  <c r="G22" i="4"/>
  <c r="H22" i="4"/>
  <c r="I22" i="4"/>
  <c r="J22" i="4"/>
  <c r="B23" i="4"/>
  <c r="C23" i="4"/>
  <c r="D23" i="4"/>
  <c r="F23" i="4"/>
  <c r="G23" i="4"/>
  <c r="H23" i="4"/>
  <c r="I23" i="4"/>
  <c r="J23" i="4"/>
  <c r="B24" i="4"/>
  <c r="C24" i="4"/>
  <c r="D24" i="4"/>
  <c r="G24" i="4"/>
  <c r="H24" i="4"/>
  <c r="I24" i="4"/>
  <c r="J24" i="4"/>
  <c r="B25" i="4"/>
  <c r="C25" i="4"/>
  <c r="D25" i="4"/>
  <c r="F25" i="4"/>
  <c r="G25" i="4"/>
  <c r="H25" i="4"/>
  <c r="I25" i="4"/>
  <c r="J25" i="4"/>
  <c r="C26" i="4"/>
  <c r="D26" i="4"/>
  <c r="G26" i="4"/>
  <c r="H26" i="4"/>
  <c r="I26" i="4"/>
  <c r="J26" i="4"/>
  <c r="B27" i="4"/>
  <c r="C27" i="4"/>
  <c r="D27" i="4"/>
  <c r="F27" i="4"/>
  <c r="G27" i="4"/>
  <c r="H27" i="4"/>
  <c r="I27" i="4"/>
  <c r="J27" i="4"/>
  <c r="C28" i="4"/>
  <c r="D28" i="4"/>
  <c r="F28" i="4"/>
  <c r="G28" i="4"/>
  <c r="H28" i="4"/>
  <c r="I28" i="4"/>
  <c r="J28" i="4"/>
  <c r="B29" i="4"/>
  <c r="C29" i="4"/>
  <c r="D29" i="4"/>
  <c r="F29" i="4"/>
  <c r="G29" i="4"/>
  <c r="H29" i="4"/>
  <c r="I29" i="4"/>
  <c r="J29" i="4"/>
  <c r="C30" i="4"/>
  <c r="D30" i="4"/>
  <c r="F30" i="4"/>
  <c r="G30" i="4"/>
  <c r="H30" i="4"/>
  <c r="I30" i="4"/>
  <c r="J30" i="4"/>
  <c r="B31" i="4"/>
  <c r="C31" i="4"/>
  <c r="D31" i="4"/>
  <c r="F31" i="4"/>
  <c r="G31" i="4"/>
  <c r="H31" i="4"/>
  <c r="I31" i="4"/>
  <c r="J31" i="4"/>
  <c r="C32" i="4"/>
  <c r="D32" i="4"/>
  <c r="F32" i="4"/>
  <c r="G32" i="4"/>
  <c r="H32" i="4"/>
  <c r="I32" i="4"/>
  <c r="J32" i="4"/>
  <c r="C33" i="4"/>
  <c r="D33" i="4"/>
  <c r="F33" i="4"/>
  <c r="G33" i="4"/>
  <c r="H33" i="4"/>
  <c r="I33" i="4"/>
  <c r="J33" i="4"/>
  <c r="K6" i="15"/>
  <c r="L6" i="15"/>
  <c r="M6" i="15"/>
  <c r="N6" i="15"/>
  <c r="K7" i="15"/>
  <c r="L7" i="15"/>
  <c r="M7" i="15"/>
  <c r="N7" i="15"/>
  <c r="K8" i="15"/>
  <c r="L8" i="15"/>
  <c r="M8" i="15"/>
  <c r="N8" i="15"/>
  <c r="K9" i="15"/>
  <c r="L9" i="15"/>
  <c r="M9" i="15"/>
  <c r="N9" i="15"/>
  <c r="K10" i="15"/>
  <c r="L10" i="15"/>
  <c r="M10" i="15"/>
  <c r="N10" i="15"/>
  <c r="K11" i="15"/>
  <c r="L11" i="15"/>
  <c r="M11" i="15"/>
  <c r="N11" i="15"/>
  <c r="K12" i="15"/>
  <c r="L12" i="15"/>
  <c r="M12" i="15"/>
  <c r="N12" i="15"/>
  <c r="K13" i="15"/>
  <c r="L13" i="15"/>
  <c r="M13" i="15"/>
  <c r="N13" i="15"/>
  <c r="K14" i="15"/>
  <c r="L14" i="15"/>
  <c r="M14" i="15"/>
  <c r="N14" i="15"/>
  <c r="K15" i="15"/>
  <c r="L15" i="15"/>
  <c r="M15" i="15"/>
  <c r="N15" i="15"/>
  <c r="K16" i="15"/>
  <c r="L16" i="15"/>
  <c r="M16" i="15"/>
  <c r="N16" i="15"/>
  <c r="K17" i="15"/>
  <c r="L17" i="15"/>
  <c r="M17" i="15"/>
  <c r="N17" i="15"/>
  <c r="K18" i="15"/>
  <c r="L18" i="15"/>
  <c r="M18" i="15"/>
  <c r="N18" i="15"/>
  <c r="K19" i="15"/>
  <c r="L19" i="15"/>
  <c r="M19" i="15"/>
  <c r="N19" i="15"/>
  <c r="K20" i="15"/>
  <c r="L20" i="15"/>
  <c r="M20" i="15"/>
  <c r="N20" i="15"/>
  <c r="K21" i="15"/>
  <c r="L21" i="15"/>
  <c r="M21" i="15"/>
  <c r="N21" i="15"/>
  <c r="K22" i="15"/>
  <c r="L22" i="15"/>
  <c r="M22" i="15"/>
  <c r="N22" i="15"/>
  <c r="K23" i="15"/>
  <c r="L23" i="15"/>
  <c r="M23" i="15"/>
  <c r="N23" i="15"/>
  <c r="K24" i="15"/>
  <c r="L24" i="15"/>
  <c r="M24" i="15"/>
  <c r="N24" i="15"/>
  <c r="K25" i="15"/>
  <c r="L25" i="15"/>
  <c r="M25" i="15"/>
  <c r="N25" i="15"/>
  <c r="K26" i="15"/>
  <c r="L26" i="15"/>
  <c r="M26" i="15"/>
  <c r="N26" i="15"/>
  <c r="K27" i="15"/>
  <c r="L27" i="15"/>
  <c r="M27" i="15"/>
  <c r="N27" i="15"/>
  <c r="K28" i="15"/>
  <c r="L28" i="15"/>
  <c r="M28" i="15"/>
  <c r="N28" i="15"/>
  <c r="K29" i="15"/>
  <c r="L29" i="15"/>
  <c r="M29" i="15"/>
  <c r="N29" i="15"/>
  <c r="B30" i="15"/>
  <c r="E30" i="15"/>
  <c r="K30" i="15"/>
  <c r="N30" i="15"/>
  <c r="L30" i="15"/>
  <c r="M30" i="15"/>
  <c r="K31" i="15"/>
  <c r="L31" i="15"/>
  <c r="M31" i="15"/>
  <c r="N31" i="15"/>
  <c r="K32" i="15"/>
  <c r="L32" i="15"/>
  <c r="M32" i="15"/>
  <c r="N32" i="15"/>
  <c r="B33" i="15"/>
  <c r="E33" i="15"/>
  <c r="K33" i="15"/>
  <c r="N33" i="15"/>
  <c r="L33" i="15"/>
  <c r="M33" i="15"/>
  <c r="E34" i="15"/>
  <c r="K34" i="15"/>
  <c r="L34" i="15"/>
  <c r="M34" i="15"/>
  <c r="N34" i="15"/>
  <c r="K35" i="15"/>
  <c r="L35" i="15"/>
  <c r="M35" i="15"/>
  <c r="N35" i="15"/>
  <c r="K6" i="14"/>
  <c r="L6" i="14"/>
  <c r="M6" i="14"/>
  <c r="N6" i="14"/>
  <c r="K7" i="14"/>
  <c r="L7" i="14"/>
  <c r="M7" i="14"/>
  <c r="N7" i="14"/>
  <c r="K8" i="14"/>
  <c r="L8" i="14"/>
  <c r="M8" i="14"/>
  <c r="N8" i="14"/>
  <c r="K9" i="14"/>
  <c r="L9" i="14"/>
  <c r="M9" i="14"/>
  <c r="N9" i="14"/>
  <c r="K10" i="14"/>
  <c r="L10" i="14"/>
  <c r="M10" i="14"/>
  <c r="N10" i="14"/>
  <c r="K11" i="14"/>
  <c r="L11" i="14"/>
  <c r="M11" i="14"/>
  <c r="N11" i="14"/>
  <c r="K12" i="14"/>
  <c r="L12" i="14"/>
  <c r="M12" i="14"/>
  <c r="N12" i="14"/>
  <c r="K13" i="14"/>
  <c r="L13" i="14"/>
  <c r="M13" i="14"/>
  <c r="N13" i="14"/>
  <c r="K14" i="14"/>
  <c r="L14" i="14"/>
  <c r="M14" i="14"/>
  <c r="N14" i="14"/>
  <c r="K15" i="14"/>
  <c r="L15" i="14"/>
  <c r="M15" i="14"/>
  <c r="N15" i="14"/>
  <c r="E16" i="14"/>
  <c r="K16" i="14"/>
  <c r="N16" i="14"/>
  <c r="L16" i="14"/>
  <c r="M16" i="14"/>
  <c r="E17" i="14"/>
  <c r="K17" i="14"/>
  <c r="L17" i="14"/>
  <c r="M17" i="14"/>
  <c r="N17" i="14"/>
  <c r="E18" i="14"/>
  <c r="K18" i="14"/>
  <c r="N18" i="14"/>
  <c r="L18" i="14"/>
  <c r="M18" i="14"/>
  <c r="E19" i="14"/>
  <c r="K19" i="14"/>
  <c r="L19" i="14"/>
  <c r="M19" i="14"/>
  <c r="N19" i="14"/>
  <c r="E20" i="14"/>
  <c r="K20" i="14"/>
  <c r="N20" i="14"/>
  <c r="L20" i="14"/>
  <c r="M20" i="14"/>
  <c r="E21" i="14"/>
  <c r="K21" i="14"/>
  <c r="L21" i="14"/>
  <c r="M21" i="14"/>
  <c r="N21" i="14"/>
  <c r="E22" i="14"/>
  <c r="K22" i="14"/>
  <c r="N22" i="14"/>
  <c r="L22" i="14"/>
  <c r="M22" i="14"/>
  <c r="E23" i="14"/>
  <c r="K23" i="14"/>
  <c r="L23" i="14"/>
  <c r="M23" i="14"/>
  <c r="N23" i="14"/>
  <c r="E24" i="14"/>
  <c r="K24" i="14"/>
  <c r="N24" i="14"/>
  <c r="L24" i="14"/>
  <c r="M24" i="14"/>
  <c r="E25" i="14"/>
  <c r="K25" i="14"/>
  <c r="L25" i="14"/>
  <c r="M25" i="14"/>
  <c r="N25" i="14"/>
  <c r="E26" i="14"/>
  <c r="K26" i="14"/>
  <c r="N26" i="14"/>
  <c r="L26" i="14"/>
  <c r="M26" i="14"/>
  <c r="E27" i="14"/>
  <c r="K27" i="14"/>
  <c r="L27" i="14"/>
  <c r="M27" i="14"/>
  <c r="N27" i="14"/>
  <c r="E28" i="14"/>
  <c r="K28" i="14"/>
  <c r="N28" i="14"/>
  <c r="L28" i="14"/>
  <c r="M28" i="14"/>
  <c r="E29" i="14"/>
  <c r="K29" i="14"/>
  <c r="L29" i="14"/>
  <c r="M29" i="14"/>
  <c r="N29" i="14"/>
  <c r="B30" i="14"/>
  <c r="E30" i="14"/>
  <c r="K30" i="14"/>
  <c r="L30" i="14"/>
  <c r="M30" i="14"/>
  <c r="N30" i="14"/>
  <c r="E31" i="14"/>
  <c r="K31" i="14"/>
  <c r="N31" i="14"/>
  <c r="L31" i="14"/>
  <c r="M31" i="14"/>
  <c r="E32" i="14"/>
  <c r="K32" i="14"/>
  <c r="L32" i="14"/>
  <c r="M32" i="14"/>
  <c r="N32" i="14"/>
  <c r="B33" i="14"/>
  <c r="E33" i="14"/>
  <c r="K33" i="14"/>
  <c r="L33" i="14"/>
  <c r="M33" i="14"/>
  <c r="N33" i="14"/>
  <c r="E34" i="14"/>
  <c r="K34" i="14"/>
  <c r="N34" i="14"/>
  <c r="L34" i="14"/>
  <c r="M34" i="14"/>
  <c r="K35" i="14"/>
  <c r="L35" i="14"/>
  <c r="M35" i="14"/>
  <c r="N35" i="14"/>
  <c r="K6" i="13"/>
  <c r="L6" i="13"/>
  <c r="M6" i="13"/>
  <c r="N6" i="13"/>
  <c r="K7" i="13"/>
  <c r="L7" i="13"/>
  <c r="M7" i="13"/>
  <c r="N7" i="13"/>
  <c r="K8" i="13"/>
  <c r="L8" i="13"/>
  <c r="M8" i="13"/>
  <c r="N8" i="13"/>
  <c r="K9" i="13"/>
  <c r="L9" i="13"/>
  <c r="M9" i="13"/>
  <c r="N9" i="13"/>
  <c r="K10" i="13"/>
  <c r="L10" i="13"/>
  <c r="M10" i="13"/>
  <c r="N10" i="13"/>
  <c r="K11" i="13"/>
  <c r="L11" i="13"/>
  <c r="M11" i="13"/>
  <c r="N11" i="13"/>
  <c r="K12" i="13"/>
  <c r="L12" i="13"/>
  <c r="M12" i="13"/>
  <c r="N12" i="13"/>
  <c r="K13" i="13"/>
  <c r="L13" i="13"/>
  <c r="M13" i="13"/>
  <c r="N13" i="13"/>
  <c r="K14" i="13"/>
  <c r="L14" i="13"/>
  <c r="M14" i="13"/>
  <c r="N14" i="13"/>
  <c r="K15" i="13"/>
  <c r="L15" i="13"/>
  <c r="M15" i="13"/>
  <c r="N15" i="13"/>
  <c r="K16" i="13"/>
  <c r="L16" i="13"/>
  <c r="M16" i="13"/>
  <c r="N16" i="13"/>
  <c r="K17" i="13"/>
  <c r="L17" i="13"/>
  <c r="M17" i="13"/>
  <c r="N17" i="13"/>
  <c r="K18" i="13"/>
  <c r="L18" i="13"/>
  <c r="M18" i="13"/>
  <c r="N18" i="13"/>
  <c r="K19" i="13"/>
  <c r="L19" i="13"/>
  <c r="M19" i="13"/>
  <c r="N19" i="13"/>
  <c r="K20" i="13"/>
  <c r="L20" i="13"/>
  <c r="M20" i="13"/>
  <c r="N20" i="13"/>
  <c r="K21" i="13"/>
  <c r="L21" i="13"/>
  <c r="M21" i="13"/>
  <c r="N21" i="13"/>
  <c r="E22" i="13"/>
  <c r="K22" i="13"/>
  <c r="L22" i="13"/>
  <c r="M22" i="13"/>
  <c r="N22" i="13"/>
  <c r="E23" i="13"/>
  <c r="K23" i="13"/>
  <c r="N23" i="13"/>
  <c r="L23" i="13"/>
  <c r="M23" i="13"/>
  <c r="E24" i="13"/>
  <c r="K24" i="13"/>
  <c r="L24" i="13"/>
  <c r="M24" i="13"/>
  <c r="N24" i="13"/>
  <c r="K25" i="13"/>
  <c r="L25" i="13"/>
  <c r="M25" i="13"/>
  <c r="N25" i="13"/>
  <c r="K26" i="13"/>
  <c r="L26" i="13"/>
  <c r="M26" i="13"/>
  <c r="N26" i="13"/>
  <c r="E27" i="13"/>
  <c r="K27" i="13"/>
  <c r="N27" i="13"/>
  <c r="L27" i="13"/>
  <c r="M27" i="13"/>
  <c r="E28" i="13"/>
  <c r="K28" i="13"/>
  <c r="L28" i="13"/>
  <c r="M28" i="13"/>
  <c r="N28" i="13"/>
  <c r="E29" i="13"/>
  <c r="K29" i="13"/>
  <c r="N29" i="13"/>
  <c r="L29" i="13"/>
  <c r="M29" i="13"/>
  <c r="B30" i="13"/>
  <c r="E30" i="13"/>
  <c r="K30" i="13"/>
  <c r="N30" i="13"/>
  <c r="L30" i="13"/>
  <c r="M30" i="13"/>
  <c r="E31" i="13"/>
  <c r="K31" i="13"/>
  <c r="L31" i="13"/>
  <c r="M31" i="13"/>
  <c r="N31" i="13"/>
  <c r="E32" i="13"/>
  <c r="K32" i="13"/>
  <c r="N32" i="13"/>
  <c r="L32" i="13"/>
  <c r="M32" i="13"/>
  <c r="E33" i="13"/>
  <c r="K33" i="13"/>
  <c r="L33" i="13"/>
  <c r="M33" i="13"/>
  <c r="N33" i="13"/>
  <c r="E34" i="13"/>
  <c r="K34" i="13"/>
  <c r="N34" i="13"/>
  <c r="L34" i="13"/>
  <c r="M34" i="13"/>
  <c r="K35" i="13"/>
  <c r="L35" i="13"/>
  <c r="M35" i="13"/>
  <c r="N35" i="13"/>
  <c r="K6" i="12"/>
  <c r="L6" i="12"/>
  <c r="M6" i="12"/>
  <c r="N6" i="12"/>
  <c r="K7" i="12"/>
  <c r="L7" i="12"/>
  <c r="M7" i="12"/>
  <c r="N7" i="12"/>
  <c r="K8" i="12"/>
  <c r="L8" i="12"/>
  <c r="M8" i="12"/>
  <c r="N8" i="12"/>
  <c r="K9" i="12"/>
  <c r="L9" i="12"/>
  <c r="M9" i="12"/>
  <c r="N9" i="12"/>
  <c r="K10" i="12"/>
  <c r="L10" i="12"/>
  <c r="M10" i="12"/>
  <c r="N10" i="12"/>
  <c r="K11" i="12"/>
  <c r="L11" i="12"/>
  <c r="M11" i="12"/>
  <c r="N11" i="12"/>
  <c r="K12" i="12"/>
  <c r="L12" i="12"/>
  <c r="M12" i="12"/>
  <c r="N12" i="12"/>
  <c r="K13" i="12"/>
  <c r="L13" i="12"/>
  <c r="M13" i="12"/>
  <c r="N13" i="12"/>
  <c r="K14" i="12"/>
  <c r="L14" i="12"/>
  <c r="M14" i="12"/>
  <c r="N14" i="12"/>
  <c r="K15" i="12"/>
  <c r="L15" i="12"/>
  <c r="M15" i="12"/>
  <c r="N15" i="12"/>
  <c r="K16" i="12"/>
  <c r="L16" i="12"/>
  <c r="M16" i="12"/>
  <c r="N16" i="12"/>
  <c r="K17" i="12"/>
  <c r="L17" i="12"/>
  <c r="M17" i="12"/>
  <c r="N17" i="12"/>
  <c r="K18" i="12"/>
  <c r="L18" i="12"/>
  <c r="M18" i="12"/>
  <c r="N18" i="12"/>
  <c r="K19" i="12"/>
  <c r="L19" i="12"/>
  <c r="M19" i="12"/>
  <c r="N19" i="12"/>
  <c r="K20" i="12"/>
  <c r="L20" i="12"/>
  <c r="M20" i="12"/>
  <c r="N20" i="12"/>
  <c r="K21" i="12"/>
  <c r="L21" i="12"/>
  <c r="M21" i="12"/>
  <c r="N21" i="12"/>
  <c r="K22" i="12"/>
  <c r="L22" i="12"/>
  <c r="M22" i="12"/>
  <c r="N22" i="12"/>
  <c r="E23" i="12"/>
  <c r="K23" i="12"/>
  <c r="L23" i="12"/>
  <c r="M23" i="12"/>
  <c r="N23" i="12"/>
  <c r="E24" i="12"/>
  <c r="K24" i="12"/>
  <c r="N24" i="12"/>
  <c r="L24" i="12"/>
  <c r="M24" i="12"/>
  <c r="E25" i="12"/>
  <c r="K25" i="12"/>
  <c r="L25" i="12"/>
  <c r="M25" i="12"/>
  <c r="N25" i="12"/>
  <c r="E26" i="12"/>
  <c r="K26" i="12"/>
  <c r="N26" i="12"/>
  <c r="L26" i="12"/>
  <c r="M26" i="12"/>
  <c r="E27" i="12"/>
  <c r="K27" i="12"/>
  <c r="L27" i="12"/>
  <c r="M27" i="12"/>
  <c r="N27" i="12"/>
  <c r="E28" i="12"/>
  <c r="K28" i="12"/>
  <c r="N28" i="12"/>
  <c r="L28" i="12"/>
  <c r="M28" i="12"/>
  <c r="E29" i="12"/>
  <c r="K29" i="12"/>
  <c r="L29" i="12"/>
  <c r="M29" i="12"/>
  <c r="N29" i="12"/>
  <c r="B30" i="12"/>
  <c r="E30" i="12"/>
  <c r="K30" i="12"/>
  <c r="L30" i="12"/>
  <c r="M30" i="12"/>
  <c r="N30" i="12"/>
  <c r="E31" i="12"/>
  <c r="K31" i="12"/>
  <c r="N31" i="12"/>
  <c r="L31" i="12"/>
  <c r="M31" i="12"/>
  <c r="E32" i="12"/>
  <c r="K32" i="12"/>
  <c r="L32" i="12"/>
  <c r="M32" i="12"/>
  <c r="N32" i="12"/>
  <c r="B33" i="12"/>
  <c r="E33" i="12"/>
  <c r="K33" i="12"/>
  <c r="L33" i="12"/>
  <c r="M33" i="12"/>
  <c r="N33" i="12"/>
  <c r="E34" i="12"/>
  <c r="K34" i="12"/>
  <c r="N34" i="12"/>
  <c r="L34" i="12"/>
  <c r="M34" i="12"/>
  <c r="K35" i="12"/>
  <c r="L35" i="12"/>
  <c r="M35" i="12"/>
  <c r="N35" i="12" s="1"/>
  <c r="K6" i="11"/>
  <c r="L6" i="11"/>
  <c r="M6" i="11"/>
  <c r="N6" i="11"/>
  <c r="K7" i="11"/>
  <c r="L7" i="11"/>
  <c r="M7" i="11"/>
  <c r="N7" i="11"/>
  <c r="K8" i="11"/>
  <c r="L8" i="11"/>
  <c r="M8" i="11"/>
  <c r="N8" i="11"/>
  <c r="K9" i="11"/>
  <c r="L9" i="11"/>
  <c r="M9" i="11"/>
  <c r="N9" i="11"/>
  <c r="K10" i="11"/>
  <c r="L10" i="11"/>
  <c r="M10" i="11"/>
  <c r="N10" i="11"/>
  <c r="K11" i="11"/>
  <c r="L11" i="11"/>
  <c r="M11" i="11"/>
  <c r="N11" i="11"/>
  <c r="K12" i="11"/>
  <c r="L12" i="11"/>
  <c r="M12" i="11"/>
  <c r="N12" i="11"/>
  <c r="K13" i="11"/>
  <c r="L13" i="11"/>
  <c r="M13" i="11"/>
  <c r="N13" i="11"/>
  <c r="K14" i="11"/>
  <c r="L14" i="11"/>
  <c r="M14" i="11"/>
  <c r="N14" i="11"/>
  <c r="K15" i="11"/>
  <c r="L15" i="11"/>
  <c r="M15" i="11"/>
  <c r="N15" i="11"/>
  <c r="K16" i="11"/>
  <c r="L16" i="11"/>
  <c r="M16" i="11"/>
  <c r="N16" i="11"/>
  <c r="K17" i="11"/>
  <c r="L17" i="11"/>
  <c r="M17" i="11"/>
  <c r="N17" i="11"/>
  <c r="K18" i="11"/>
  <c r="L18" i="11"/>
  <c r="M18" i="11"/>
  <c r="N18" i="11"/>
  <c r="K19" i="11"/>
  <c r="L19" i="11"/>
  <c r="M19" i="11"/>
  <c r="N19" i="11"/>
  <c r="K20" i="11"/>
  <c r="L20" i="11"/>
  <c r="M20" i="11"/>
  <c r="N20" i="11"/>
  <c r="K21" i="11"/>
  <c r="L21" i="11"/>
  <c r="M21" i="11"/>
  <c r="N21" i="11"/>
  <c r="K22" i="11"/>
  <c r="L22" i="11"/>
  <c r="M22" i="11"/>
  <c r="N22" i="11"/>
  <c r="K23" i="11"/>
  <c r="L23" i="11"/>
  <c r="M23" i="11"/>
  <c r="N23" i="11"/>
  <c r="K24" i="11"/>
  <c r="L24" i="11"/>
  <c r="M24" i="11"/>
  <c r="N24" i="11"/>
  <c r="K25" i="11"/>
  <c r="L25" i="11"/>
  <c r="M25" i="11"/>
  <c r="N25" i="11"/>
  <c r="K26" i="11"/>
  <c r="L26" i="11"/>
  <c r="M26" i="11"/>
  <c r="N26" i="11"/>
  <c r="K27" i="11"/>
  <c r="L27" i="11"/>
  <c r="M27" i="11"/>
  <c r="N27" i="11"/>
  <c r="K28" i="11"/>
  <c r="L28" i="11"/>
  <c r="M28" i="11"/>
  <c r="N28" i="11"/>
  <c r="E29" i="11"/>
  <c r="K29" i="11"/>
  <c r="L29" i="11"/>
  <c r="M29" i="11"/>
  <c r="N29" i="11"/>
  <c r="B30" i="11"/>
  <c r="E30" i="11"/>
  <c r="K30" i="11"/>
  <c r="L30" i="11"/>
  <c r="M30" i="11"/>
  <c r="N30" i="11"/>
  <c r="K31" i="11"/>
  <c r="L31" i="11"/>
  <c r="M31" i="11"/>
  <c r="N31" i="11"/>
  <c r="K32" i="11"/>
  <c r="L32" i="11"/>
  <c r="M32" i="11"/>
  <c r="N32" i="11"/>
  <c r="B33" i="11"/>
  <c r="E33" i="11"/>
  <c r="K33" i="11"/>
  <c r="L33" i="11"/>
  <c r="M33" i="11"/>
  <c r="N33" i="11"/>
  <c r="E34" i="11"/>
  <c r="K34" i="11"/>
  <c r="N34" i="11"/>
  <c r="L34" i="11"/>
  <c r="M34" i="11"/>
  <c r="K35" i="11"/>
  <c r="L35" i="11"/>
  <c r="M35" i="11"/>
  <c r="N35" i="11"/>
  <c r="E6" i="10"/>
  <c r="K6" i="10"/>
  <c r="L6" i="10"/>
  <c r="M6" i="10"/>
  <c r="N6" i="10"/>
  <c r="E7" i="10"/>
  <c r="K7" i="10"/>
  <c r="N7" i="10"/>
  <c r="L7" i="10"/>
  <c r="M7" i="10"/>
  <c r="E8" i="10"/>
  <c r="K8" i="10"/>
  <c r="L8" i="10"/>
  <c r="M8" i="10"/>
  <c r="N8" i="10"/>
  <c r="E9" i="10"/>
  <c r="K9" i="10"/>
  <c r="N9" i="10"/>
  <c r="L9" i="10"/>
  <c r="M9" i="10"/>
  <c r="E10" i="10"/>
  <c r="K10" i="10"/>
  <c r="L10" i="10"/>
  <c r="M10" i="10"/>
  <c r="N10" i="10"/>
  <c r="E11" i="10"/>
  <c r="K11" i="10"/>
  <c r="N11" i="10"/>
  <c r="L11" i="10"/>
  <c r="M11" i="10"/>
  <c r="E12" i="10"/>
  <c r="K12" i="10"/>
  <c r="L12" i="10"/>
  <c r="M12" i="10"/>
  <c r="N12" i="10"/>
  <c r="E13" i="10"/>
  <c r="K13" i="10"/>
  <c r="N13" i="10"/>
  <c r="L13" i="10"/>
  <c r="M13" i="10"/>
  <c r="E14" i="10"/>
  <c r="K14" i="10"/>
  <c r="L14" i="10"/>
  <c r="M14" i="10"/>
  <c r="N14" i="10"/>
  <c r="E15" i="10"/>
  <c r="K15" i="10"/>
  <c r="N15" i="10"/>
  <c r="L15" i="10"/>
  <c r="M15" i="10"/>
  <c r="E16" i="10"/>
  <c r="K16" i="10"/>
  <c r="L16" i="10"/>
  <c r="M16" i="10"/>
  <c r="N16" i="10"/>
  <c r="E17" i="10"/>
  <c r="K17" i="10"/>
  <c r="N17" i="10"/>
  <c r="L17" i="10"/>
  <c r="M17" i="10"/>
  <c r="E18" i="10"/>
  <c r="K18" i="10"/>
  <c r="L18" i="10"/>
  <c r="M18" i="10"/>
  <c r="N18" i="10"/>
  <c r="E19" i="10"/>
  <c r="K19" i="10"/>
  <c r="N19" i="10"/>
  <c r="L19" i="10"/>
  <c r="M19" i="10"/>
  <c r="E20" i="10"/>
  <c r="K20" i="10"/>
  <c r="L20" i="10"/>
  <c r="M20" i="10"/>
  <c r="N20" i="10"/>
  <c r="E21" i="10"/>
  <c r="K21" i="10"/>
  <c r="N21" i="10"/>
  <c r="L21" i="10"/>
  <c r="M21" i="10"/>
  <c r="E22" i="10"/>
  <c r="K22" i="10"/>
  <c r="L22" i="10"/>
  <c r="M22" i="10"/>
  <c r="N22" i="10"/>
  <c r="E23" i="10"/>
  <c r="K23" i="10"/>
  <c r="N23" i="10"/>
  <c r="L23" i="10"/>
  <c r="M23" i="10"/>
  <c r="E24" i="10"/>
  <c r="K24" i="10"/>
  <c r="L24" i="10"/>
  <c r="M24" i="10"/>
  <c r="N24" i="10"/>
  <c r="E25" i="10"/>
  <c r="K25" i="10"/>
  <c r="N25" i="10"/>
  <c r="L25" i="10"/>
  <c r="M25" i="10"/>
  <c r="E26" i="10"/>
  <c r="K26" i="10"/>
  <c r="L26" i="10"/>
  <c r="M26" i="10"/>
  <c r="N26" i="10"/>
  <c r="E27" i="10"/>
  <c r="K27" i="10"/>
  <c r="N27" i="10"/>
  <c r="L27" i="10"/>
  <c r="M27" i="10"/>
  <c r="E28" i="10"/>
  <c r="K28" i="10"/>
  <c r="L28" i="10"/>
  <c r="M28" i="10"/>
  <c r="N28" i="10"/>
  <c r="E29" i="10"/>
  <c r="K29" i="10"/>
  <c r="N29" i="10"/>
  <c r="L29" i="10"/>
  <c r="M29" i="10"/>
  <c r="B30" i="10"/>
  <c r="E30" i="10"/>
  <c r="K30" i="10"/>
  <c r="N30" i="10"/>
  <c r="L30" i="10"/>
  <c r="M30" i="10"/>
  <c r="B31" i="10"/>
  <c r="E31" i="10"/>
  <c r="K31" i="10"/>
  <c r="N31" i="10"/>
  <c r="L31" i="10"/>
  <c r="M31" i="10"/>
  <c r="B32" i="10"/>
  <c r="E32" i="10"/>
  <c r="K32" i="10"/>
  <c r="N32" i="10"/>
  <c r="L32" i="10"/>
  <c r="M32" i="10"/>
  <c r="B33" i="10"/>
  <c r="E33" i="10"/>
  <c r="K33" i="10"/>
  <c r="N33" i="10"/>
  <c r="L33" i="10"/>
  <c r="M33" i="10"/>
  <c r="B34" i="10"/>
  <c r="E34" i="10"/>
  <c r="K34" i="10"/>
  <c r="N34" i="10"/>
  <c r="L34" i="10"/>
  <c r="M34" i="10"/>
  <c r="K35" i="10"/>
  <c r="L35" i="10"/>
  <c r="M35" i="10"/>
  <c r="N35" i="10"/>
  <c r="K6" i="9"/>
  <c r="L6" i="9"/>
  <c r="M6" i="9"/>
  <c r="N6" i="9"/>
  <c r="K7" i="9"/>
  <c r="L7" i="9"/>
  <c r="M7" i="9"/>
  <c r="N7" i="9"/>
  <c r="K8" i="9"/>
  <c r="L8" i="9"/>
  <c r="M8" i="9"/>
  <c r="N8" i="9"/>
  <c r="K9" i="9"/>
  <c r="L9" i="9"/>
  <c r="M9" i="9"/>
  <c r="N9" i="9"/>
  <c r="K10" i="9"/>
  <c r="L10" i="9"/>
  <c r="M10" i="9"/>
  <c r="N10" i="9"/>
  <c r="K11" i="9"/>
  <c r="L11" i="9"/>
  <c r="M11" i="9"/>
  <c r="N11" i="9"/>
  <c r="K12" i="9"/>
  <c r="L12" i="9"/>
  <c r="M12" i="9"/>
  <c r="N12" i="9"/>
  <c r="K13" i="9"/>
  <c r="L13" i="9"/>
  <c r="M13" i="9"/>
  <c r="N13" i="9"/>
  <c r="K14" i="9"/>
  <c r="L14" i="9"/>
  <c r="M14" i="9"/>
  <c r="N14" i="9"/>
  <c r="K15" i="9"/>
  <c r="L15" i="9"/>
  <c r="M15" i="9"/>
  <c r="N15" i="9"/>
  <c r="K16" i="9"/>
  <c r="L16" i="9"/>
  <c r="M16" i="9"/>
  <c r="N16" i="9"/>
  <c r="K17" i="9"/>
  <c r="L17" i="9"/>
  <c r="M17" i="9"/>
  <c r="N17" i="9"/>
  <c r="K18" i="9"/>
  <c r="L18" i="9"/>
  <c r="M18" i="9"/>
  <c r="N18" i="9"/>
  <c r="K19" i="9"/>
  <c r="L19" i="9"/>
  <c r="M19" i="9"/>
  <c r="N19" i="9"/>
  <c r="K20" i="9"/>
  <c r="L20" i="9"/>
  <c r="M20" i="9"/>
  <c r="N20" i="9"/>
  <c r="K21" i="9"/>
  <c r="L21" i="9"/>
  <c r="M21" i="9"/>
  <c r="N21" i="9"/>
  <c r="K22" i="9"/>
  <c r="L22" i="9"/>
  <c r="M22" i="9"/>
  <c r="N22" i="9"/>
  <c r="K23" i="9"/>
  <c r="L23" i="9"/>
  <c r="M23" i="9"/>
  <c r="N23" i="9"/>
  <c r="K24" i="9"/>
  <c r="L24" i="9"/>
  <c r="M24" i="9"/>
  <c r="N24" i="9"/>
  <c r="K25" i="9"/>
  <c r="L25" i="9"/>
  <c r="M25" i="9"/>
  <c r="N25" i="9"/>
  <c r="K26" i="9"/>
  <c r="L26" i="9"/>
  <c r="M26" i="9"/>
  <c r="N26" i="9"/>
  <c r="K27" i="9"/>
  <c r="L27" i="9"/>
  <c r="M27" i="9"/>
  <c r="N27" i="9"/>
  <c r="K28" i="9"/>
  <c r="L28" i="9"/>
  <c r="M28" i="9"/>
  <c r="N28" i="9"/>
  <c r="K29" i="9"/>
  <c r="L29" i="9"/>
  <c r="M29" i="9"/>
  <c r="N29" i="9"/>
  <c r="K30" i="9"/>
  <c r="L30" i="9"/>
  <c r="M30" i="9"/>
  <c r="N30" i="9"/>
  <c r="K31" i="9"/>
  <c r="L31" i="9"/>
  <c r="M31" i="9"/>
  <c r="N31" i="9"/>
  <c r="K32" i="9"/>
  <c r="L32" i="9"/>
  <c r="M32" i="9"/>
  <c r="N32" i="9"/>
  <c r="K33" i="9"/>
  <c r="L33" i="9"/>
  <c r="M33" i="9"/>
  <c r="N33" i="9"/>
  <c r="K34" i="9"/>
  <c r="L34" i="9"/>
  <c r="M34" i="9"/>
  <c r="N34" i="9"/>
  <c r="K35" i="9"/>
  <c r="L35" i="9"/>
  <c r="M35" i="9"/>
  <c r="N35" i="9"/>
  <c r="B33" i="4"/>
  <c r="E32" i="4"/>
  <c r="E26" i="4"/>
  <c r="E24" i="4"/>
  <c r="K24" i="4" s="1"/>
  <c r="E22" i="4"/>
  <c r="K22" i="4" s="1"/>
  <c r="E20" i="4"/>
  <c r="K20" i="4" s="1"/>
  <c r="E18" i="4"/>
  <c r="E16" i="4"/>
  <c r="K16" i="4" s="1"/>
  <c r="E28" i="50"/>
  <c r="E28" i="4"/>
  <c r="B32" i="4"/>
  <c r="E31" i="4"/>
  <c r="E29" i="4"/>
  <c r="B28" i="4"/>
  <c r="K28" i="4" s="1"/>
  <c r="E27" i="4"/>
  <c r="B26" i="4"/>
  <c r="E25" i="4"/>
  <c r="E23" i="4"/>
  <c r="K23" i="4" s="1"/>
  <c r="E21" i="4"/>
  <c r="E19" i="4"/>
  <c r="K19" i="4" s="1"/>
  <c r="E17" i="4"/>
  <c r="E15" i="4"/>
  <c r="H14" i="4"/>
  <c r="K14" i="4" s="1"/>
  <c r="E13" i="4"/>
  <c r="E11" i="4"/>
  <c r="K11" i="4" s="1"/>
  <c r="E9" i="4"/>
  <c r="E7" i="4"/>
  <c r="K7" i="4" s="1"/>
  <c r="K30" i="29"/>
  <c r="N30" i="29"/>
  <c r="K30" i="36"/>
  <c r="N30" i="36"/>
  <c r="K33" i="37"/>
  <c r="N33" i="37"/>
  <c r="K30" i="37"/>
  <c r="N30" i="37"/>
  <c r="K33" i="38"/>
  <c r="N33" i="38"/>
  <c r="K30" i="38"/>
  <c r="N30" i="38"/>
  <c r="K33" i="43"/>
  <c r="N33" i="43"/>
  <c r="K32" i="43"/>
  <c r="N32" i="43"/>
  <c r="K31" i="43"/>
  <c r="N31" i="43"/>
  <c r="E33" i="45"/>
  <c r="K33" i="45"/>
  <c r="N33" i="45"/>
  <c r="E30" i="45"/>
  <c r="K30" i="45"/>
  <c r="N30" i="45"/>
  <c r="E30" i="54"/>
  <c r="K30" i="54"/>
  <c r="N30" i="54"/>
  <c r="K28" i="50"/>
  <c r="N28" i="50"/>
  <c r="N37" i="4" l="1"/>
  <c r="M28" i="4"/>
  <c r="L15" i="4"/>
  <c r="L25" i="4"/>
  <c r="L19" i="4"/>
  <c r="M16" i="4"/>
  <c r="L13" i="4"/>
  <c r="M13" i="4"/>
  <c r="M10" i="4"/>
  <c r="K10" i="4"/>
  <c r="L26" i="4"/>
  <c r="K15" i="4"/>
  <c r="K9" i="4"/>
  <c r="K13" i="4"/>
  <c r="K17" i="4"/>
  <c r="K21" i="4"/>
  <c r="K25" i="4"/>
  <c r="K27" i="4"/>
  <c r="K29" i="4"/>
  <c r="K18" i="4"/>
  <c r="K26" i="4"/>
  <c r="M32" i="4"/>
  <c r="L29" i="4"/>
  <c r="L27" i="4"/>
  <c r="M25" i="4"/>
  <c r="L24" i="4"/>
  <c r="K8" i="4"/>
  <c r="K31" i="4"/>
  <c r="L21" i="4"/>
  <c r="M20" i="4"/>
  <c r="M19" i="4"/>
  <c r="L9" i="4"/>
  <c r="L8" i="4"/>
  <c r="M8" i="4"/>
  <c r="L7" i="4"/>
  <c r="L17" i="4"/>
  <c r="N33" i="46"/>
  <c r="K33" i="46"/>
  <c r="E33" i="4"/>
  <c r="K33" i="4" s="1"/>
  <c r="K32" i="4"/>
  <c r="L31" i="4"/>
  <c r="M30" i="4"/>
  <c r="L30" i="4"/>
  <c r="M24" i="4"/>
  <c r="M21" i="4"/>
  <c r="N21" i="4" s="1"/>
  <c r="M18" i="4"/>
  <c r="M17" i="4"/>
  <c r="N17" i="4" s="1"/>
  <c r="K12" i="4"/>
  <c r="E30" i="46"/>
  <c r="L33" i="4"/>
  <c r="L32" i="4"/>
  <c r="N32" i="4" s="1"/>
  <c r="M31" i="4"/>
  <c r="M29" i="4"/>
  <c r="N29" i="4" s="1"/>
  <c r="L28" i="4"/>
  <c r="N28" i="4" s="1"/>
  <c r="M27" i="4"/>
  <c r="N24" i="4"/>
  <c r="L23" i="4"/>
  <c r="M22" i="4"/>
  <c r="M14" i="4"/>
  <c r="L12" i="4"/>
  <c r="M12" i="4"/>
  <c r="L11" i="4"/>
  <c r="N11" i="4" s="1"/>
  <c r="L10" i="4"/>
  <c r="N10" i="4" s="1"/>
  <c r="M9" i="4"/>
  <c r="M7" i="4"/>
  <c r="N7" i="4" s="1"/>
  <c r="K6" i="4"/>
  <c r="M33" i="4"/>
  <c r="M26" i="4"/>
  <c r="N26" i="4" s="1"/>
  <c r="M23" i="4"/>
  <c r="L22" i="4"/>
  <c r="L20" i="4"/>
  <c r="N19" i="4"/>
  <c r="L18" i="4"/>
  <c r="L16" i="4"/>
  <c r="N16" i="4" s="1"/>
  <c r="M15" i="4"/>
  <c r="N15" i="4" s="1"/>
  <c r="L14" i="4"/>
  <c r="N14" i="4" s="1"/>
  <c r="M11" i="4"/>
  <c r="L6" i="4"/>
  <c r="N6" i="4" s="1"/>
  <c r="N27" i="4"/>
  <c r="N25" i="4"/>
  <c r="N23" i="4"/>
  <c r="N13" i="4"/>
  <c r="N33" i="4" l="1"/>
  <c r="N18" i="4"/>
  <c r="N12" i="4"/>
  <c r="N8" i="4"/>
  <c r="N20" i="4"/>
  <c r="N9" i="4"/>
  <c r="K30" i="46"/>
  <c r="N30" i="46" s="1"/>
  <c r="E30" i="4"/>
  <c r="K30" i="4" s="1"/>
  <c r="N30" i="4" s="1"/>
  <c r="N31" i="4"/>
  <c r="N22" i="4"/>
</calcChain>
</file>

<file path=xl/sharedStrings.xml><?xml version="1.0" encoding="utf-8"?>
<sst xmlns="http://schemas.openxmlformats.org/spreadsheetml/2006/main" count="1406" uniqueCount="350">
  <si>
    <t>Alabama</t>
  </si>
  <si>
    <t>Year</t>
  </si>
  <si>
    <t>Undergraduate</t>
  </si>
  <si>
    <t>Graduate</t>
  </si>
  <si>
    <t>Uncategorized</t>
  </si>
  <si>
    <t>Primary Need-based Grant Program</t>
  </si>
  <si>
    <t>Other Grant</t>
  </si>
  <si>
    <t>Need-based</t>
  </si>
  <si>
    <t>Nonneed-based</t>
  </si>
  <si>
    <t>Alaska</t>
  </si>
  <si>
    <t>Arizona</t>
  </si>
  <si>
    <t>Arkansas</t>
  </si>
  <si>
    <t>Total</t>
  </si>
  <si>
    <t>California</t>
  </si>
  <si>
    <t>Primary considered to be State Scholarships</t>
  </si>
  <si>
    <t>Colorado</t>
  </si>
  <si>
    <t>Connecticut</t>
  </si>
  <si>
    <t>Primary is State Scholarship Program</t>
  </si>
  <si>
    <t>Delaware</t>
  </si>
  <si>
    <t>District of Columbia</t>
  </si>
  <si>
    <t>Florida</t>
  </si>
  <si>
    <t>Primary is Higher Education Scholarships</t>
  </si>
  <si>
    <t>Primary is Student Assistance Grants</t>
  </si>
  <si>
    <t>Iowa</t>
  </si>
  <si>
    <t>Indiana</t>
  </si>
  <si>
    <t>Illinois</t>
  </si>
  <si>
    <t>Idaho</t>
  </si>
  <si>
    <t>Hawaii</t>
  </si>
  <si>
    <t>Georgia</t>
  </si>
  <si>
    <t>Mississippi</t>
  </si>
  <si>
    <t>Minnesota</t>
  </si>
  <si>
    <t>Michigan</t>
  </si>
  <si>
    <t>Massachusettes</t>
  </si>
  <si>
    <t>Maryland</t>
  </si>
  <si>
    <t>Maine</t>
  </si>
  <si>
    <t>Louisiana</t>
  </si>
  <si>
    <t>Kentucky</t>
  </si>
  <si>
    <t>Kansas</t>
  </si>
  <si>
    <t>Primary is Monetary Award Program.  Student to Student not treated as a grant program in report and treated as nonneed-based.</t>
  </si>
  <si>
    <t>1.  In many of the early surveys, the current Table 1 numbers are in a table called "Undergraduate States Programs of Financial Aid Based on Need".  These are assumed to be grants.  Another table has "Categorical Programs" assumed to correspond to forgiveable loans, conditional grants, work-study, and the types of program included on current Table 2.</t>
  </si>
  <si>
    <t>Primary is Tuition Grant Program.</t>
  </si>
  <si>
    <t>Primary is Tuition Grant Program</t>
  </si>
  <si>
    <t>Primary is Tuition Equalization Program</t>
  </si>
  <si>
    <t>Primary is General State Scholarships</t>
  </si>
  <si>
    <t>Primary is General Scholarships</t>
  </si>
  <si>
    <t>Primary is Competitive Scholarship Program</t>
  </si>
  <si>
    <t>Montana</t>
  </si>
  <si>
    <t>Missouri</t>
  </si>
  <si>
    <t>Nebraska</t>
  </si>
  <si>
    <t>Nevada</t>
  </si>
  <si>
    <t>Primary is Student Grant Program</t>
  </si>
  <si>
    <t>2.  Programs have been included in these spreadsheets as they were categorized in the surveys.  For example, programs in the "Categorical Programs" tables in the oldest surveys which may or may not actually be grants were not included.</t>
  </si>
  <si>
    <t>New Hampshire</t>
  </si>
  <si>
    <t>New Jersey</t>
  </si>
  <si>
    <t>New Mexico</t>
  </si>
  <si>
    <t>Primary is Educational Opportunity Grants</t>
  </si>
  <si>
    <t>New York</t>
  </si>
  <si>
    <t>North Carolina</t>
  </si>
  <si>
    <t>North Dakota</t>
  </si>
  <si>
    <t>Primary is Grant Program</t>
  </si>
  <si>
    <t>Ohio</t>
  </si>
  <si>
    <t>Primary is Ohio Instructional Grants</t>
  </si>
  <si>
    <t>Oklahoma</t>
  </si>
  <si>
    <t>Oregon</t>
  </si>
  <si>
    <t>Primary is Need Grant Program</t>
  </si>
  <si>
    <t>Pennsylvania</t>
  </si>
  <si>
    <t>Primary is State Scholarships</t>
  </si>
  <si>
    <t>Puerto Rico</t>
  </si>
  <si>
    <t>Rhode Island</t>
  </si>
  <si>
    <t>South Carolina</t>
  </si>
  <si>
    <t>South Dakota</t>
  </si>
  <si>
    <t>Tennessee</t>
  </si>
  <si>
    <t>Texas</t>
  </si>
  <si>
    <t>Primary is Tuition Equalization Grants</t>
  </si>
  <si>
    <t>Utah</t>
  </si>
  <si>
    <t>Vermont</t>
  </si>
  <si>
    <t>Primary is Incentive Grant Program</t>
  </si>
  <si>
    <t>4.  Data for Guam, American Samoa, Northern Marianas, Trust Territories, and the Virgin Islands has not been included.  Only limited information is available in early surveys and data is not reported after 1985.</t>
  </si>
  <si>
    <t>Virginia</t>
  </si>
  <si>
    <t>Primary is Scholarship Assistance Program</t>
  </si>
  <si>
    <t>Washington</t>
  </si>
  <si>
    <t>West Virginia</t>
  </si>
  <si>
    <t>Primary is Scholarship Program</t>
  </si>
  <si>
    <t>Wisconsin</t>
  </si>
  <si>
    <t>Primary is Higher Education Grant Program.  Other grants include $853,845 in Indian Student Assistance which would probably be reported on Table 2 of the current survey.</t>
  </si>
  <si>
    <t>Wyoming</t>
  </si>
  <si>
    <t>State Scholarship Program</t>
  </si>
  <si>
    <t>Student Grant</t>
  </si>
  <si>
    <t>Student Grant Program</t>
  </si>
  <si>
    <t>Incentive Scholarship Program</t>
  </si>
  <si>
    <t>Student Incentive Grants</t>
  </si>
  <si>
    <t>Educational Opportunity Fund Grants</t>
  </si>
  <si>
    <t>Tuition Aid Grants</t>
  </si>
  <si>
    <t>Higher Education Grants</t>
  </si>
  <si>
    <t>College Scholarship Assistance</t>
  </si>
  <si>
    <t>Survey</t>
  </si>
  <si>
    <t xml:space="preserve">Comes from </t>
  </si>
  <si>
    <t>Expenditure data</t>
  </si>
  <si>
    <t>5.  Surveys prior to 1984 included two year's of data- one actual, one estimated.  The "actual" data was used until 1982.  The 1983 data is the estimated data from the 14th survey.  1984 marks the first appearance of the Table 1 used in the current survey.  From 1984 to 1995, the Table 1 numbers are identified as estimated, after 1995 they are assumed to be actuals.</t>
  </si>
  <si>
    <t>State Grants</t>
  </si>
  <si>
    <t>Incentive Grant Program</t>
  </si>
  <si>
    <t>Student Financial Assistance Program</t>
  </si>
  <si>
    <t>Student Assistance Awards.  Big drop for unknown reason.</t>
  </si>
  <si>
    <t>Scholarships</t>
  </si>
  <si>
    <t>State Student Incentive Grant Program</t>
  </si>
  <si>
    <t>Grants</t>
  </si>
  <si>
    <t>Incentive Grants</t>
  </si>
  <si>
    <t>Grant in Aid Program becomes State Grant Program and becomes primary.  State Scholarship Program is in other need based grants.</t>
  </si>
  <si>
    <t>Student Incentive Grant Program</t>
  </si>
  <si>
    <t>Incentive Program</t>
  </si>
  <si>
    <t>Phase out of Educational Opportunity Fund Grants</t>
  </si>
  <si>
    <t>Student Assistance Program</t>
  </si>
  <si>
    <t>Education Opportunity Grant  program made into A, B, and C</t>
  </si>
  <si>
    <t>Postsecondary Scholarships created</t>
  </si>
  <si>
    <t>Incentive Scholarships</t>
  </si>
  <si>
    <t>Grant in Aid Program.</t>
  </si>
  <si>
    <t>Likely to be previous year data.</t>
  </si>
  <si>
    <t>Tuition Aid Grants (TAG)</t>
  </si>
  <si>
    <t>Primary is Tuition Assistance Program (TAP)</t>
  </si>
  <si>
    <t>Phase out of old Scholarship Program.  Replace with new Scholarship Program.</t>
  </si>
  <si>
    <t>Grant Program (new)</t>
  </si>
  <si>
    <t>SEIG</t>
  </si>
  <si>
    <t>Cal Grant A, B, C</t>
  </si>
  <si>
    <t xml:space="preserve">6.  Programs like Illinois Student to Student Program and Correctional Officer's Dependent's programs are mentioned for the first time in Survey 11, 1979-80, however no monetary award data are provided for such programs and no indication is provided as to whether such programs are need based, merit based, grants, loans, etc. </t>
  </si>
  <si>
    <t>7.  Early surveys do not include graduate student award data.</t>
  </si>
  <si>
    <t>States Scholarship Programs is noted as State Scholarship Programs (undergrad).</t>
  </si>
  <si>
    <t>Freedom of Choice Grants funded</t>
  </si>
  <si>
    <t>Student Incentive Scholarship Program</t>
  </si>
  <si>
    <t>Rhode Island Scholarship and Grant Program</t>
  </si>
  <si>
    <t>Tuition Equalization Grant.  State Indian Scholarship created.</t>
  </si>
  <si>
    <t xml:space="preserve">8.  List of "Nonneed Based Grant and Other Programs" included for first time in 13th survey.  Only appropriation, no expenditure data provided.  No distinction made between program type (grant, work-study, loan, conditional grant) other than program name that would allow inclusion into "Table 1" numbers, even if expenditures were available.  </t>
  </si>
  <si>
    <t>Educational Incentive Grants</t>
  </si>
  <si>
    <t>Same 2 programs, just a decrease.</t>
  </si>
  <si>
    <t>Tuition Grant Program.  Student Incentive Grant funded.</t>
  </si>
  <si>
    <t>Scholarship and Grant Program</t>
  </si>
  <si>
    <t>Estimated.</t>
  </si>
  <si>
    <t>Cal Grant A figures estimated.</t>
  </si>
  <si>
    <t>Previous year figure.</t>
  </si>
  <si>
    <t>No explantion for change</t>
  </si>
  <si>
    <t>Other nonneed grant is Regent's Scholarship.  Placed in this category based on notes in 13th survey.</t>
  </si>
  <si>
    <t>Student Incentive Grant as primary.  Legislative Tuition Grant created.  Treated as nonneed grant based on notes in 13th survey.</t>
  </si>
  <si>
    <t>Creation of Tuition Assistance Grant Program.  Treated as nonneed grant based on notes in 13th survey.</t>
  </si>
  <si>
    <t xml:space="preserve">9.  14th survey is first appearance of reported graduate aid.  Grad/undergrad breakouts were not made for some programs for the 14th and program totals were reported as all undergraduate. </t>
  </si>
  <si>
    <t>Part of this figure reported as estimated.</t>
  </si>
  <si>
    <t>Previous year data</t>
  </si>
  <si>
    <t>Reported as estimated</t>
  </si>
  <si>
    <t>Reported as previous year data</t>
  </si>
  <si>
    <t>Creation of Indian Scholarship</t>
  </si>
  <si>
    <t>State Scholarships eliminated.  Primary is Higher Educational Awards.</t>
  </si>
  <si>
    <t xml:space="preserve">Other grants includes graduate award dollars </t>
  </si>
  <si>
    <t>First appearance of grad breakouts</t>
  </si>
  <si>
    <t>Graduate funding is for a scholarship/loan program that would probably go on modern Table 2</t>
  </si>
  <si>
    <t>Undergraduate nonneed grants include some iyems that would probably be reported on modern table 2</t>
  </si>
  <si>
    <t>First appearance of Student to Student figures.  Nonneed included some programs which would probably be reported on modern table 2</t>
  </si>
  <si>
    <t>Nonneed included some programs which would probably be reported on modern table 2</t>
  </si>
  <si>
    <t>No reported distinction between grad and undergrad for primary in survey.  Nonneed includes some previous year figures</t>
  </si>
  <si>
    <t>First appearance of modern Table 1 without primary breakout</t>
  </si>
  <si>
    <t>Modern Table 1 with primary breakout</t>
  </si>
  <si>
    <t>Nonneed graduate is new medical programs that might be reported on modern Table 2</t>
  </si>
  <si>
    <t>Legislative Awards created.  Incentive grants used as primary here.</t>
  </si>
  <si>
    <t xml:space="preserve">Incentive Grants as primary. </t>
  </si>
  <si>
    <t>Nonneed graduate reported as previous year data</t>
  </si>
  <si>
    <t>Scholastic Achievement Grant</t>
  </si>
  <si>
    <t>Nonneed graduate from 16th survey</t>
  </si>
  <si>
    <t>Nonneed graduate from 15th survey</t>
  </si>
  <si>
    <t>Vets Tuition Credit program does not appear to be reported in undergraduate nonneed</t>
  </si>
  <si>
    <t>Reported as previous year figure</t>
  </si>
  <si>
    <t>Previous year figures.</t>
  </si>
  <si>
    <t>Tuition Asssistance Grant created.  SFA is primary</t>
  </si>
  <si>
    <t>Freedom of Choice Grants not reported as funded</t>
  </si>
  <si>
    <t>Creation of Higher Education Academic Scholarship</t>
  </si>
  <si>
    <t>Tuition Assistance Grants not reported as funded.  Creation of Scholars Program</t>
  </si>
  <si>
    <t>Creattion of Governor's Academic Scholarship</t>
  </si>
  <si>
    <t>431,413,431.  They are as reported</t>
  </si>
  <si>
    <t>Originally reported as previous year data.  Changed to reflect data from in 20th survey- following year</t>
  </si>
  <si>
    <t>3299, 3299</t>
  </si>
  <si>
    <t>SFA program doubled.</t>
  </si>
  <si>
    <t>Revised based on data in 20th survey following</t>
  </si>
  <si>
    <t>Revised from orginally reported number based on following survey</t>
  </si>
  <si>
    <t>MRS, IVG, and ING added</t>
  </si>
  <si>
    <t>State Scholarship Award Program</t>
  </si>
  <si>
    <t>Reported as previous year figures</t>
  </si>
  <si>
    <t>Higher Education/Freedom of Choice Grants</t>
  </si>
  <si>
    <t>College Access Grant Program</t>
  </si>
  <si>
    <t>Tuition Assistance Plan created</t>
  </si>
  <si>
    <t>Academic Challenge Scholarship created</t>
  </si>
  <si>
    <t>Student Assistance Grant as primary</t>
  </si>
  <si>
    <t>48 percent cut in main program</t>
  </si>
  <si>
    <t>Nonneed undergrad Regent's College Scholarship not funded</t>
  </si>
  <si>
    <t>Nonneed graduate is a portion of IVG</t>
  </si>
  <si>
    <t>Creation of Cash Grants Program</t>
  </si>
  <si>
    <t>Creation of HOPE Grant.  Portions of HOPE grant are in need based and portions are in nonneed based</t>
  </si>
  <si>
    <t>Previous year data reported.</t>
  </si>
  <si>
    <t>Independent College Tuition Grants</t>
  </si>
  <si>
    <t>Creation of $4.5 million Honors's Scholarship Program</t>
  </si>
  <si>
    <t>Garden State Graduate Scholarship not funded</t>
  </si>
  <si>
    <t>Creation of State Contractual Scholarship in 25th survey</t>
  </si>
  <si>
    <t>Doubling of State Need Grants</t>
  </si>
  <si>
    <t>HOPE grant appears to have been moved to all nonneed-based</t>
  </si>
  <si>
    <t>No way to determine primary amount or breakout of numbers</t>
  </si>
  <si>
    <t>Creation of Gilbert Grant and big increase for MASS Cash Grant</t>
  </si>
  <si>
    <t>Significant increase</t>
  </si>
  <si>
    <t>Primary spending breakout not reported</t>
  </si>
  <si>
    <t>Need based graduate assumed to be TAP but no data reported</t>
  </si>
  <si>
    <t>No reported breakout that can be used</t>
  </si>
  <si>
    <t>Reported previous year figures</t>
  </si>
  <si>
    <t>10.  Beginning with 26th survey, data for 94-95, only undergraduate by program expenditures are identified.  There is no way to determine which portion of the total graduate need based aid in a state is part of the primary need based grant program.  Therefore graduate need-based aid between 1994-95 and 2001-02 was assigned to a primary program only if a reasonable assumption could be made or data was avilable(i.e. AZ. DE, NY, and VT).  Table 1 in survey 34, 2002-03, allows a breakout of the primary program.</t>
  </si>
  <si>
    <t>Big change.</t>
  </si>
  <si>
    <t>College Access Program (CAP)</t>
  </si>
  <si>
    <t>Educational Excellence as primary</t>
  </si>
  <si>
    <t>Student Access created.  Reported info insufficient to assign graduate need based to primary or to split out primary</t>
  </si>
  <si>
    <t>Graduate and undergraduate expenditures appear combined in report</t>
  </si>
  <si>
    <t>no breakout data</t>
  </si>
  <si>
    <t>No reported data to break out primary graduate</t>
  </si>
  <si>
    <t>MASSGrant</t>
  </si>
  <si>
    <t xml:space="preserve">Includes $19.8 million in EOF funds reported but counted differently in the previous year </t>
  </si>
  <si>
    <t>396, 369</t>
  </si>
  <si>
    <t>Breakout is strange</t>
  </si>
  <si>
    <t>Creation of Centennial Opportunity Program for Education as primary</t>
  </si>
  <si>
    <t>257, 275</t>
  </si>
  <si>
    <t>New programs</t>
  </si>
  <si>
    <t>Prior year data</t>
  </si>
  <si>
    <t>New programs and programs previously counted differently</t>
  </si>
  <si>
    <t>MTAP</t>
  </si>
  <si>
    <t>Nevada Student Access Grant created.  Reporting will not allow breakout of primary</t>
  </si>
  <si>
    <t>Nevada Student Access Grant as primary</t>
  </si>
  <si>
    <t>Includes some programs counted differently in previous years</t>
  </si>
  <si>
    <t>Suppplementary Aid as primary</t>
  </si>
  <si>
    <t>State Grant Program</t>
  </si>
  <si>
    <t>Change may be addition of Discretionary Aid.</t>
  </si>
  <si>
    <t>Kansas Comprehensive Grant</t>
  </si>
  <si>
    <t>Creation of TOPS program</t>
  </si>
  <si>
    <t>Charles Ghallagher Student Financial Assistance</t>
  </si>
  <si>
    <t>Includes programs previous counted differently</t>
  </si>
  <si>
    <t>Capitol Scholarship Program</t>
  </si>
  <si>
    <t>insufficient data to breakout primary</t>
  </si>
  <si>
    <t>Bright Futures?</t>
  </si>
  <si>
    <t>New program</t>
  </si>
  <si>
    <t>Educational Assistance Grant</t>
  </si>
  <si>
    <t>Includes programs counted differently in previous years</t>
  </si>
  <si>
    <t>Texas Grant Created.  Other programs added.</t>
  </si>
  <si>
    <t>Insufficient reported data to breakout primary</t>
  </si>
  <si>
    <t>Still no reported breakout that can be used</t>
  </si>
  <si>
    <t>Reorganization, new programs.  Supplementary Aid used as primary.</t>
  </si>
  <si>
    <t>Texas grant increased</t>
  </si>
  <si>
    <t>Virgina Commonwealth Award as primary</t>
  </si>
  <si>
    <t>Quern</t>
  </si>
  <si>
    <t>Uncategorized need based is probably all graduate</t>
  </si>
  <si>
    <t>Uncategorized is probabaly mostly undergraduate</t>
  </si>
  <si>
    <t>Probably undergrad</t>
  </si>
  <si>
    <t xml:space="preserve">11.  Data to breakout the primary program from all undergrad need based aid is not available for several states (DC, NV, NM, NC, SD, and TX) in 94-95 and several additional following years. </t>
  </si>
  <si>
    <t>3.  Program expenditures should include SSIG/LEAP expenditures from federal funds.</t>
  </si>
  <si>
    <t>IVG and ING not characterized as grad or undergrad</t>
  </si>
  <si>
    <t>Addition of Vacational Rehabilitation</t>
  </si>
  <si>
    <t>Medical Scholarships</t>
  </si>
  <si>
    <t>AlaskaAdvantage Education Grant</t>
  </si>
  <si>
    <t>Alaska Performance Scholarship</t>
  </si>
  <si>
    <t>Arizona Financial Aid Trust</t>
  </si>
  <si>
    <t>Academic Challenge Scholarship changed</t>
  </si>
  <si>
    <t>Colorado Graduate Grant</t>
  </si>
  <si>
    <t>Reporting artifact</t>
  </si>
  <si>
    <t>Governor's Scholarships</t>
  </si>
  <si>
    <t>Program change reporting artifact</t>
  </si>
  <si>
    <t>DCTAG</t>
  </si>
  <si>
    <t>First Generation Matching Grant</t>
  </si>
  <si>
    <t>Prepaid Tuition Scholarship</t>
  </si>
  <si>
    <t>Last LEAP</t>
  </si>
  <si>
    <t>Hawaii Plan B Scholarship</t>
  </si>
  <si>
    <t>Institutional aid</t>
  </si>
  <si>
    <t>Treat as an artifact</t>
  </si>
  <si>
    <t>Shift to 21st Century Scholars</t>
  </si>
  <si>
    <t>Last year State of Iowa Scholarship</t>
  </si>
  <si>
    <t>Foster Care</t>
  </si>
  <si>
    <t>Several previousy non grant programs reported as grants</t>
  </si>
  <si>
    <t>ROTC and Nat Guard jump categories</t>
  </si>
  <si>
    <t>NextGen programs</t>
  </si>
  <si>
    <t>Need-based uncat is reporting artifact</t>
  </si>
  <si>
    <t>Graduate and Proffesional Scholarship changed categoriies</t>
  </si>
  <si>
    <t>Michigan Merit Award</t>
  </si>
  <si>
    <t>Huge funding cut</t>
  </si>
  <si>
    <t>reporting artifact</t>
  </si>
  <si>
    <t>Access Missouri Financial Assistance Program</t>
  </si>
  <si>
    <t>Montana Tuition Assistance program defunded</t>
  </si>
  <si>
    <t>Governor's Postsecondary programs</t>
  </si>
  <si>
    <t>Nebraska State Grant</t>
  </si>
  <si>
    <t>Access College Early</t>
  </si>
  <si>
    <t>Vocational Rehab jumped categories</t>
  </si>
  <si>
    <t>Nebraska Opportunity Grant</t>
  </si>
  <si>
    <t>Nevada Student Access Grant funding bump</t>
  </si>
  <si>
    <t>Nevada Student Access Grant funding cut</t>
  </si>
  <si>
    <t>Silver Sate Opportunity Grant</t>
  </si>
  <si>
    <t>State aid eliminated</t>
  </si>
  <si>
    <t>Orphans of Veterans</t>
  </si>
  <si>
    <t>3% scholarship</t>
  </si>
  <si>
    <t>NM Competitive Scholarship cut</t>
  </si>
  <si>
    <t>3% sScholarship reporting artifact, several undergraduate breakouts lost</t>
  </si>
  <si>
    <t>One billion dollars</t>
  </si>
  <si>
    <t>Graduate TAP.</t>
  </si>
  <si>
    <t>Vietnam Tuition Award graduate funding</t>
  </si>
  <si>
    <t>Started reporting NC Incentive Grant, State Contractual,  UNC Need-based, Comm Collge Grant as combined primary</t>
  </si>
  <si>
    <t>Appropriated Grants reporting artifact</t>
  </si>
  <si>
    <t>Vocational Rehabilitation</t>
  </si>
  <si>
    <t>General cuts</t>
  </si>
  <si>
    <t>State Student Incentive Grant funding bump</t>
  </si>
  <si>
    <t>North Dakota Academic Scholarship</t>
  </si>
  <si>
    <t>ND Professional Student Exchange Program</t>
  </si>
  <si>
    <t>Ohio Instructional Grant as primary</t>
  </si>
  <si>
    <t>Ohio College Opportunity Grant as primary</t>
  </si>
  <si>
    <t>Ohio Instructional Grant deleted</t>
  </si>
  <si>
    <t>Oklahoma Tuition Aid Grant</t>
  </si>
  <si>
    <t>New programs reported</t>
  </si>
  <si>
    <t>PATH and TEAP</t>
  </si>
  <si>
    <t>Institutional Assistance Grant</t>
  </si>
  <si>
    <t>UPR 176 Special Grant</t>
  </si>
  <si>
    <t>UPR changes categories</t>
  </si>
  <si>
    <t>UPR Undergraduate Supplementary cut</t>
  </si>
  <si>
    <t>Funding increase</t>
  </si>
  <si>
    <t>SC CHE</t>
  </si>
  <si>
    <t>SC TGC</t>
  </si>
  <si>
    <t>SC CHE and SC TGC combined</t>
  </si>
  <si>
    <t>Probably misreporting of SREB Contract Program</t>
  </si>
  <si>
    <t>South Dakota Opprotunity Scholarship</t>
  </si>
  <si>
    <t>South Dakota LEAP</t>
  </si>
  <si>
    <t>South Dakota Need-Based Grant</t>
  </si>
  <si>
    <t>HOPE Scholarship</t>
  </si>
  <si>
    <t>HOPE is nonneed</t>
  </si>
  <si>
    <t>Dueal Enrollment reported as undergraduate</t>
  </si>
  <si>
    <t>Reporting artifact, no grad undergrad breakouts</t>
  </si>
  <si>
    <t>Designated Tuition Grants</t>
  </si>
  <si>
    <t>UCOPE to HESSP</t>
  </si>
  <si>
    <t>NonDegree Grant</t>
  </si>
  <si>
    <t>NextGen scholarships</t>
  </si>
  <si>
    <t>College Scholarship Assistance Program</t>
  </si>
  <si>
    <t>Tuition and Fee Revenue used for Financial Aid reported</t>
  </si>
  <si>
    <t>College Bound Scholarship</t>
  </si>
  <si>
    <t>PROMISE Scholarship</t>
  </si>
  <si>
    <t>Reporting four programs combined as primary</t>
  </si>
  <si>
    <t>Wisconsin Higher Education Grant - UW</t>
  </si>
  <si>
    <t>Wisconsin Tuition Grant</t>
  </si>
  <si>
    <t>Wisconsin Higher Education Grant - WTC</t>
  </si>
  <si>
    <t>Wisconsin Higher Education Grant - Tribal</t>
  </si>
  <si>
    <t>Hathaway Scholarship</t>
  </si>
  <si>
    <t>Hathaway reported as undergraduate</t>
  </si>
  <si>
    <t>Hathaway reported as uncategorized</t>
  </si>
  <si>
    <t>Last year of LEAP program</t>
  </si>
  <si>
    <t>Hathaway reported as undergraduate and graduate</t>
  </si>
  <si>
    <t xml:space="preserve">12. "Reporting artifact" is used as language to draw attention to irregularities in the data. A program reported as undergradute in years 1 and 3, and uncategorized in year 2 would be a reporting artifact.  </t>
  </si>
  <si>
    <t>One billion!</t>
  </si>
  <si>
    <t>MAP Plus</t>
  </si>
  <si>
    <t>First year for several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</si>
</sst>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4" x14ac:knownFonts="1">
    <font>
      <sz val="10"/>
      <name val="Verdana"/>
    </font>
    <font>
      <sz val="10"/>
      <name val="Verdana"/>
      <family val="2"/>
    </font>
    <font>
      <sz val="9"/>
      <name val="Verdana"/>
      <family val="2"/>
    </font>
    <font>
      <sz val="10"/>
      <name val="Verdana"/>
      <family val="2"/>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43" fontId="3" fillId="0" borderId="0" applyFont="0" applyFill="0" applyBorder="0" applyAlignment="0" applyProtection="0"/>
  </cellStyleXfs>
  <cellXfs count="16">
    <xf numFmtId="0" fontId="0" fillId="0" borderId="0" xfId="0"/>
    <xf numFmtId="0" fontId="2" fillId="0" borderId="0" xfId="0" applyFont="1"/>
    <xf numFmtId="0" fontId="2" fillId="0" borderId="0" xfId="0" applyFont="1" applyAlignment="1">
      <alignment horizontal="centerContinuous"/>
    </xf>
    <xf numFmtId="164" fontId="2" fillId="0" borderId="0" xfId="1" applyNumberFormat="1" applyFont="1"/>
    <xf numFmtId="0" fontId="0" fillId="0" borderId="0" xfId="0" applyAlignment="1">
      <alignment wrapText="1"/>
    </xf>
    <xf numFmtId="0" fontId="0" fillId="0" borderId="0" xfId="0" applyAlignment="1">
      <alignment vertical="top" wrapText="1"/>
    </xf>
    <xf numFmtId="164" fontId="2" fillId="0" borderId="0" xfId="0" applyNumberFormat="1" applyFont="1"/>
    <xf numFmtId="0" fontId="2" fillId="0" borderId="0" xfId="0" applyFont="1" applyFill="1"/>
    <xf numFmtId="0" fontId="2" fillId="0" borderId="0" xfId="0" applyFont="1" applyAlignment="1">
      <alignment horizontal="left"/>
    </xf>
    <xf numFmtId="0" fontId="2" fillId="0" borderId="0" xfId="0" applyFont="1" applyAlignment="1">
      <alignment horizontal="right"/>
    </xf>
    <xf numFmtId="43" fontId="2" fillId="0" borderId="0" xfId="0" applyNumberFormat="1" applyFont="1"/>
    <xf numFmtId="0" fontId="0" fillId="0" borderId="0" xfId="0" applyAlignment="1">
      <alignment vertical="top"/>
    </xf>
    <xf numFmtId="165" fontId="0" fillId="0" borderId="0" xfId="2" applyNumberFormat="1" applyFont="1"/>
    <xf numFmtId="0" fontId="0" fillId="0" borderId="0" xfId="2" applyNumberFormat="1" applyFont="1"/>
    <xf numFmtId="165" fontId="2" fillId="0" borderId="0" xfId="0" applyNumberFormat="1" applyFont="1"/>
    <xf numFmtId="164" fontId="2" fillId="0" borderId="0" xfId="1" applyNumberFormat="1" applyFont="1" applyFill="1"/>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8" t="s">
        <v>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524000</v>
      </c>
      <c r="C8" s="3">
        <v>0</v>
      </c>
      <c r="D8" s="3">
        <v>0</v>
      </c>
      <c r="E8" s="3">
        <v>0</v>
      </c>
      <c r="F8" s="3">
        <v>0</v>
      </c>
      <c r="G8" s="3">
        <v>0</v>
      </c>
      <c r="H8" s="3">
        <v>0</v>
      </c>
      <c r="I8" s="3">
        <v>0</v>
      </c>
      <c r="J8" s="3">
        <v>0</v>
      </c>
      <c r="K8" s="3">
        <f t="shared" si="0"/>
        <v>524000</v>
      </c>
      <c r="L8" s="3">
        <f t="shared" si="0"/>
        <v>0</v>
      </c>
      <c r="M8" s="3">
        <f t="shared" si="0"/>
        <v>0</v>
      </c>
      <c r="N8" s="3">
        <f t="shared" si="1"/>
        <v>524000</v>
      </c>
      <c r="O8" s="1" t="s">
        <v>111</v>
      </c>
    </row>
    <row r="9" spans="1:15" x14ac:dyDescent="0.15">
      <c r="A9" s="1">
        <v>1977</v>
      </c>
      <c r="B9" s="3">
        <v>470000</v>
      </c>
      <c r="C9" s="3">
        <v>0</v>
      </c>
      <c r="D9" s="3">
        <v>0</v>
      </c>
      <c r="E9" s="3">
        <v>0</v>
      </c>
      <c r="F9" s="3">
        <v>0</v>
      </c>
      <c r="G9" s="3">
        <v>0</v>
      </c>
      <c r="H9" s="3">
        <v>0</v>
      </c>
      <c r="I9" s="3">
        <v>0</v>
      </c>
      <c r="J9" s="3">
        <v>0</v>
      </c>
      <c r="K9" s="3">
        <f t="shared" si="0"/>
        <v>470000</v>
      </c>
      <c r="L9" s="3">
        <f t="shared" si="0"/>
        <v>0</v>
      </c>
      <c r="M9" s="3">
        <f t="shared" si="0"/>
        <v>0</v>
      </c>
      <c r="N9" s="3">
        <f t="shared" si="1"/>
        <v>470000</v>
      </c>
    </row>
    <row r="10" spans="1:15" x14ac:dyDescent="0.15">
      <c r="A10" s="1">
        <v>1978</v>
      </c>
      <c r="B10" s="3">
        <v>546000</v>
      </c>
      <c r="C10" s="3">
        <v>0</v>
      </c>
      <c r="D10" s="3">
        <v>0</v>
      </c>
      <c r="E10" s="3">
        <v>0</v>
      </c>
      <c r="F10" s="3">
        <v>0</v>
      </c>
      <c r="G10" s="3">
        <v>0</v>
      </c>
      <c r="H10" s="3">
        <v>0</v>
      </c>
      <c r="I10" s="3">
        <v>0</v>
      </c>
      <c r="J10" s="3">
        <v>0</v>
      </c>
      <c r="K10" s="3">
        <f t="shared" si="0"/>
        <v>546000</v>
      </c>
      <c r="L10" s="3">
        <f t="shared" si="0"/>
        <v>0</v>
      </c>
      <c r="M10" s="3">
        <f t="shared" si="0"/>
        <v>0</v>
      </c>
      <c r="N10" s="3">
        <f t="shared" si="1"/>
        <v>546000</v>
      </c>
    </row>
    <row r="11" spans="1:15" x14ac:dyDescent="0.15">
      <c r="A11" s="1">
        <v>1979</v>
      </c>
      <c r="B11" s="3">
        <v>1937000</v>
      </c>
      <c r="C11" s="3">
        <v>0</v>
      </c>
      <c r="D11" s="3">
        <v>0</v>
      </c>
      <c r="E11" s="3">
        <v>0</v>
      </c>
      <c r="F11" s="3">
        <v>0</v>
      </c>
      <c r="G11" s="3">
        <v>0</v>
      </c>
      <c r="H11" s="3">
        <v>0</v>
      </c>
      <c r="I11" s="3">
        <v>0</v>
      </c>
      <c r="J11" s="3">
        <v>0</v>
      </c>
      <c r="K11" s="3">
        <f t="shared" si="0"/>
        <v>1937000</v>
      </c>
      <c r="L11" s="3">
        <f t="shared" si="0"/>
        <v>0</v>
      </c>
      <c r="M11" s="3">
        <f t="shared" si="0"/>
        <v>0</v>
      </c>
      <c r="N11" s="3">
        <f t="shared" si="1"/>
        <v>1937000</v>
      </c>
    </row>
    <row r="12" spans="1:15" x14ac:dyDescent="0.15">
      <c r="A12" s="1">
        <v>1980</v>
      </c>
      <c r="B12" s="3">
        <v>2131000</v>
      </c>
      <c r="C12" s="3">
        <v>0</v>
      </c>
      <c r="D12" s="3">
        <v>0</v>
      </c>
      <c r="E12" s="3">
        <v>0</v>
      </c>
      <c r="F12" s="3">
        <v>0</v>
      </c>
      <c r="G12" s="3">
        <v>0</v>
      </c>
      <c r="H12" s="3">
        <v>0</v>
      </c>
      <c r="I12" s="3">
        <v>0</v>
      </c>
      <c r="J12" s="3">
        <v>0</v>
      </c>
      <c r="K12" s="3">
        <f t="shared" si="0"/>
        <v>2131000</v>
      </c>
      <c r="L12" s="3">
        <f t="shared" si="0"/>
        <v>0</v>
      </c>
      <c r="M12" s="3">
        <f t="shared" si="0"/>
        <v>0</v>
      </c>
      <c r="N12" s="3">
        <f t="shared" si="1"/>
        <v>2131000</v>
      </c>
    </row>
    <row r="13" spans="1:15" x14ac:dyDescent="0.15">
      <c r="A13" s="1">
        <v>1981</v>
      </c>
      <c r="B13" s="3">
        <v>1427000</v>
      </c>
      <c r="C13" s="3">
        <v>0</v>
      </c>
      <c r="D13" s="3">
        <v>0</v>
      </c>
      <c r="E13" s="3">
        <v>0</v>
      </c>
      <c r="F13" s="3">
        <v>0</v>
      </c>
      <c r="G13" s="3">
        <v>0</v>
      </c>
      <c r="H13" s="3">
        <v>0</v>
      </c>
      <c r="I13" s="3">
        <v>0</v>
      </c>
      <c r="J13" s="3">
        <v>0</v>
      </c>
      <c r="K13" s="3">
        <f t="shared" si="0"/>
        <v>1427000</v>
      </c>
      <c r="L13" s="3">
        <f t="shared" si="0"/>
        <v>0</v>
      </c>
      <c r="M13" s="3">
        <f t="shared" si="0"/>
        <v>0</v>
      </c>
      <c r="N13" s="3">
        <f t="shared" si="1"/>
        <v>1427000</v>
      </c>
    </row>
    <row r="14" spans="1:15" x14ac:dyDescent="0.15">
      <c r="A14" s="1">
        <v>1982</v>
      </c>
      <c r="B14" s="3">
        <v>505000</v>
      </c>
      <c r="C14" s="3">
        <v>10000</v>
      </c>
      <c r="D14" s="3">
        <v>0</v>
      </c>
      <c r="E14" s="3">
        <v>0</v>
      </c>
      <c r="F14" s="3">
        <v>0</v>
      </c>
      <c r="G14" s="3">
        <v>0</v>
      </c>
      <c r="H14" s="3">
        <v>2943000</v>
      </c>
      <c r="I14" s="3">
        <v>0</v>
      </c>
      <c r="J14" s="3">
        <v>0</v>
      </c>
      <c r="K14" s="3">
        <f t="shared" si="0"/>
        <v>3448000</v>
      </c>
      <c r="L14" s="3">
        <f t="shared" si="0"/>
        <v>10000</v>
      </c>
      <c r="M14" s="3">
        <f t="shared" si="0"/>
        <v>0</v>
      </c>
      <c r="N14" s="3">
        <f t="shared" si="1"/>
        <v>3458000</v>
      </c>
    </row>
    <row r="15" spans="1:15" x14ac:dyDescent="0.15">
      <c r="A15" s="1">
        <v>1983</v>
      </c>
      <c r="B15" s="3">
        <v>1700000</v>
      </c>
      <c r="C15" s="3">
        <v>35000</v>
      </c>
      <c r="D15" s="3">
        <v>0</v>
      </c>
      <c r="E15" s="3">
        <v>0</v>
      </c>
      <c r="F15" s="3">
        <v>0</v>
      </c>
      <c r="G15" s="3">
        <v>0</v>
      </c>
      <c r="H15" s="3">
        <v>2952000</v>
      </c>
      <c r="I15" s="3">
        <v>0</v>
      </c>
      <c r="J15" s="3">
        <v>0</v>
      </c>
      <c r="K15" s="3">
        <f t="shared" si="0"/>
        <v>4652000</v>
      </c>
      <c r="L15" s="3">
        <f t="shared" si="0"/>
        <v>35000</v>
      </c>
      <c r="M15" s="3">
        <f t="shared" si="0"/>
        <v>0</v>
      </c>
      <c r="N15" s="3">
        <f t="shared" si="1"/>
        <v>4687000</v>
      </c>
    </row>
    <row r="16" spans="1:15" x14ac:dyDescent="0.15">
      <c r="A16" s="1">
        <v>1984</v>
      </c>
      <c r="B16" s="3">
        <v>1751000</v>
      </c>
      <c r="C16" s="3">
        <v>34000</v>
      </c>
      <c r="D16" s="3">
        <v>0</v>
      </c>
      <c r="E16" s="3">
        <v>0</v>
      </c>
      <c r="F16" s="3">
        <v>0</v>
      </c>
      <c r="G16" s="3">
        <v>0</v>
      </c>
      <c r="H16" s="3">
        <v>2835000</v>
      </c>
      <c r="I16" s="3">
        <v>0</v>
      </c>
      <c r="J16" s="3">
        <v>0</v>
      </c>
      <c r="K16" s="3">
        <f t="shared" si="0"/>
        <v>4586000</v>
      </c>
      <c r="L16" s="3">
        <f t="shared" si="0"/>
        <v>34000</v>
      </c>
      <c r="M16" s="3">
        <f t="shared" si="0"/>
        <v>0</v>
      </c>
      <c r="N16" s="3">
        <f t="shared" si="1"/>
        <v>4620000</v>
      </c>
    </row>
    <row r="17" spans="1:14" x14ac:dyDescent="0.15">
      <c r="A17" s="1">
        <v>1985</v>
      </c>
      <c r="B17" s="3">
        <v>2192000</v>
      </c>
      <c r="C17" s="3">
        <v>68000</v>
      </c>
      <c r="D17" s="3">
        <v>0</v>
      </c>
      <c r="E17" s="3">
        <v>0</v>
      </c>
      <c r="F17" s="3">
        <v>0</v>
      </c>
      <c r="G17" s="3">
        <v>0</v>
      </c>
      <c r="H17" s="3">
        <v>3866000</v>
      </c>
      <c r="I17" s="3">
        <v>240000</v>
      </c>
      <c r="J17" s="3">
        <v>0</v>
      </c>
      <c r="K17" s="3">
        <f t="shared" si="0"/>
        <v>6058000</v>
      </c>
      <c r="L17" s="3">
        <f t="shared" si="0"/>
        <v>308000</v>
      </c>
      <c r="M17" s="3">
        <f t="shared" si="0"/>
        <v>0</v>
      </c>
      <c r="N17" s="3">
        <f t="shared" si="1"/>
        <v>6366000</v>
      </c>
    </row>
    <row r="18" spans="1:14" x14ac:dyDescent="0.15">
      <c r="A18" s="1">
        <v>1986</v>
      </c>
      <c r="B18" s="3">
        <v>2242000</v>
      </c>
      <c r="C18" s="3">
        <v>18000</v>
      </c>
      <c r="D18" s="3">
        <v>0</v>
      </c>
      <c r="E18" s="3">
        <v>0</v>
      </c>
      <c r="F18" s="3">
        <v>48000</v>
      </c>
      <c r="G18" s="3">
        <v>0</v>
      </c>
      <c r="H18" s="3">
        <v>4319000</v>
      </c>
      <c r="I18" s="3">
        <v>76000</v>
      </c>
      <c r="J18" s="3">
        <v>0</v>
      </c>
      <c r="K18" s="3">
        <f t="shared" si="0"/>
        <v>6561000</v>
      </c>
      <c r="L18" s="3">
        <f t="shared" si="0"/>
        <v>142000</v>
      </c>
      <c r="M18" s="3">
        <f t="shared" si="0"/>
        <v>0</v>
      </c>
      <c r="N18" s="3">
        <f t="shared" si="1"/>
        <v>6703000</v>
      </c>
    </row>
    <row r="19" spans="1:14" x14ac:dyDescent="0.15">
      <c r="A19" s="1">
        <v>1987</v>
      </c>
      <c r="B19" s="3">
        <v>2163000</v>
      </c>
      <c r="C19" s="3">
        <v>0</v>
      </c>
      <c r="D19" s="3">
        <v>0</v>
      </c>
      <c r="E19" s="3">
        <v>0</v>
      </c>
      <c r="F19" s="3">
        <v>48000</v>
      </c>
      <c r="G19" s="3">
        <v>0</v>
      </c>
      <c r="H19" s="3">
        <v>4241000</v>
      </c>
      <c r="I19" s="3">
        <v>20000</v>
      </c>
      <c r="J19" s="3">
        <v>0</v>
      </c>
      <c r="K19" s="3">
        <f t="shared" si="0"/>
        <v>6404000</v>
      </c>
      <c r="L19" s="3">
        <f t="shared" si="0"/>
        <v>68000</v>
      </c>
      <c r="M19" s="3">
        <f t="shared" si="0"/>
        <v>0</v>
      </c>
      <c r="N19" s="3">
        <f t="shared" si="1"/>
        <v>6472000</v>
      </c>
    </row>
    <row r="20" spans="1:14" x14ac:dyDescent="0.15">
      <c r="A20" s="1">
        <v>1988</v>
      </c>
      <c r="B20" s="3">
        <v>2260000</v>
      </c>
      <c r="C20" s="3">
        <v>0</v>
      </c>
      <c r="D20" s="3">
        <v>0</v>
      </c>
      <c r="E20" s="3">
        <v>0</v>
      </c>
      <c r="F20" s="3">
        <v>48000</v>
      </c>
      <c r="G20" s="3">
        <v>0</v>
      </c>
      <c r="H20" s="3">
        <v>3923000</v>
      </c>
      <c r="I20" s="3">
        <v>28000</v>
      </c>
      <c r="J20" s="3">
        <v>0</v>
      </c>
      <c r="K20" s="3">
        <f t="shared" si="0"/>
        <v>6183000</v>
      </c>
      <c r="L20" s="3">
        <f t="shared" si="0"/>
        <v>76000</v>
      </c>
      <c r="M20" s="3">
        <f t="shared" si="0"/>
        <v>0</v>
      </c>
      <c r="N20" s="3">
        <f t="shared" si="1"/>
        <v>6259000</v>
      </c>
    </row>
    <row r="21" spans="1:14" x14ac:dyDescent="0.15">
      <c r="A21" s="1">
        <v>1989</v>
      </c>
      <c r="B21" s="3">
        <v>2260000</v>
      </c>
      <c r="C21" s="3">
        <v>0</v>
      </c>
      <c r="D21" s="3">
        <v>0</v>
      </c>
      <c r="E21" s="3">
        <v>0</v>
      </c>
      <c r="F21" s="3">
        <v>40000</v>
      </c>
      <c r="G21" s="3">
        <v>0</v>
      </c>
      <c r="H21" s="3">
        <v>4020000</v>
      </c>
      <c r="I21" s="3">
        <v>28000</v>
      </c>
      <c r="J21" s="3">
        <v>0</v>
      </c>
      <c r="K21" s="3">
        <f t="shared" si="0"/>
        <v>6280000</v>
      </c>
      <c r="L21" s="3">
        <f t="shared" si="0"/>
        <v>68000</v>
      </c>
      <c r="M21" s="3">
        <f t="shared" si="0"/>
        <v>0</v>
      </c>
      <c r="N21" s="3">
        <f t="shared" si="1"/>
        <v>6348000</v>
      </c>
    </row>
    <row r="22" spans="1:14" x14ac:dyDescent="0.15">
      <c r="A22" s="1">
        <v>1990</v>
      </c>
      <c r="B22" s="3">
        <v>2196000</v>
      </c>
      <c r="C22" s="3">
        <v>0</v>
      </c>
      <c r="D22" s="3">
        <v>0</v>
      </c>
      <c r="E22" s="3">
        <v>0</v>
      </c>
      <c r="F22" s="3">
        <v>49000</v>
      </c>
      <c r="G22" s="3">
        <v>0</v>
      </c>
      <c r="H22" s="3">
        <v>4670000</v>
      </c>
      <c r="I22" s="3">
        <v>101000</v>
      </c>
      <c r="J22" s="3">
        <v>0</v>
      </c>
      <c r="K22" s="3">
        <f t="shared" ref="K22:M35" si="2">+B22+E22+H22</f>
        <v>6866000</v>
      </c>
      <c r="L22" s="3">
        <f t="shared" si="2"/>
        <v>150000</v>
      </c>
      <c r="M22" s="3">
        <f t="shared" si="2"/>
        <v>0</v>
      </c>
      <c r="N22" s="3">
        <f t="shared" si="1"/>
        <v>7016000</v>
      </c>
    </row>
    <row r="23" spans="1:14" x14ac:dyDescent="0.15">
      <c r="A23" s="1">
        <v>1991</v>
      </c>
      <c r="B23" s="3">
        <v>4308000</v>
      </c>
      <c r="C23" s="3">
        <v>0</v>
      </c>
      <c r="D23" s="3">
        <v>0</v>
      </c>
      <c r="E23" s="3">
        <v>0</v>
      </c>
      <c r="F23" s="3">
        <v>45000</v>
      </c>
      <c r="G23" s="3">
        <v>0</v>
      </c>
      <c r="H23" s="3">
        <v>6510000</v>
      </c>
      <c r="I23" s="3">
        <v>127000</v>
      </c>
      <c r="J23" s="3">
        <v>0</v>
      </c>
      <c r="K23" s="3">
        <f t="shared" si="2"/>
        <v>10818000</v>
      </c>
      <c r="L23" s="3">
        <f t="shared" si="2"/>
        <v>172000</v>
      </c>
      <c r="M23" s="3">
        <f t="shared" si="2"/>
        <v>0</v>
      </c>
      <c r="N23" s="3">
        <f t="shared" si="1"/>
        <v>10990000</v>
      </c>
    </row>
    <row r="24" spans="1:14" x14ac:dyDescent="0.15">
      <c r="A24" s="1">
        <v>1992</v>
      </c>
      <c r="B24" s="3">
        <v>2845000</v>
      </c>
      <c r="C24" s="3">
        <v>0</v>
      </c>
      <c r="D24" s="3">
        <v>0</v>
      </c>
      <c r="E24" s="3">
        <v>0</v>
      </c>
      <c r="F24" s="3">
        <v>42000</v>
      </c>
      <c r="G24" s="3">
        <v>0</v>
      </c>
      <c r="H24" s="3">
        <v>5293000</v>
      </c>
      <c r="I24" s="3">
        <v>120000</v>
      </c>
      <c r="J24" s="3">
        <v>0</v>
      </c>
      <c r="K24" s="3">
        <f t="shared" si="2"/>
        <v>8138000</v>
      </c>
      <c r="L24" s="3">
        <f t="shared" si="2"/>
        <v>162000</v>
      </c>
      <c r="M24" s="3">
        <f t="shared" si="2"/>
        <v>0</v>
      </c>
      <c r="N24" s="3">
        <f t="shared" si="1"/>
        <v>8300000</v>
      </c>
    </row>
    <row r="25" spans="1:14" x14ac:dyDescent="0.15">
      <c r="A25" s="1">
        <v>1993</v>
      </c>
      <c r="B25" s="3">
        <v>2271000</v>
      </c>
      <c r="C25" s="3">
        <v>0</v>
      </c>
      <c r="D25" s="3">
        <v>0</v>
      </c>
      <c r="E25" s="3">
        <v>0</v>
      </c>
      <c r="F25" s="3">
        <v>42000</v>
      </c>
      <c r="G25" s="3">
        <v>0</v>
      </c>
      <c r="H25" s="3">
        <v>5509000</v>
      </c>
      <c r="I25" s="3">
        <v>72000</v>
      </c>
      <c r="J25" s="3">
        <v>0</v>
      </c>
      <c r="K25" s="3">
        <f t="shared" si="2"/>
        <v>7780000</v>
      </c>
      <c r="L25" s="3">
        <f t="shared" si="2"/>
        <v>114000</v>
      </c>
      <c r="M25" s="3">
        <f t="shared" si="2"/>
        <v>0</v>
      </c>
      <c r="N25" s="3">
        <f t="shared" si="1"/>
        <v>7894000</v>
      </c>
    </row>
    <row r="26" spans="1:14" x14ac:dyDescent="0.15">
      <c r="A26" s="1">
        <v>1994</v>
      </c>
      <c r="B26" s="3">
        <v>2283000</v>
      </c>
      <c r="C26" s="3">
        <v>0</v>
      </c>
      <c r="D26" s="3">
        <v>0</v>
      </c>
      <c r="E26" s="3">
        <v>0</v>
      </c>
      <c r="F26" s="3">
        <v>42000</v>
      </c>
      <c r="G26" s="3">
        <v>0</v>
      </c>
      <c r="H26" s="3">
        <v>6254000</v>
      </c>
      <c r="I26" s="3">
        <v>22000</v>
      </c>
      <c r="J26" s="3">
        <v>0</v>
      </c>
      <c r="K26" s="3">
        <f t="shared" si="2"/>
        <v>8537000</v>
      </c>
      <c r="L26" s="3">
        <f t="shared" si="2"/>
        <v>64000</v>
      </c>
      <c r="M26" s="3">
        <f t="shared" si="2"/>
        <v>0</v>
      </c>
      <c r="N26" s="3">
        <f t="shared" si="1"/>
        <v>8601000</v>
      </c>
    </row>
    <row r="27" spans="1:14" x14ac:dyDescent="0.15">
      <c r="A27" s="1">
        <v>1995</v>
      </c>
      <c r="B27" s="3">
        <v>2281328</v>
      </c>
      <c r="C27" s="3">
        <v>0</v>
      </c>
      <c r="D27" s="3">
        <v>0</v>
      </c>
      <c r="E27" s="3">
        <v>0</v>
      </c>
      <c r="F27" s="3">
        <v>42000</v>
      </c>
      <c r="G27" s="3">
        <v>0</v>
      </c>
      <c r="H27" s="3">
        <v>6806000</v>
      </c>
      <c r="I27" s="3">
        <v>2978000</v>
      </c>
      <c r="J27" s="3">
        <v>0</v>
      </c>
      <c r="K27" s="3">
        <f t="shared" si="2"/>
        <v>9087328</v>
      </c>
      <c r="L27" s="3">
        <f t="shared" si="2"/>
        <v>3020000</v>
      </c>
      <c r="M27" s="3">
        <f t="shared" si="2"/>
        <v>0</v>
      </c>
      <c r="N27" s="3">
        <f t="shared" si="1"/>
        <v>12107328</v>
      </c>
    </row>
    <row r="28" spans="1:14" x14ac:dyDescent="0.15">
      <c r="A28" s="1">
        <v>1996</v>
      </c>
      <c r="B28" s="3">
        <v>2142416</v>
      </c>
      <c r="C28" s="3">
        <v>0</v>
      </c>
      <c r="D28" s="3">
        <v>0</v>
      </c>
      <c r="E28" s="3">
        <v>0</v>
      </c>
      <c r="F28" s="3">
        <v>36000</v>
      </c>
      <c r="G28" s="3">
        <v>0</v>
      </c>
      <c r="H28" s="3">
        <v>6178000</v>
      </c>
      <c r="I28" s="3">
        <v>0</v>
      </c>
      <c r="J28" s="3">
        <v>0</v>
      </c>
      <c r="K28" s="3">
        <f t="shared" si="2"/>
        <v>8320416</v>
      </c>
      <c r="L28" s="3">
        <f t="shared" si="2"/>
        <v>36000</v>
      </c>
      <c r="M28" s="3">
        <f t="shared" si="2"/>
        <v>0</v>
      </c>
      <c r="N28" s="3">
        <f t="shared" si="1"/>
        <v>8356416</v>
      </c>
    </row>
    <row r="29" spans="1:14" x14ac:dyDescent="0.15">
      <c r="A29" s="1">
        <v>1997</v>
      </c>
      <c r="B29" s="3">
        <v>1950080</v>
      </c>
      <c r="C29" s="3">
        <v>0</v>
      </c>
      <c r="D29" s="3">
        <v>0</v>
      </c>
      <c r="E29" s="3">
        <v>0</v>
      </c>
      <c r="F29" s="3">
        <v>34000</v>
      </c>
      <c r="G29" s="3">
        <v>0</v>
      </c>
      <c r="H29" s="3">
        <v>6213000</v>
      </c>
      <c r="I29" s="3">
        <v>0</v>
      </c>
      <c r="J29" s="3">
        <v>0</v>
      </c>
      <c r="K29" s="3">
        <f t="shared" si="2"/>
        <v>8163080</v>
      </c>
      <c r="L29" s="3">
        <f t="shared" si="2"/>
        <v>34000</v>
      </c>
      <c r="M29" s="3">
        <f t="shared" si="2"/>
        <v>0</v>
      </c>
      <c r="N29" s="3">
        <f t="shared" si="1"/>
        <v>8197080</v>
      </c>
    </row>
    <row r="30" spans="1:14" x14ac:dyDescent="0.15">
      <c r="A30" s="1">
        <v>1998</v>
      </c>
      <c r="B30" s="3">
        <f>1974743+297688</f>
        <v>2272431</v>
      </c>
      <c r="C30" s="3">
        <v>0</v>
      </c>
      <c r="D30" s="3">
        <v>0</v>
      </c>
      <c r="E30" s="3">
        <v>0</v>
      </c>
      <c r="F30" s="3">
        <v>41000</v>
      </c>
      <c r="G30" s="3">
        <v>0</v>
      </c>
      <c r="H30" s="3">
        <v>5623000</v>
      </c>
      <c r="I30" s="3">
        <v>0</v>
      </c>
      <c r="J30" s="3">
        <v>0</v>
      </c>
      <c r="K30" s="3">
        <f t="shared" si="2"/>
        <v>7895431</v>
      </c>
      <c r="L30" s="3">
        <f t="shared" si="2"/>
        <v>41000</v>
      </c>
      <c r="M30" s="3">
        <f t="shared" si="2"/>
        <v>0</v>
      </c>
      <c r="N30" s="3">
        <f t="shared" si="1"/>
        <v>7936431</v>
      </c>
    </row>
    <row r="31" spans="1:14" x14ac:dyDescent="0.15">
      <c r="A31" s="1">
        <v>1999</v>
      </c>
      <c r="B31" s="3">
        <v>2046050</v>
      </c>
      <c r="C31" s="3">
        <v>0</v>
      </c>
      <c r="D31" s="3">
        <v>0</v>
      </c>
      <c r="E31" s="3">
        <v>0</v>
      </c>
      <c r="F31" s="3">
        <v>41000</v>
      </c>
      <c r="G31" s="3">
        <v>0</v>
      </c>
      <c r="H31" s="3">
        <v>5619000</v>
      </c>
      <c r="I31" s="3">
        <v>0</v>
      </c>
      <c r="J31" s="3">
        <v>0</v>
      </c>
      <c r="K31" s="3">
        <f t="shared" si="2"/>
        <v>7665050</v>
      </c>
      <c r="L31" s="3">
        <f t="shared" si="2"/>
        <v>41000</v>
      </c>
      <c r="M31" s="3">
        <f t="shared" si="2"/>
        <v>0</v>
      </c>
      <c r="N31" s="3">
        <f t="shared" si="1"/>
        <v>7706050</v>
      </c>
    </row>
    <row r="32" spans="1:14" x14ac:dyDescent="0.15">
      <c r="A32" s="1">
        <v>2000</v>
      </c>
      <c r="B32" s="3">
        <v>1830550</v>
      </c>
      <c r="C32" s="3">
        <v>0</v>
      </c>
      <c r="D32" s="3">
        <v>0</v>
      </c>
      <c r="E32" s="3">
        <v>0</v>
      </c>
      <c r="F32" s="3">
        <v>37986</v>
      </c>
      <c r="G32" s="3">
        <v>0</v>
      </c>
      <c r="H32" s="3">
        <v>5656000</v>
      </c>
      <c r="I32" s="3">
        <v>0</v>
      </c>
      <c r="J32" s="3">
        <v>0</v>
      </c>
      <c r="K32" s="3">
        <f t="shared" si="2"/>
        <v>7486550</v>
      </c>
      <c r="L32" s="3">
        <f t="shared" si="2"/>
        <v>37986</v>
      </c>
      <c r="M32" s="3">
        <f t="shared" si="2"/>
        <v>0</v>
      </c>
      <c r="N32" s="3">
        <f t="shared" si="1"/>
        <v>7524536</v>
      </c>
    </row>
    <row r="33" spans="1:15" x14ac:dyDescent="0.15">
      <c r="A33" s="1">
        <v>2001</v>
      </c>
      <c r="B33" s="3">
        <f>1538907+280993</f>
        <v>1819900</v>
      </c>
      <c r="C33" s="3">
        <v>0</v>
      </c>
      <c r="D33" s="3">
        <v>0</v>
      </c>
      <c r="E33" s="3">
        <v>0</v>
      </c>
      <c r="F33" s="3">
        <v>34506</v>
      </c>
      <c r="G33" s="3">
        <v>0</v>
      </c>
      <c r="H33" s="3">
        <v>5593000</v>
      </c>
      <c r="I33" s="3">
        <v>0</v>
      </c>
      <c r="J33" s="3">
        <v>0</v>
      </c>
      <c r="K33" s="3">
        <f t="shared" si="2"/>
        <v>7412900</v>
      </c>
      <c r="L33" s="3">
        <f t="shared" si="2"/>
        <v>34506</v>
      </c>
      <c r="M33" s="3">
        <f t="shared" si="2"/>
        <v>0</v>
      </c>
      <c r="N33" s="3">
        <f t="shared" si="1"/>
        <v>7447406</v>
      </c>
    </row>
    <row r="34" spans="1:15" x14ac:dyDescent="0.15">
      <c r="A34" s="1">
        <v>2002</v>
      </c>
      <c r="B34" s="3">
        <v>1841270</v>
      </c>
      <c r="C34" s="3">
        <v>0</v>
      </c>
      <c r="D34" s="3">
        <v>0</v>
      </c>
      <c r="E34" s="3">
        <v>0</v>
      </c>
      <c r="F34" s="3">
        <v>33000</v>
      </c>
      <c r="G34" s="3">
        <v>0</v>
      </c>
      <c r="H34" s="3">
        <v>5494000</v>
      </c>
      <c r="I34" s="3">
        <v>0</v>
      </c>
      <c r="J34" s="3">
        <v>0</v>
      </c>
      <c r="K34" s="3">
        <f t="shared" si="2"/>
        <v>7335270</v>
      </c>
      <c r="L34" s="3">
        <f t="shared" si="2"/>
        <v>33000</v>
      </c>
      <c r="M34" s="3">
        <f t="shared" si="2"/>
        <v>0</v>
      </c>
      <c r="N34" s="3">
        <f t="shared" si="1"/>
        <v>7368270</v>
      </c>
    </row>
    <row r="35" spans="1:15" x14ac:dyDescent="0.15">
      <c r="A35" s="1">
        <v>2003</v>
      </c>
      <c r="B35" s="3">
        <v>1646119</v>
      </c>
      <c r="C35" s="3">
        <v>0</v>
      </c>
      <c r="D35" s="3">
        <v>0</v>
      </c>
      <c r="E35" s="3">
        <v>0</v>
      </c>
      <c r="F35" s="3">
        <v>30655</v>
      </c>
      <c r="G35" s="3">
        <v>0</v>
      </c>
      <c r="H35" s="3">
        <v>5054788</v>
      </c>
      <c r="I35" s="3">
        <v>451569</v>
      </c>
      <c r="J35" s="3">
        <v>4988935</v>
      </c>
      <c r="K35" s="3">
        <f t="shared" si="2"/>
        <v>6700907</v>
      </c>
      <c r="L35" s="3">
        <f t="shared" si="2"/>
        <v>482224</v>
      </c>
      <c r="M35" s="3">
        <f t="shared" si="2"/>
        <v>4988935</v>
      </c>
      <c r="N35" s="3">
        <f t="shared" si="1"/>
        <v>12172066</v>
      </c>
    </row>
    <row r="36" spans="1:15" x14ac:dyDescent="0.15">
      <c r="A36" s="1">
        <v>2004</v>
      </c>
      <c r="B36" s="3">
        <v>1072561</v>
      </c>
      <c r="C36" s="3">
        <v>0</v>
      </c>
      <c r="D36" s="3">
        <v>0</v>
      </c>
      <c r="E36" s="3">
        <v>2187036</v>
      </c>
      <c r="F36" s="3">
        <v>136090</v>
      </c>
      <c r="G36" s="3">
        <v>422314</v>
      </c>
      <c r="H36" s="3">
        <v>1824236</v>
      </c>
      <c r="I36" s="3">
        <v>0</v>
      </c>
      <c r="J36" s="3">
        <v>0</v>
      </c>
      <c r="K36" s="3">
        <v>5083833</v>
      </c>
      <c r="L36" s="3">
        <v>136090</v>
      </c>
      <c r="M36" s="3">
        <v>422314</v>
      </c>
      <c r="N36" s="3">
        <v>5642237</v>
      </c>
      <c r="O36" s="1" t="s">
        <v>253</v>
      </c>
    </row>
    <row r="37" spans="1:15" x14ac:dyDescent="0.15">
      <c r="A37" s="1">
        <v>2005</v>
      </c>
      <c r="B37" s="3">
        <v>722500</v>
      </c>
      <c r="C37" s="3">
        <v>0</v>
      </c>
      <c r="D37" s="3">
        <v>0</v>
      </c>
      <c r="E37" s="3">
        <v>443723</v>
      </c>
      <c r="F37" s="3">
        <v>14700</v>
      </c>
      <c r="G37" s="3">
        <v>2174286</v>
      </c>
      <c r="H37" s="3">
        <v>1752740</v>
      </c>
      <c r="I37" s="3">
        <v>0</v>
      </c>
      <c r="J37" s="3">
        <v>0</v>
      </c>
      <c r="K37" s="3">
        <v>2918963</v>
      </c>
      <c r="L37" s="3">
        <v>14700</v>
      </c>
      <c r="M37" s="3">
        <v>2174286</v>
      </c>
      <c r="N37" s="3">
        <v>5107949</v>
      </c>
    </row>
    <row r="38" spans="1:15" x14ac:dyDescent="0.15">
      <c r="A38" s="1">
        <v>2006</v>
      </c>
      <c r="B38" s="3">
        <v>2077150</v>
      </c>
      <c r="C38" s="3">
        <v>0</v>
      </c>
      <c r="D38" s="3">
        <v>0</v>
      </c>
      <c r="E38" s="3">
        <v>3201680</v>
      </c>
      <c r="F38" s="3">
        <v>1719</v>
      </c>
      <c r="G38" s="3">
        <v>0</v>
      </c>
      <c r="H38" s="3">
        <v>2347268</v>
      </c>
      <c r="I38" s="3">
        <v>0</v>
      </c>
      <c r="J38" s="3">
        <v>0</v>
      </c>
      <c r="K38" s="3">
        <v>7626098</v>
      </c>
      <c r="L38" s="3">
        <v>1719</v>
      </c>
      <c r="M38" s="3">
        <v>0</v>
      </c>
      <c r="N38" s="3">
        <v>7627817</v>
      </c>
    </row>
    <row r="39" spans="1:15" x14ac:dyDescent="0.15">
      <c r="A39" s="1">
        <v>2007</v>
      </c>
      <c r="B39" s="3">
        <v>2119200</v>
      </c>
      <c r="C39" s="3">
        <v>0</v>
      </c>
      <c r="D39" s="3">
        <v>0</v>
      </c>
      <c r="E39" s="3">
        <v>3740680</v>
      </c>
      <c r="F39" s="3">
        <v>44879</v>
      </c>
      <c r="G39" s="3">
        <v>0</v>
      </c>
      <c r="H39" s="3">
        <v>2911647</v>
      </c>
      <c r="I39" s="3">
        <v>1300000</v>
      </c>
      <c r="J39" s="3">
        <v>0</v>
      </c>
      <c r="K39" s="3">
        <v>8771527</v>
      </c>
      <c r="L39" s="3">
        <v>1344879</v>
      </c>
      <c r="M39" s="3">
        <v>0</v>
      </c>
      <c r="N39" s="3">
        <v>10116406</v>
      </c>
      <c r="O39" s="1" t="s">
        <v>254</v>
      </c>
    </row>
    <row r="40" spans="1:15" x14ac:dyDescent="0.15">
      <c r="A40" s="1">
        <v>2008</v>
      </c>
      <c r="B40" s="3">
        <v>12387878</v>
      </c>
      <c r="C40" s="3">
        <v>0</v>
      </c>
      <c r="D40" s="3">
        <v>0</v>
      </c>
      <c r="E40" s="3">
        <v>3858576</v>
      </c>
      <c r="F40" s="3">
        <v>45917</v>
      </c>
      <c r="G40" s="3">
        <v>0</v>
      </c>
      <c r="H40" s="3">
        <v>3594215</v>
      </c>
      <c r="I40" s="3">
        <v>1600000</v>
      </c>
      <c r="J40" s="3">
        <v>0</v>
      </c>
      <c r="K40" s="3">
        <v>19840669</v>
      </c>
      <c r="L40" s="3">
        <v>1645917</v>
      </c>
      <c r="M40" s="3">
        <v>0</v>
      </c>
      <c r="N40" s="3">
        <v>21486586</v>
      </c>
    </row>
    <row r="41" spans="1:15" x14ac:dyDescent="0.15">
      <c r="A41" s="1">
        <v>2009</v>
      </c>
      <c r="B41" s="3">
        <v>7896420</v>
      </c>
      <c r="C41" s="3">
        <v>0</v>
      </c>
      <c r="D41" s="3">
        <v>0</v>
      </c>
      <c r="E41" s="3">
        <v>11766968</v>
      </c>
      <c r="F41" s="3">
        <v>39234</v>
      </c>
      <c r="G41" s="3">
        <v>0</v>
      </c>
      <c r="H41" s="3">
        <v>2622128</v>
      </c>
      <c r="I41" s="3">
        <v>1155000</v>
      </c>
      <c r="J41" s="3">
        <v>0</v>
      </c>
      <c r="K41" s="3">
        <v>22285516</v>
      </c>
      <c r="L41" s="3">
        <v>1194234</v>
      </c>
      <c r="M41" s="3">
        <v>0</v>
      </c>
      <c r="N41" s="3">
        <v>23479750</v>
      </c>
    </row>
    <row r="42" spans="1:15" x14ac:dyDescent="0.15">
      <c r="A42" s="1">
        <v>2010</v>
      </c>
      <c r="B42" s="3">
        <v>5204129</v>
      </c>
      <c r="C42" s="3">
        <v>0</v>
      </c>
      <c r="D42" s="3">
        <v>0</v>
      </c>
      <c r="E42" s="3">
        <v>19028035</v>
      </c>
      <c r="F42" s="3">
        <v>37113</v>
      </c>
      <c r="G42" s="3">
        <v>0</v>
      </c>
      <c r="H42" s="3">
        <v>2517046</v>
      </c>
      <c r="I42" s="3">
        <v>1149109</v>
      </c>
      <c r="J42" s="3">
        <v>0</v>
      </c>
      <c r="K42" s="3">
        <v>26749210</v>
      </c>
      <c r="L42" s="3">
        <v>1186222</v>
      </c>
      <c r="M42" s="3">
        <v>0</v>
      </c>
      <c r="N42" s="3">
        <v>27935432</v>
      </c>
    </row>
    <row r="43" spans="1:15" x14ac:dyDescent="0.15">
      <c r="A43" s="1">
        <v>2011</v>
      </c>
      <c r="B43" s="3">
        <v>5617208</v>
      </c>
      <c r="C43" s="3">
        <v>0</v>
      </c>
      <c r="D43" s="3">
        <v>0</v>
      </c>
      <c r="E43" s="3">
        <v>11202552</v>
      </c>
      <c r="F43" s="3">
        <v>31579</v>
      </c>
      <c r="G43" s="3">
        <v>0</v>
      </c>
      <c r="H43" s="3">
        <v>2373677</v>
      </c>
      <c r="I43" s="3">
        <v>1062926</v>
      </c>
      <c r="J43" s="3">
        <v>0</v>
      </c>
      <c r="K43" s="3">
        <v>19193437</v>
      </c>
      <c r="L43" s="3">
        <v>1094505</v>
      </c>
      <c r="M43" s="3">
        <v>0</v>
      </c>
      <c r="N43" s="3">
        <v>20287942</v>
      </c>
    </row>
    <row r="44" spans="1:15" x14ac:dyDescent="0.15">
      <c r="A44" s="1">
        <v>2012</v>
      </c>
      <c r="B44" s="3">
        <v>5610418</v>
      </c>
      <c r="C44" s="3">
        <v>0</v>
      </c>
      <c r="D44" s="3">
        <v>0</v>
      </c>
      <c r="E44" s="3">
        <v>11241443</v>
      </c>
      <c r="F44" s="3">
        <v>21050</v>
      </c>
      <c r="G44" s="3">
        <v>0</v>
      </c>
      <c r="H44" s="3">
        <v>1843550</v>
      </c>
      <c r="I44" s="3">
        <v>770848</v>
      </c>
      <c r="J44" s="3">
        <v>0</v>
      </c>
      <c r="K44" s="3">
        <v>18695411</v>
      </c>
      <c r="L44" s="3">
        <v>791898</v>
      </c>
      <c r="M44" s="3">
        <v>0</v>
      </c>
      <c r="N44" s="3">
        <v>19487309</v>
      </c>
    </row>
    <row r="45" spans="1:15" x14ac:dyDescent="0.15">
      <c r="A45" s="1">
        <v>2013</v>
      </c>
      <c r="B45" s="3">
        <v>2972568</v>
      </c>
      <c r="C45" s="3">
        <v>0</v>
      </c>
      <c r="D45" s="3">
        <v>0</v>
      </c>
      <c r="E45" s="3">
        <v>3959450</v>
      </c>
      <c r="F45" s="3">
        <v>5000</v>
      </c>
      <c r="G45" s="3">
        <v>0</v>
      </c>
      <c r="H45" s="3">
        <v>1858774</v>
      </c>
      <c r="I45" s="3">
        <v>740014</v>
      </c>
      <c r="J45" s="3">
        <v>0</v>
      </c>
      <c r="K45" s="3">
        <v>8790792</v>
      </c>
      <c r="L45" s="3">
        <v>745014</v>
      </c>
      <c r="M45" s="3">
        <v>0</v>
      </c>
      <c r="N45" s="3">
        <v>9535806</v>
      </c>
    </row>
    <row r="46" spans="1:15" x14ac:dyDescent="0.15">
      <c r="A46" s="1">
        <v>2014</v>
      </c>
      <c r="B46" s="3">
        <v>2611069</v>
      </c>
      <c r="C46" s="3">
        <v>0</v>
      </c>
      <c r="D46" s="3">
        <v>0</v>
      </c>
      <c r="E46" s="3">
        <v>3935351</v>
      </c>
      <c r="F46" s="3">
        <v>8046</v>
      </c>
      <c r="G46" s="3">
        <v>0</v>
      </c>
      <c r="H46" s="3">
        <v>2244862</v>
      </c>
      <c r="I46" s="3">
        <v>740014</v>
      </c>
      <c r="J46" s="3">
        <v>0</v>
      </c>
      <c r="K46" s="3">
        <v>8791282</v>
      </c>
      <c r="L46" s="3">
        <v>748060</v>
      </c>
      <c r="M46" s="3">
        <v>0</v>
      </c>
      <c r="N46" s="3">
        <v>9539342</v>
      </c>
    </row>
    <row r="47" spans="1:15" x14ac:dyDescent="0.15">
      <c r="A47" s="1">
        <v>2015</v>
      </c>
      <c r="B47" s="3">
        <v>2619980</v>
      </c>
      <c r="C47" s="3">
        <v>0</v>
      </c>
      <c r="D47" s="3">
        <v>0</v>
      </c>
      <c r="E47" s="3">
        <v>438259</v>
      </c>
      <c r="F47" s="3">
        <v>6000</v>
      </c>
      <c r="G47" s="3">
        <v>0</v>
      </c>
      <c r="H47" s="3">
        <v>2337426</v>
      </c>
      <c r="I47" s="3">
        <v>740014</v>
      </c>
      <c r="J47" s="3">
        <v>0</v>
      </c>
      <c r="K47" s="3">
        <v>5395665</v>
      </c>
      <c r="L47" s="3">
        <v>746014</v>
      </c>
      <c r="M47" s="3">
        <v>0</v>
      </c>
      <c r="N47" s="3">
        <v>6141679</v>
      </c>
    </row>
    <row r="48" spans="1:15" x14ac:dyDescent="0.15">
      <c r="A48" s="1">
        <v>2016</v>
      </c>
      <c r="B48" s="3">
        <v>2597122</v>
      </c>
      <c r="C48" s="3">
        <v>0</v>
      </c>
      <c r="D48" s="3">
        <v>0</v>
      </c>
      <c r="E48" s="3">
        <v>675105</v>
      </c>
      <c r="F48" s="3">
        <v>0</v>
      </c>
      <c r="G48" s="3">
        <v>0</v>
      </c>
      <c r="H48" s="3">
        <v>3536101</v>
      </c>
      <c r="I48" s="3">
        <v>740014</v>
      </c>
      <c r="J48" s="3">
        <v>0</v>
      </c>
      <c r="K48" s="3">
        <v>6808328</v>
      </c>
      <c r="L48" s="3">
        <v>740014</v>
      </c>
      <c r="M48" s="3">
        <v>0</v>
      </c>
      <c r="N48" s="3">
        <v>7548342</v>
      </c>
    </row>
  </sheetData>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25" style="1" customWidth="1"/>
    <col min="3" max="7" width="10.625" style="1"/>
    <col min="8" max="8" width="12.25" style="1" customWidth="1"/>
    <col min="9" max="10" width="10.625" style="1"/>
    <col min="11" max="11" width="11.625" style="1" customWidth="1"/>
    <col min="12" max="13" width="10.625" style="1"/>
    <col min="14" max="14" width="11.625" style="1" customWidth="1"/>
    <col min="15" max="16384" width="10.625" style="1"/>
  </cols>
  <sheetData>
    <row r="1" spans="1:15" x14ac:dyDescent="0.15">
      <c r="A1" s="1" t="s">
        <v>20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3537400</v>
      </c>
      <c r="C6" s="3">
        <v>0</v>
      </c>
      <c r="D6" s="3">
        <v>0</v>
      </c>
      <c r="E6" s="3">
        <v>0</v>
      </c>
      <c r="F6" s="3">
        <v>0</v>
      </c>
      <c r="G6" s="3">
        <v>0</v>
      </c>
      <c r="H6" s="3">
        <v>0</v>
      </c>
      <c r="I6" s="3">
        <v>0</v>
      </c>
      <c r="J6" s="3">
        <v>0</v>
      </c>
      <c r="K6" s="3">
        <f t="shared" ref="K6:M21" si="0">+B6+E6+H6</f>
        <v>3537400</v>
      </c>
      <c r="L6" s="3">
        <f t="shared" si="0"/>
        <v>0</v>
      </c>
      <c r="M6" s="3">
        <f t="shared" si="0"/>
        <v>0</v>
      </c>
      <c r="N6" s="3">
        <f t="shared" ref="N6:N35" si="1">+M6+L6+K6</f>
        <v>3537400</v>
      </c>
      <c r="O6" s="1" t="s">
        <v>22</v>
      </c>
    </row>
    <row r="7" spans="1:15" x14ac:dyDescent="0.15">
      <c r="A7" s="1">
        <v>1975</v>
      </c>
      <c r="B7" s="3">
        <v>4864000</v>
      </c>
      <c r="C7" s="3">
        <v>0</v>
      </c>
      <c r="D7" s="3">
        <v>0</v>
      </c>
      <c r="E7" s="3">
        <v>0</v>
      </c>
      <c r="F7" s="3">
        <v>0</v>
      </c>
      <c r="G7" s="3">
        <v>0</v>
      </c>
      <c r="H7" s="3">
        <v>0</v>
      </c>
      <c r="I7" s="3">
        <v>0</v>
      </c>
      <c r="J7" s="3">
        <v>0</v>
      </c>
      <c r="K7" s="3">
        <f t="shared" si="0"/>
        <v>4864000</v>
      </c>
      <c r="L7" s="3">
        <f t="shared" si="0"/>
        <v>0</v>
      </c>
      <c r="M7" s="3">
        <f t="shared" si="0"/>
        <v>0</v>
      </c>
      <c r="N7" s="3">
        <f t="shared" si="1"/>
        <v>4864000</v>
      </c>
    </row>
    <row r="8" spans="1:15" x14ac:dyDescent="0.15">
      <c r="A8" s="1">
        <v>1976</v>
      </c>
      <c r="B8" s="3">
        <v>4599000</v>
      </c>
      <c r="C8" s="3">
        <v>0</v>
      </c>
      <c r="D8" s="3">
        <v>0</v>
      </c>
      <c r="E8" s="3">
        <v>0</v>
      </c>
      <c r="F8" s="3">
        <v>0</v>
      </c>
      <c r="G8" s="3">
        <v>0</v>
      </c>
      <c r="H8" s="3">
        <v>0</v>
      </c>
      <c r="I8" s="3">
        <v>0</v>
      </c>
      <c r="J8" s="3">
        <v>0</v>
      </c>
      <c r="K8" s="3">
        <f t="shared" si="0"/>
        <v>4599000</v>
      </c>
      <c r="L8" s="3">
        <f t="shared" si="0"/>
        <v>0</v>
      </c>
      <c r="M8" s="3">
        <f t="shared" si="0"/>
        <v>0</v>
      </c>
      <c r="N8" s="3">
        <f t="shared" si="1"/>
        <v>4599000</v>
      </c>
    </row>
    <row r="9" spans="1:15" x14ac:dyDescent="0.15">
      <c r="A9" s="1">
        <v>1977</v>
      </c>
      <c r="B9" s="3">
        <v>6922000</v>
      </c>
      <c r="C9" s="3">
        <v>0</v>
      </c>
      <c r="D9" s="3">
        <v>0</v>
      </c>
      <c r="E9" s="3">
        <v>0</v>
      </c>
      <c r="F9" s="3">
        <v>0</v>
      </c>
      <c r="G9" s="3">
        <v>0</v>
      </c>
      <c r="H9" s="3">
        <v>0</v>
      </c>
      <c r="I9" s="3">
        <v>0</v>
      </c>
      <c r="J9" s="3">
        <v>0</v>
      </c>
      <c r="K9" s="3">
        <f t="shared" si="0"/>
        <v>6922000</v>
      </c>
      <c r="L9" s="3">
        <f t="shared" si="0"/>
        <v>0</v>
      </c>
      <c r="M9" s="3">
        <f t="shared" si="0"/>
        <v>0</v>
      </c>
      <c r="N9" s="3">
        <f t="shared" si="1"/>
        <v>6922000</v>
      </c>
    </row>
    <row r="10" spans="1:15" x14ac:dyDescent="0.15">
      <c r="A10" s="1">
        <v>1978</v>
      </c>
      <c r="B10" s="3">
        <v>8290000</v>
      </c>
      <c r="C10" s="3">
        <v>0</v>
      </c>
      <c r="D10" s="3">
        <v>0</v>
      </c>
      <c r="E10" s="3">
        <v>0</v>
      </c>
      <c r="F10" s="3">
        <v>0</v>
      </c>
      <c r="G10" s="3">
        <v>0</v>
      </c>
      <c r="H10" s="3">
        <v>0</v>
      </c>
      <c r="I10" s="3">
        <v>0</v>
      </c>
      <c r="J10" s="3">
        <v>0</v>
      </c>
      <c r="K10" s="3">
        <f t="shared" si="0"/>
        <v>8290000</v>
      </c>
      <c r="L10" s="3">
        <f t="shared" si="0"/>
        <v>0</v>
      </c>
      <c r="M10" s="3">
        <f t="shared" si="0"/>
        <v>0</v>
      </c>
      <c r="N10" s="3">
        <f t="shared" si="1"/>
        <v>8290000</v>
      </c>
    </row>
    <row r="11" spans="1:15" x14ac:dyDescent="0.15">
      <c r="A11" s="1">
        <v>1979</v>
      </c>
      <c r="B11" s="3">
        <v>9186000</v>
      </c>
      <c r="C11" s="3">
        <v>0</v>
      </c>
      <c r="D11" s="3">
        <v>0</v>
      </c>
      <c r="E11" s="3">
        <v>0</v>
      </c>
      <c r="F11" s="3">
        <v>0</v>
      </c>
      <c r="G11" s="3">
        <v>0</v>
      </c>
      <c r="H11" s="3">
        <v>0</v>
      </c>
      <c r="I11" s="3">
        <v>0</v>
      </c>
      <c r="J11" s="3">
        <v>0</v>
      </c>
      <c r="K11" s="3">
        <f t="shared" si="0"/>
        <v>9186000</v>
      </c>
      <c r="L11" s="3">
        <f t="shared" si="0"/>
        <v>0</v>
      </c>
      <c r="M11" s="3">
        <f t="shared" si="0"/>
        <v>0</v>
      </c>
      <c r="N11" s="3">
        <f t="shared" si="1"/>
        <v>9186000</v>
      </c>
    </row>
    <row r="12" spans="1:15" x14ac:dyDescent="0.15">
      <c r="A12" s="1">
        <v>1980</v>
      </c>
      <c r="B12" s="3">
        <v>9847000</v>
      </c>
      <c r="C12" s="3">
        <v>0</v>
      </c>
      <c r="D12" s="3">
        <v>0</v>
      </c>
      <c r="E12" s="3">
        <v>0</v>
      </c>
      <c r="F12" s="3">
        <v>0</v>
      </c>
      <c r="G12" s="3">
        <v>0</v>
      </c>
      <c r="H12" s="3">
        <v>0</v>
      </c>
      <c r="I12" s="3">
        <v>0</v>
      </c>
      <c r="J12" s="3">
        <v>0</v>
      </c>
      <c r="K12" s="3">
        <f t="shared" si="0"/>
        <v>9847000</v>
      </c>
      <c r="L12" s="3">
        <f t="shared" si="0"/>
        <v>0</v>
      </c>
      <c r="M12" s="3">
        <f t="shared" si="0"/>
        <v>0</v>
      </c>
      <c r="N12" s="3">
        <f t="shared" si="1"/>
        <v>9847000</v>
      </c>
    </row>
    <row r="13" spans="1:15" x14ac:dyDescent="0.15">
      <c r="A13" s="1">
        <v>1981</v>
      </c>
      <c r="B13" s="3">
        <v>11527000</v>
      </c>
      <c r="C13" s="3">
        <v>0</v>
      </c>
      <c r="D13" s="3">
        <v>0</v>
      </c>
      <c r="E13" s="3">
        <v>0</v>
      </c>
      <c r="F13" s="3">
        <v>0</v>
      </c>
      <c r="G13" s="3">
        <v>0</v>
      </c>
      <c r="H13" s="3">
        <v>0</v>
      </c>
      <c r="I13" s="3">
        <v>0</v>
      </c>
      <c r="J13" s="3">
        <v>0</v>
      </c>
      <c r="K13" s="3">
        <f t="shared" si="0"/>
        <v>11527000</v>
      </c>
      <c r="L13" s="3">
        <f t="shared" si="0"/>
        <v>0</v>
      </c>
      <c r="M13" s="3">
        <f t="shared" si="0"/>
        <v>0</v>
      </c>
      <c r="N13" s="3">
        <f t="shared" si="1"/>
        <v>11527000</v>
      </c>
    </row>
    <row r="14" spans="1:15" x14ac:dyDescent="0.15">
      <c r="A14" s="1">
        <v>1982</v>
      </c>
      <c r="B14" s="3">
        <v>12302000</v>
      </c>
      <c r="C14" s="3">
        <v>0</v>
      </c>
      <c r="D14" s="3">
        <v>0</v>
      </c>
      <c r="E14" s="3">
        <v>20000</v>
      </c>
      <c r="F14" s="3">
        <v>5000</v>
      </c>
      <c r="G14" s="3">
        <v>0</v>
      </c>
      <c r="H14" s="3">
        <v>8089000</v>
      </c>
      <c r="I14" s="3">
        <v>75000</v>
      </c>
      <c r="J14" s="3">
        <v>0</v>
      </c>
      <c r="K14" s="3">
        <f t="shared" si="0"/>
        <v>20411000</v>
      </c>
      <c r="L14" s="3">
        <f t="shared" si="0"/>
        <v>80000</v>
      </c>
      <c r="M14" s="3">
        <f t="shared" si="0"/>
        <v>0</v>
      </c>
      <c r="N14" s="3">
        <f t="shared" si="1"/>
        <v>20491000</v>
      </c>
      <c r="O14" s="1" t="s">
        <v>147</v>
      </c>
    </row>
    <row r="15" spans="1:15" x14ac:dyDescent="0.15">
      <c r="A15" s="1">
        <v>1983</v>
      </c>
      <c r="B15" s="3">
        <v>14036000</v>
      </c>
      <c r="C15" s="3">
        <v>0</v>
      </c>
      <c r="D15" s="3">
        <v>0</v>
      </c>
      <c r="E15" s="3">
        <v>24000</v>
      </c>
      <c r="F15" s="3">
        <v>6000</v>
      </c>
      <c r="G15" s="3">
        <v>0</v>
      </c>
      <c r="H15" s="3">
        <v>11135000</v>
      </c>
      <c r="I15" s="3">
        <v>75000</v>
      </c>
      <c r="J15" s="3">
        <v>0</v>
      </c>
      <c r="K15" s="3">
        <f t="shared" si="0"/>
        <v>25195000</v>
      </c>
      <c r="L15" s="3">
        <f t="shared" si="0"/>
        <v>81000</v>
      </c>
      <c r="M15" s="3">
        <f t="shared" si="0"/>
        <v>0</v>
      </c>
      <c r="N15" s="3">
        <f t="shared" si="1"/>
        <v>25276000</v>
      </c>
    </row>
    <row r="16" spans="1:15" x14ac:dyDescent="0.15">
      <c r="A16" s="1">
        <v>1984</v>
      </c>
      <c r="B16" s="3">
        <v>14000000</v>
      </c>
      <c r="C16" s="3">
        <v>0</v>
      </c>
      <c r="D16" s="3">
        <v>0</v>
      </c>
      <c r="E16" s="3">
        <v>28000</v>
      </c>
      <c r="F16" s="3">
        <v>7000</v>
      </c>
      <c r="G16" s="3">
        <v>0</v>
      </c>
      <c r="H16" s="3">
        <v>11951000</v>
      </c>
      <c r="I16" s="3">
        <v>54000</v>
      </c>
      <c r="J16" s="3">
        <v>0</v>
      </c>
      <c r="K16" s="3">
        <f t="shared" si="0"/>
        <v>25979000</v>
      </c>
      <c r="L16" s="3">
        <f t="shared" si="0"/>
        <v>61000</v>
      </c>
      <c r="M16" s="3">
        <f t="shared" si="0"/>
        <v>0</v>
      </c>
      <c r="N16" s="3">
        <f t="shared" si="1"/>
        <v>26040000</v>
      </c>
    </row>
    <row r="17" spans="1:15" x14ac:dyDescent="0.15">
      <c r="A17" s="1">
        <v>1985</v>
      </c>
      <c r="B17" s="3">
        <v>14000000</v>
      </c>
      <c r="C17" s="3">
        <v>0</v>
      </c>
      <c r="D17" s="3">
        <v>0</v>
      </c>
      <c r="E17" s="3">
        <v>26000</v>
      </c>
      <c r="F17" s="3">
        <v>7000</v>
      </c>
      <c r="G17" s="3">
        <v>0</v>
      </c>
      <c r="H17" s="3">
        <v>14051000</v>
      </c>
      <c r="I17" s="3">
        <v>54000</v>
      </c>
      <c r="J17" s="3">
        <v>0</v>
      </c>
      <c r="K17" s="3">
        <f t="shared" si="0"/>
        <v>28077000</v>
      </c>
      <c r="L17" s="3">
        <f t="shared" si="0"/>
        <v>61000</v>
      </c>
      <c r="M17" s="3">
        <f t="shared" si="0"/>
        <v>0</v>
      </c>
      <c r="N17" s="3">
        <f t="shared" si="1"/>
        <v>28138000</v>
      </c>
    </row>
    <row r="18" spans="1:15" x14ac:dyDescent="0.15">
      <c r="A18" s="1">
        <v>1986</v>
      </c>
      <c r="B18" s="3">
        <v>14768000</v>
      </c>
      <c r="C18" s="3">
        <v>0</v>
      </c>
      <c r="D18" s="3">
        <v>0</v>
      </c>
      <c r="E18" s="3">
        <v>31000</v>
      </c>
      <c r="F18" s="3">
        <v>2000</v>
      </c>
      <c r="G18" s="3">
        <v>0</v>
      </c>
      <c r="H18" s="3">
        <v>16573000</v>
      </c>
      <c r="I18" s="3">
        <v>528000</v>
      </c>
      <c r="J18" s="3">
        <v>0</v>
      </c>
      <c r="K18" s="3">
        <f t="shared" si="0"/>
        <v>31372000</v>
      </c>
      <c r="L18" s="3">
        <f t="shared" si="0"/>
        <v>530000</v>
      </c>
      <c r="M18" s="3">
        <f t="shared" si="0"/>
        <v>0</v>
      </c>
      <c r="N18" s="3">
        <f t="shared" si="1"/>
        <v>31902000</v>
      </c>
    </row>
    <row r="19" spans="1:15" x14ac:dyDescent="0.15">
      <c r="A19" s="1">
        <v>1987</v>
      </c>
      <c r="B19" s="3">
        <v>14854000</v>
      </c>
      <c r="C19" s="3">
        <v>0</v>
      </c>
      <c r="D19" s="3">
        <v>0</v>
      </c>
      <c r="E19" s="3">
        <v>57000</v>
      </c>
      <c r="F19" s="3">
        <v>3000</v>
      </c>
      <c r="G19" s="3">
        <v>400000</v>
      </c>
      <c r="H19" s="3">
        <v>19366000</v>
      </c>
      <c r="I19" s="3">
        <v>662000</v>
      </c>
      <c r="J19" s="3">
        <v>0</v>
      </c>
      <c r="K19" s="3">
        <f t="shared" si="0"/>
        <v>34277000</v>
      </c>
      <c r="L19" s="3">
        <f t="shared" si="0"/>
        <v>665000</v>
      </c>
      <c r="M19" s="3">
        <f t="shared" si="0"/>
        <v>400000</v>
      </c>
      <c r="N19" s="3">
        <f t="shared" si="1"/>
        <v>35342000</v>
      </c>
    </row>
    <row r="20" spans="1:15" x14ac:dyDescent="0.15">
      <c r="A20" s="1">
        <v>1988</v>
      </c>
      <c r="B20" s="3">
        <v>17126000</v>
      </c>
      <c r="C20" s="3">
        <v>0</v>
      </c>
      <c r="D20" s="3">
        <v>0</v>
      </c>
      <c r="E20" s="3">
        <v>60000</v>
      </c>
      <c r="F20" s="3">
        <v>3000</v>
      </c>
      <c r="G20" s="3">
        <v>0</v>
      </c>
      <c r="H20" s="3">
        <v>19880000</v>
      </c>
      <c r="I20" s="3">
        <v>1002000</v>
      </c>
      <c r="J20" s="3">
        <v>0</v>
      </c>
      <c r="K20" s="3">
        <f t="shared" si="0"/>
        <v>37066000</v>
      </c>
      <c r="L20" s="3">
        <f t="shared" si="0"/>
        <v>1005000</v>
      </c>
      <c r="M20" s="3">
        <f t="shared" si="0"/>
        <v>0</v>
      </c>
      <c r="N20" s="3">
        <f t="shared" si="1"/>
        <v>38071000</v>
      </c>
    </row>
    <row r="21" spans="1:15" x14ac:dyDescent="0.15">
      <c r="A21" s="1">
        <v>1989</v>
      </c>
      <c r="B21" s="3">
        <v>19556000</v>
      </c>
      <c r="C21" s="3">
        <v>0</v>
      </c>
      <c r="D21" s="3">
        <v>0</v>
      </c>
      <c r="E21" s="3">
        <v>70000</v>
      </c>
      <c r="F21" s="3">
        <v>0</v>
      </c>
      <c r="G21" s="3">
        <v>0</v>
      </c>
      <c r="H21" s="3">
        <v>28319000</v>
      </c>
      <c r="I21" s="3">
        <v>885000</v>
      </c>
      <c r="J21" s="3">
        <v>0</v>
      </c>
      <c r="K21" s="3">
        <f t="shared" si="0"/>
        <v>47945000</v>
      </c>
      <c r="L21" s="3">
        <f t="shared" si="0"/>
        <v>885000</v>
      </c>
      <c r="M21" s="3">
        <f t="shared" si="0"/>
        <v>0</v>
      </c>
      <c r="N21" s="3">
        <f t="shared" si="1"/>
        <v>48830000</v>
      </c>
    </row>
    <row r="22" spans="1:15" x14ac:dyDescent="0.15">
      <c r="A22" s="1">
        <v>1990</v>
      </c>
      <c r="B22" s="3">
        <v>21527000</v>
      </c>
      <c r="C22" s="3">
        <v>0</v>
      </c>
      <c r="D22" s="3">
        <v>0</v>
      </c>
      <c r="E22" s="3">
        <f>83000+90000</f>
        <v>173000</v>
      </c>
      <c r="F22" s="3">
        <v>0</v>
      </c>
      <c r="G22" s="3">
        <v>0</v>
      </c>
      <c r="H22" s="3">
        <v>33558000</v>
      </c>
      <c r="I22" s="3">
        <v>1055000</v>
      </c>
      <c r="J22" s="3">
        <v>0</v>
      </c>
      <c r="K22" s="3">
        <f t="shared" ref="K22:M35" si="2">+B22+E22+H22</f>
        <v>55258000</v>
      </c>
      <c r="L22" s="3">
        <f t="shared" si="2"/>
        <v>1055000</v>
      </c>
      <c r="M22" s="3">
        <f t="shared" si="2"/>
        <v>0</v>
      </c>
      <c r="N22" s="3">
        <f t="shared" si="1"/>
        <v>56313000</v>
      </c>
    </row>
    <row r="23" spans="1:15" x14ac:dyDescent="0.15">
      <c r="A23" s="1">
        <v>1991</v>
      </c>
      <c r="B23" s="3">
        <v>26760000</v>
      </c>
      <c r="C23" s="3">
        <v>0</v>
      </c>
      <c r="D23" s="3">
        <v>0</v>
      </c>
      <c r="E23" s="3">
        <f>115000+68000+189000</f>
        <v>372000</v>
      </c>
      <c r="F23" s="3">
        <v>0</v>
      </c>
      <c r="G23" s="3">
        <v>0</v>
      </c>
      <c r="H23" s="3">
        <v>40526000</v>
      </c>
      <c r="I23" s="3">
        <v>1402000</v>
      </c>
      <c r="J23" s="3">
        <v>0</v>
      </c>
      <c r="K23" s="3">
        <f t="shared" si="2"/>
        <v>67658000</v>
      </c>
      <c r="L23" s="3">
        <f t="shared" si="2"/>
        <v>1402000</v>
      </c>
      <c r="M23" s="3">
        <f t="shared" si="2"/>
        <v>0</v>
      </c>
      <c r="N23" s="3">
        <f t="shared" si="1"/>
        <v>69060000</v>
      </c>
    </row>
    <row r="24" spans="1:15" x14ac:dyDescent="0.15">
      <c r="A24" s="1">
        <v>1992</v>
      </c>
      <c r="B24" s="3">
        <v>26656000</v>
      </c>
      <c r="C24" s="3">
        <v>0</v>
      </c>
      <c r="D24" s="3">
        <v>0</v>
      </c>
      <c r="E24" s="3">
        <f>102000+116000+285000</f>
        <v>503000</v>
      </c>
      <c r="F24" s="3">
        <v>3000</v>
      </c>
      <c r="G24" s="3">
        <v>0</v>
      </c>
      <c r="H24" s="3">
        <v>44507000</v>
      </c>
      <c r="I24" s="3">
        <v>1005000</v>
      </c>
      <c r="J24" s="3">
        <v>0</v>
      </c>
      <c r="K24" s="3">
        <f t="shared" si="2"/>
        <v>71666000</v>
      </c>
      <c r="L24" s="3">
        <f t="shared" si="2"/>
        <v>1008000</v>
      </c>
      <c r="M24" s="3">
        <f t="shared" si="2"/>
        <v>0</v>
      </c>
      <c r="N24" s="3">
        <f t="shared" si="1"/>
        <v>72674000</v>
      </c>
    </row>
    <row r="25" spans="1:15" x14ac:dyDescent="0.15">
      <c r="A25" s="1">
        <v>1993</v>
      </c>
      <c r="B25" s="3">
        <v>29071000</v>
      </c>
      <c r="C25" s="3">
        <v>0</v>
      </c>
      <c r="D25" s="3">
        <v>0</v>
      </c>
      <c r="E25" s="3">
        <f>51000+146000+360000</f>
        <v>557000</v>
      </c>
      <c r="F25" s="3">
        <v>10000</v>
      </c>
      <c r="G25" s="3">
        <v>0</v>
      </c>
      <c r="H25" s="3">
        <v>46401000</v>
      </c>
      <c r="I25" s="3">
        <v>300000</v>
      </c>
      <c r="J25" s="3">
        <v>0</v>
      </c>
      <c r="K25" s="3">
        <f t="shared" si="2"/>
        <v>76029000</v>
      </c>
      <c r="L25" s="3">
        <f t="shared" si="2"/>
        <v>310000</v>
      </c>
      <c r="M25" s="3">
        <f t="shared" si="2"/>
        <v>0</v>
      </c>
      <c r="N25" s="3">
        <f t="shared" si="1"/>
        <v>76339000</v>
      </c>
    </row>
    <row r="26" spans="1:15" x14ac:dyDescent="0.15">
      <c r="A26" s="1">
        <v>1994</v>
      </c>
      <c r="B26" s="3">
        <v>30723000</v>
      </c>
      <c r="C26" s="3">
        <v>0</v>
      </c>
      <c r="D26" s="3">
        <v>0</v>
      </c>
      <c r="E26" s="3">
        <f>49000+190000+315000</f>
        <v>554000</v>
      </c>
      <c r="F26" s="3">
        <v>12000</v>
      </c>
      <c r="G26" s="3">
        <v>0</v>
      </c>
      <c r="H26" s="3">
        <v>56458000</v>
      </c>
      <c r="I26" s="3">
        <v>290000</v>
      </c>
      <c r="J26" s="3">
        <v>0</v>
      </c>
      <c r="K26" s="3">
        <f t="shared" si="2"/>
        <v>87735000</v>
      </c>
      <c r="L26" s="3">
        <f t="shared" si="2"/>
        <v>302000</v>
      </c>
      <c r="M26" s="3">
        <f t="shared" si="2"/>
        <v>0</v>
      </c>
      <c r="N26" s="3">
        <f t="shared" si="1"/>
        <v>88037000</v>
      </c>
    </row>
    <row r="27" spans="1:15" x14ac:dyDescent="0.15">
      <c r="A27" s="1">
        <v>1995</v>
      </c>
      <c r="B27" s="3">
        <v>27102807</v>
      </c>
      <c r="C27" s="3">
        <v>0</v>
      </c>
      <c r="D27" s="3">
        <v>0</v>
      </c>
      <c r="E27" s="3">
        <f>36824000-B27</f>
        <v>9721193</v>
      </c>
      <c r="F27" s="3">
        <v>0</v>
      </c>
      <c r="G27" s="3">
        <v>0</v>
      </c>
      <c r="H27" s="3">
        <v>61886000</v>
      </c>
      <c r="I27" s="3">
        <v>743000</v>
      </c>
      <c r="J27" s="3">
        <v>0</v>
      </c>
      <c r="K27" s="3">
        <f t="shared" si="2"/>
        <v>98710000</v>
      </c>
      <c r="L27" s="3">
        <f t="shared" si="2"/>
        <v>743000</v>
      </c>
      <c r="M27" s="3">
        <f t="shared" si="2"/>
        <v>0</v>
      </c>
      <c r="N27" s="3">
        <f t="shared" si="1"/>
        <v>99453000</v>
      </c>
    </row>
    <row r="28" spans="1:15" x14ac:dyDescent="0.15">
      <c r="A28" s="1">
        <v>1996</v>
      </c>
      <c r="B28" s="3">
        <f>26316238+6857357+1183026</f>
        <v>34356621</v>
      </c>
      <c r="C28" s="3">
        <v>0</v>
      </c>
      <c r="D28" s="3">
        <v>0</v>
      </c>
      <c r="E28" s="3">
        <f>34822000-B28</f>
        <v>465379</v>
      </c>
      <c r="F28" s="3">
        <v>0</v>
      </c>
      <c r="G28" s="3">
        <v>0</v>
      </c>
      <c r="H28" s="3">
        <v>65541000</v>
      </c>
      <c r="I28" s="3">
        <v>767000</v>
      </c>
      <c r="J28" s="3">
        <v>0</v>
      </c>
      <c r="K28" s="3">
        <f t="shared" si="2"/>
        <v>100363000</v>
      </c>
      <c r="L28" s="3">
        <f t="shared" si="2"/>
        <v>767000</v>
      </c>
      <c r="M28" s="3">
        <f t="shared" si="2"/>
        <v>0</v>
      </c>
      <c r="N28" s="3">
        <f t="shared" si="1"/>
        <v>101130000</v>
      </c>
    </row>
    <row r="29" spans="1:15" x14ac:dyDescent="0.15">
      <c r="A29" s="1">
        <v>1997</v>
      </c>
      <c r="B29" s="3">
        <f>26316238+6857357+1183026</f>
        <v>34356621</v>
      </c>
      <c r="C29" s="3">
        <v>0</v>
      </c>
      <c r="D29" s="3">
        <v>0</v>
      </c>
      <c r="E29" s="3">
        <v>6000</v>
      </c>
      <c r="F29" s="3">
        <v>0</v>
      </c>
      <c r="G29" s="3">
        <v>0</v>
      </c>
      <c r="H29" s="3">
        <v>75194000</v>
      </c>
      <c r="I29" s="3">
        <v>675000</v>
      </c>
      <c r="J29" s="3">
        <v>0</v>
      </c>
      <c r="K29" s="3">
        <f t="shared" si="2"/>
        <v>109556621</v>
      </c>
      <c r="L29" s="3">
        <f t="shared" si="2"/>
        <v>675000</v>
      </c>
      <c r="M29" s="3">
        <f t="shared" si="2"/>
        <v>0</v>
      </c>
      <c r="N29" s="3">
        <f t="shared" si="1"/>
        <v>110231621</v>
      </c>
    </row>
    <row r="30" spans="1:15" x14ac:dyDescent="0.15">
      <c r="A30" s="1">
        <v>1998</v>
      </c>
      <c r="B30" s="3">
        <f>26503613+8369562</f>
        <v>34873175</v>
      </c>
      <c r="C30" s="3">
        <v>0</v>
      </c>
      <c r="D30" s="3">
        <v>0</v>
      </c>
      <c r="E30" s="3">
        <f>35675000-B30</f>
        <v>801825</v>
      </c>
      <c r="F30" s="3">
        <v>0</v>
      </c>
      <c r="G30" s="3">
        <v>0</v>
      </c>
      <c r="H30" s="3">
        <v>98632000</v>
      </c>
      <c r="I30" s="3">
        <v>649000</v>
      </c>
      <c r="J30" s="3">
        <v>0</v>
      </c>
      <c r="K30" s="3">
        <f t="shared" si="2"/>
        <v>134307000</v>
      </c>
      <c r="L30" s="3">
        <f t="shared" si="2"/>
        <v>649000</v>
      </c>
      <c r="M30" s="3">
        <f t="shared" si="2"/>
        <v>0</v>
      </c>
      <c r="N30" s="3">
        <f t="shared" si="1"/>
        <v>134956000</v>
      </c>
      <c r="O30" s="1" t="s">
        <v>220</v>
      </c>
    </row>
    <row r="31" spans="1:15" x14ac:dyDescent="0.15">
      <c r="A31" s="1">
        <v>1999</v>
      </c>
      <c r="B31" s="3">
        <v>35924650</v>
      </c>
      <c r="C31" s="3">
        <v>0</v>
      </c>
      <c r="D31" s="3">
        <v>0</v>
      </c>
      <c r="E31" s="3">
        <f>36659000-B31</f>
        <v>734350</v>
      </c>
      <c r="F31" s="3">
        <v>0</v>
      </c>
      <c r="G31" s="3">
        <v>0</v>
      </c>
      <c r="H31" s="3">
        <v>133288000</v>
      </c>
      <c r="I31" s="3">
        <v>590000</v>
      </c>
      <c r="J31" s="3">
        <v>0</v>
      </c>
      <c r="K31" s="3">
        <f t="shared" si="2"/>
        <v>169947000</v>
      </c>
      <c r="L31" s="3">
        <f t="shared" si="2"/>
        <v>590000</v>
      </c>
      <c r="M31" s="3">
        <f t="shared" si="2"/>
        <v>0</v>
      </c>
      <c r="N31" s="3">
        <f t="shared" si="1"/>
        <v>170537000</v>
      </c>
    </row>
    <row r="32" spans="1:15" x14ac:dyDescent="0.15">
      <c r="A32" s="1">
        <v>2000</v>
      </c>
      <c r="B32" s="3">
        <v>44066853</v>
      </c>
      <c r="C32" s="3">
        <v>0</v>
      </c>
      <c r="D32" s="3">
        <v>0</v>
      </c>
      <c r="E32" s="3">
        <f>44892000-B32</f>
        <v>825147</v>
      </c>
      <c r="F32" s="3">
        <v>0</v>
      </c>
      <c r="G32" s="3">
        <v>0</v>
      </c>
      <c r="H32" s="3">
        <v>180661000</v>
      </c>
      <c r="I32" s="3">
        <v>255000</v>
      </c>
      <c r="J32" s="3">
        <v>0</v>
      </c>
      <c r="K32" s="3">
        <f t="shared" si="2"/>
        <v>225553000</v>
      </c>
      <c r="L32" s="3">
        <f t="shared" si="2"/>
        <v>255000</v>
      </c>
      <c r="M32" s="3">
        <f t="shared" si="2"/>
        <v>0</v>
      </c>
      <c r="N32" s="3">
        <f t="shared" si="1"/>
        <v>225808000</v>
      </c>
      <c r="O32" s="1" t="s">
        <v>236</v>
      </c>
    </row>
    <row r="33" spans="1:15" x14ac:dyDescent="0.15">
      <c r="A33" s="1">
        <v>2001</v>
      </c>
      <c r="B33" s="3">
        <f>49058540+16353847</f>
        <v>65412387</v>
      </c>
      <c r="C33" s="3">
        <v>0</v>
      </c>
      <c r="D33" s="3">
        <v>0</v>
      </c>
      <c r="E33" s="3">
        <f>66193000-B33</f>
        <v>780613</v>
      </c>
      <c r="F33" s="3">
        <v>0</v>
      </c>
      <c r="G33" s="3">
        <v>0</v>
      </c>
      <c r="H33" s="3">
        <v>236440000</v>
      </c>
      <c r="I33" s="3">
        <v>649000</v>
      </c>
      <c r="J33" s="3">
        <v>0</v>
      </c>
      <c r="K33" s="3">
        <f t="shared" si="2"/>
        <v>302633000</v>
      </c>
      <c r="L33" s="3">
        <f t="shared" si="2"/>
        <v>649000</v>
      </c>
      <c r="M33" s="3">
        <f t="shared" si="2"/>
        <v>0</v>
      </c>
      <c r="N33" s="3">
        <f t="shared" si="1"/>
        <v>303282000</v>
      </c>
    </row>
    <row r="34" spans="1:15" x14ac:dyDescent="0.15">
      <c r="A34" s="1">
        <v>2002</v>
      </c>
      <c r="B34" s="3">
        <v>74934849</v>
      </c>
      <c r="C34" s="3">
        <v>0</v>
      </c>
      <c r="D34" s="3">
        <v>0</v>
      </c>
      <c r="E34" s="3">
        <f>75656000-B34</f>
        <v>721151</v>
      </c>
      <c r="F34" s="3">
        <v>0</v>
      </c>
      <c r="G34" s="3">
        <v>0</v>
      </c>
      <c r="H34" s="3">
        <v>245791000</v>
      </c>
      <c r="I34" s="3">
        <v>410000</v>
      </c>
      <c r="J34" s="3">
        <v>0</v>
      </c>
      <c r="K34" s="3">
        <f t="shared" si="2"/>
        <v>321447000</v>
      </c>
      <c r="L34" s="3">
        <f t="shared" si="2"/>
        <v>410000</v>
      </c>
      <c r="M34" s="3">
        <f t="shared" si="2"/>
        <v>0</v>
      </c>
      <c r="N34" s="3">
        <f t="shared" si="1"/>
        <v>321857000</v>
      </c>
    </row>
    <row r="35" spans="1:15" x14ac:dyDescent="0.15">
      <c r="A35" s="1">
        <v>2003</v>
      </c>
      <c r="B35" s="3">
        <v>87582629</v>
      </c>
      <c r="C35" s="3">
        <v>0</v>
      </c>
      <c r="D35" s="3">
        <v>0</v>
      </c>
      <c r="E35" s="3">
        <v>1147682</v>
      </c>
      <c r="F35" s="3">
        <v>0</v>
      </c>
      <c r="G35" s="3">
        <v>0</v>
      </c>
      <c r="H35" s="3">
        <v>202204806</v>
      </c>
      <c r="I35" s="3">
        <v>0</v>
      </c>
      <c r="J35" s="3">
        <v>2466265</v>
      </c>
      <c r="K35" s="3">
        <f t="shared" si="2"/>
        <v>290935117</v>
      </c>
      <c r="L35" s="3">
        <f t="shared" si="2"/>
        <v>0</v>
      </c>
      <c r="M35" s="3">
        <f t="shared" si="2"/>
        <v>2466265</v>
      </c>
      <c r="N35" s="3">
        <f t="shared" si="1"/>
        <v>293401382</v>
      </c>
    </row>
    <row r="36" spans="1:15" x14ac:dyDescent="0.15">
      <c r="A36" s="1">
        <v>2004</v>
      </c>
      <c r="B36" s="3">
        <v>87654796</v>
      </c>
      <c r="C36" s="3">
        <v>0</v>
      </c>
      <c r="D36" s="3">
        <v>0</v>
      </c>
      <c r="E36" s="3">
        <v>841426</v>
      </c>
      <c r="F36" s="3">
        <v>0</v>
      </c>
      <c r="G36" s="3">
        <v>3600000</v>
      </c>
      <c r="H36" s="3">
        <v>237971452</v>
      </c>
      <c r="I36" s="3">
        <v>0</v>
      </c>
      <c r="J36" s="3">
        <v>937600</v>
      </c>
      <c r="K36" s="3">
        <v>326467674</v>
      </c>
      <c r="L36" s="3">
        <v>0</v>
      </c>
      <c r="M36" s="3">
        <v>4537600</v>
      </c>
      <c r="N36" s="3">
        <v>331005274</v>
      </c>
      <c r="O36" s="1" t="s">
        <v>265</v>
      </c>
    </row>
    <row r="37" spans="1:15" x14ac:dyDescent="0.15">
      <c r="A37" s="1">
        <v>2005</v>
      </c>
      <c r="B37" s="3">
        <v>92954456</v>
      </c>
      <c r="C37" s="3">
        <v>0</v>
      </c>
      <c r="D37" s="3">
        <v>0</v>
      </c>
      <c r="E37" s="3">
        <v>862296</v>
      </c>
      <c r="F37" s="3">
        <v>0</v>
      </c>
      <c r="G37" s="3">
        <v>5975000</v>
      </c>
      <c r="H37" s="3">
        <v>271596662</v>
      </c>
      <c r="I37" s="3">
        <v>0</v>
      </c>
      <c r="J37" s="3">
        <v>937600</v>
      </c>
      <c r="K37" s="3">
        <v>365413414</v>
      </c>
      <c r="L37" s="3">
        <v>0</v>
      </c>
      <c r="M37" s="3">
        <v>6912600</v>
      </c>
      <c r="N37" s="3">
        <v>372326014</v>
      </c>
    </row>
    <row r="38" spans="1:15" x14ac:dyDescent="0.15">
      <c r="A38" s="1">
        <v>2006</v>
      </c>
      <c r="B38" s="3">
        <v>101027533</v>
      </c>
      <c r="C38" s="3">
        <v>0</v>
      </c>
      <c r="D38" s="3">
        <v>0</v>
      </c>
      <c r="E38" s="3">
        <v>846338</v>
      </c>
      <c r="F38" s="3">
        <v>0</v>
      </c>
      <c r="G38" s="3">
        <v>5975000</v>
      </c>
      <c r="H38" s="3">
        <v>308883776</v>
      </c>
      <c r="I38" s="3">
        <v>0</v>
      </c>
      <c r="J38" s="3">
        <v>1260000</v>
      </c>
      <c r="K38" s="3">
        <v>410757647</v>
      </c>
      <c r="L38" s="3">
        <v>0</v>
      </c>
      <c r="M38" s="3">
        <v>7235000</v>
      </c>
      <c r="N38" s="3">
        <v>417992647</v>
      </c>
    </row>
    <row r="39" spans="1:15" x14ac:dyDescent="0.15">
      <c r="A39" s="1">
        <v>2007</v>
      </c>
      <c r="B39" s="3">
        <v>121417335</v>
      </c>
      <c r="C39" s="3">
        <v>0</v>
      </c>
      <c r="D39" s="3">
        <v>0</v>
      </c>
      <c r="E39" s="3">
        <v>12911678</v>
      </c>
      <c r="F39" s="3">
        <v>0</v>
      </c>
      <c r="G39" s="3">
        <v>7975000</v>
      </c>
      <c r="H39" s="3">
        <v>349898274</v>
      </c>
      <c r="I39" s="3">
        <v>0</v>
      </c>
      <c r="J39" s="3">
        <v>1760000</v>
      </c>
      <c r="K39" s="3">
        <v>484227287</v>
      </c>
      <c r="L39" s="3">
        <v>0</v>
      </c>
      <c r="M39" s="3">
        <v>9735000</v>
      </c>
      <c r="N39" s="3">
        <v>493962287</v>
      </c>
      <c r="O39" s="1" t="s">
        <v>264</v>
      </c>
    </row>
    <row r="40" spans="1:15" x14ac:dyDescent="0.15">
      <c r="A40" s="1">
        <v>2008</v>
      </c>
      <c r="B40" s="3">
        <v>132192968</v>
      </c>
      <c r="C40" s="3">
        <v>0</v>
      </c>
      <c r="D40" s="3">
        <v>0</v>
      </c>
      <c r="E40" s="3">
        <v>17325115</v>
      </c>
      <c r="F40" s="3">
        <v>0</v>
      </c>
      <c r="G40" s="3">
        <v>5975000</v>
      </c>
      <c r="H40" s="3">
        <v>383555250</v>
      </c>
      <c r="I40" s="3">
        <v>0</v>
      </c>
      <c r="J40" s="3">
        <v>2134000</v>
      </c>
      <c r="K40" s="3">
        <v>533073333</v>
      </c>
      <c r="L40" s="3">
        <v>0</v>
      </c>
      <c r="M40" s="3">
        <v>8109000</v>
      </c>
      <c r="N40" s="3">
        <v>541182333</v>
      </c>
    </row>
    <row r="41" spans="1:15" x14ac:dyDescent="0.15">
      <c r="A41" s="1">
        <v>2009</v>
      </c>
      <c r="B41" s="3">
        <v>131912507</v>
      </c>
      <c r="C41" s="3">
        <v>0</v>
      </c>
      <c r="D41" s="3">
        <v>0</v>
      </c>
      <c r="E41" s="3">
        <v>16757737</v>
      </c>
      <c r="F41" s="3">
        <v>0</v>
      </c>
      <c r="G41" s="3">
        <v>5617240</v>
      </c>
      <c r="H41" s="3">
        <v>433623711</v>
      </c>
      <c r="I41" s="3">
        <v>0</v>
      </c>
      <c r="J41" s="3">
        <v>1987181</v>
      </c>
      <c r="K41" s="3">
        <v>582293955</v>
      </c>
      <c r="L41" s="3">
        <v>0</v>
      </c>
      <c r="M41" s="3">
        <v>7604421</v>
      </c>
      <c r="N41" s="3">
        <v>589898376</v>
      </c>
    </row>
    <row r="42" spans="1:15" x14ac:dyDescent="0.15">
      <c r="A42" s="1">
        <v>2010</v>
      </c>
      <c r="B42" s="3">
        <v>131847534</v>
      </c>
      <c r="C42" s="3">
        <v>0</v>
      </c>
      <c r="D42" s="3">
        <v>0</v>
      </c>
      <c r="E42" s="3">
        <v>14431246</v>
      </c>
      <c r="F42" s="3">
        <v>0</v>
      </c>
      <c r="G42" s="3">
        <v>4188111</v>
      </c>
      <c r="H42" s="3">
        <v>427752606</v>
      </c>
      <c r="I42" s="3">
        <v>0</v>
      </c>
      <c r="J42" s="3">
        <v>1987181</v>
      </c>
      <c r="K42" s="3">
        <v>574031386</v>
      </c>
      <c r="L42" s="3">
        <v>0</v>
      </c>
      <c r="M42" s="3">
        <v>6175292</v>
      </c>
      <c r="N42" s="3">
        <v>580206678</v>
      </c>
    </row>
    <row r="43" spans="1:15" x14ac:dyDescent="0.15">
      <c r="A43" s="1">
        <v>2011</v>
      </c>
      <c r="B43" s="3">
        <v>136498665</v>
      </c>
      <c r="C43" s="3">
        <v>0</v>
      </c>
      <c r="D43" s="3">
        <v>0</v>
      </c>
      <c r="E43" s="3">
        <v>13855682</v>
      </c>
      <c r="F43" s="3">
        <v>0</v>
      </c>
      <c r="G43" s="3">
        <v>4020587</v>
      </c>
      <c r="H43" s="3">
        <v>427381450</v>
      </c>
      <c r="I43" s="3">
        <v>0</v>
      </c>
      <c r="J43" s="3">
        <v>2007694</v>
      </c>
      <c r="K43" s="3">
        <v>577735797</v>
      </c>
      <c r="L43" s="3">
        <v>0</v>
      </c>
      <c r="M43" s="3">
        <v>6028281</v>
      </c>
      <c r="N43" s="3">
        <v>583764078</v>
      </c>
    </row>
    <row r="44" spans="1:15" x14ac:dyDescent="0.15">
      <c r="A44" s="1">
        <v>2012</v>
      </c>
      <c r="B44" s="3">
        <v>135032142</v>
      </c>
      <c r="C44" s="3">
        <v>0</v>
      </c>
      <c r="D44" s="3">
        <v>0</v>
      </c>
      <c r="E44" s="3">
        <v>11596302</v>
      </c>
      <c r="F44" s="3">
        <v>0</v>
      </c>
      <c r="G44" s="3">
        <v>4618528</v>
      </c>
      <c r="H44" s="3">
        <v>337558180</v>
      </c>
      <c r="I44" s="3">
        <v>0</v>
      </c>
      <c r="J44" s="3">
        <v>2000000</v>
      </c>
      <c r="K44" s="3">
        <v>484186624</v>
      </c>
      <c r="L44" s="3">
        <v>0</v>
      </c>
      <c r="M44" s="3">
        <v>6618528</v>
      </c>
      <c r="N44" s="3">
        <v>490805152</v>
      </c>
    </row>
    <row r="45" spans="1:15" x14ac:dyDescent="0.15">
      <c r="A45" s="1">
        <v>2013</v>
      </c>
      <c r="B45" s="3">
        <v>135605053</v>
      </c>
      <c r="C45" s="3">
        <v>0</v>
      </c>
      <c r="D45" s="3">
        <v>0</v>
      </c>
      <c r="E45" s="3">
        <v>11063641</v>
      </c>
      <c r="F45" s="3">
        <v>0</v>
      </c>
      <c r="G45" s="3">
        <v>6702145</v>
      </c>
      <c r="H45" s="3">
        <v>318142943</v>
      </c>
      <c r="I45" s="3">
        <v>0</v>
      </c>
      <c r="J45" s="3">
        <v>2000000</v>
      </c>
      <c r="K45" s="3">
        <v>464811637</v>
      </c>
      <c r="L45" s="3">
        <v>0</v>
      </c>
      <c r="M45" s="3">
        <v>8702145</v>
      </c>
      <c r="N45" s="3">
        <v>473513782</v>
      </c>
    </row>
    <row r="46" spans="1:15" x14ac:dyDescent="0.15">
      <c r="A46" s="1">
        <v>2014</v>
      </c>
      <c r="B46" s="3">
        <v>134187307</v>
      </c>
      <c r="C46" s="3">
        <v>0</v>
      </c>
      <c r="D46" s="3">
        <v>0</v>
      </c>
      <c r="E46" s="3">
        <v>11114289</v>
      </c>
      <c r="F46" s="3">
        <v>0</v>
      </c>
      <c r="G46" s="3">
        <v>7000000</v>
      </c>
      <c r="H46" s="3">
        <v>310621764</v>
      </c>
      <c r="I46" s="3">
        <v>0</v>
      </c>
      <c r="J46" s="3">
        <v>3000000</v>
      </c>
      <c r="K46" s="3">
        <v>455923360</v>
      </c>
      <c r="L46" s="3">
        <v>0</v>
      </c>
      <c r="M46" s="3">
        <v>10000000</v>
      </c>
      <c r="N46" s="3">
        <v>465923360</v>
      </c>
    </row>
    <row r="47" spans="1:15" x14ac:dyDescent="0.15">
      <c r="A47" s="1">
        <v>2015</v>
      </c>
      <c r="B47" s="3">
        <v>147144430</v>
      </c>
      <c r="C47" s="3">
        <v>0</v>
      </c>
      <c r="D47" s="3">
        <v>0</v>
      </c>
      <c r="E47" s="3">
        <v>12121897</v>
      </c>
      <c r="F47" s="3">
        <v>0</v>
      </c>
      <c r="G47" s="3">
        <v>7000000</v>
      </c>
      <c r="H47" s="3">
        <v>270082710</v>
      </c>
      <c r="I47" s="3">
        <v>0</v>
      </c>
      <c r="J47" s="3">
        <v>3000000</v>
      </c>
      <c r="K47" s="3">
        <v>429349037</v>
      </c>
      <c r="L47" s="3">
        <v>0</v>
      </c>
      <c r="M47" s="3">
        <v>10000000</v>
      </c>
      <c r="N47" s="3">
        <v>439349037</v>
      </c>
    </row>
    <row r="48" spans="1:15" x14ac:dyDescent="0.15">
      <c r="A48" s="1">
        <v>2016</v>
      </c>
      <c r="B48" s="3">
        <v>146931551</v>
      </c>
      <c r="C48" s="3">
        <v>0</v>
      </c>
      <c r="D48" s="3">
        <v>0</v>
      </c>
      <c r="E48" s="3">
        <v>12152581</v>
      </c>
      <c r="F48" s="3">
        <v>0</v>
      </c>
      <c r="G48" s="3">
        <v>7000000</v>
      </c>
      <c r="H48" s="3">
        <v>243904046</v>
      </c>
      <c r="I48" s="3">
        <v>0</v>
      </c>
      <c r="J48" s="3">
        <v>3500000</v>
      </c>
      <c r="K48" s="3">
        <v>402988178</v>
      </c>
      <c r="L48" s="3">
        <v>0</v>
      </c>
      <c r="M48" s="3">
        <v>10500000</v>
      </c>
      <c r="N48" s="3">
        <v>413488178</v>
      </c>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7" width="10.625" style="1"/>
    <col min="8" max="8" width="13.625" style="1" customWidth="1"/>
    <col min="9" max="10" width="10.625" style="1"/>
    <col min="11" max="11" width="11.625" style="1" customWidth="1"/>
    <col min="12" max="13" width="10.625" style="1"/>
    <col min="14" max="14" width="12.375" style="1" customWidth="1"/>
    <col min="15" max="16384" width="10.625" style="1"/>
  </cols>
  <sheetData>
    <row r="1" spans="1:15" x14ac:dyDescent="0.15">
      <c r="A1" s="1" t="s">
        <v>28</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657000</v>
      </c>
      <c r="C7" s="3">
        <v>0</v>
      </c>
      <c r="D7" s="3">
        <v>0</v>
      </c>
      <c r="E7" s="3">
        <v>0</v>
      </c>
      <c r="F7" s="3">
        <v>0</v>
      </c>
      <c r="G7" s="3">
        <v>0</v>
      </c>
      <c r="H7" s="3">
        <v>0</v>
      </c>
      <c r="I7" s="3">
        <v>0</v>
      </c>
      <c r="J7" s="3">
        <v>0</v>
      </c>
      <c r="K7" s="3">
        <f t="shared" si="0"/>
        <v>657000</v>
      </c>
      <c r="L7" s="3">
        <f t="shared" si="0"/>
        <v>0</v>
      </c>
      <c r="M7" s="3">
        <f t="shared" si="0"/>
        <v>0</v>
      </c>
      <c r="N7" s="3">
        <f t="shared" si="1"/>
        <v>657000</v>
      </c>
      <c r="O7" s="1" t="s">
        <v>89</v>
      </c>
    </row>
    <row r="8" spans="1:15" x14ac:dyDescent="0.15">
      <c r="A8" s="1">
        <v>1976</v>
      </c>
      <c r="B8" s="3">
        <v>1168000</v>
      </c>
      <c r="C8" s="3">
        <v>0</v>
      </c>
      <c r="D8" s="3">
        <v>0</v>
      </c>
      <c r="E8" s="3">
        <v>0</v>
      </c>
      <c r="F8" s="3">
        <v>0</v>
      </c>
      <c r="G8" s="3">
        <v>0</v>
      </c>
      <c r="H8" s="3">
        <v>0</v>
      </c>
      <c r="I8" s="3">
        <v>0</v>
      </c>
      <c r="J8" s="3">
        <v>0</v>
      </c>
      <c r="K8" s="3">
        <f t="shared" si="0"/>
        <v>1168000</v>
      </c>
      <c r="L8" s="3">
        <f t="shared" si="0"/>
        <v>0</v>
      </c>
      <c r="M8" s="3">
        <f t="shared" si="0"/>
        <v>0</v>
      </c>
      <c r="N8" s="3">
        <f t="shared" si="1"/>
        <v>1168000</v>
      </c>
    </row>
    <row r="9" spans="1:15" x14ac:dyDescent="0.15">
      <c r="A9" s="1">
        <v>1977</v>
      </c>
      <c r="B9" s="3">
        <v>1781000</v>
      </c>
      <c r="C9" s="3">
        <v>0</v>
      </c>
      <c r="D9" s="3">
        <v>0</v>
      </c>
      <c r="E9" s="3">
        <v>0</v>
      </c>
      <c r="F9" s="3">
        <v>0</v>
      </c>
      <c r="G9" s="3">
        <v>0</v>
      </c>
      <c r="H9" s="3">
        <v>0</v>
      </c>
      <c r="I9" s="3">
        <v>0</v>
      </c>
      <c r="J9" s="3">
        <v>0</v>
      </c>
      <c r="K9" s="3">
        <f t="shared" si="0"/>
        <v>1781000</v>
      </c>
      <c r="L9" s="3">
        <f t="shared" si="0"/>
        <v>0</v>
      </c>
      <c r="M9" s="3">
        <f t="shared" si="0"/>
        <v>0</v>
      </c>
      <c r="N9" s="3">
        <f t="shared" si="1"/>
        <v>1781000</v>
      </c>
    </row>
    <row r="10" spans="1:15" x14ac:dyDescent="0.15">
      <c r="A10" s="1">
        <v>1978</v>
      </c>
      <c r="B10" s="3">
        <v>2807000</v>
      </c>
      <c r="C10" s="3">
        <v>0</v>
      </c>
      <c r="D10" s="3">
        <v>0</v>
      </c>
      <c r="E10" s="3">
        <v>0</v>
      </c>
      <c r="F10" s="3">
        <v>0</v>
      </c>
      <c r="G10" s="3">
        <v>0</v>
      </c>
      <c r="H10" s="3">
        <v>0</v>
      </c>
      <c r="I10" s="3">
        <v>0</v>
      </c>
      <c r="J10" s="3">
        <v>0</v>
      </c>
      <c r="K10" s="3">
        <f t="shared" si="0"/>
        <v>2807000</v>
      </c>
      <c r="L10" s="3">
        <f t="shared" si="0"/>
        <v>0</v>
      </c>
      <c r="M10" s="3">
        <f t="shared" si="0"/>
        <v>0</v>
      </c>
      <c r="N10" s="3">
        <f t="shared" si="1"/>
        <v>2807000</v>
      </c>
    </row>
    <row r="11" spans="1:15" x14ac:dyDescent="0.15">
      <c r="A11" s="1">
        <v>1979</v>
      </c>
      <c r="B11" s="3">
        <v>3175000</v>
      </c>
      <c r="C11" s="3">
        <v>0</v>
      </c>
      <c r="D11" s="3">
        <v>0</v>
      </c>
      <c r="E11" s="3">
        <v>0</v>
      </c>
      <c r="F11" s="3">
        <v>0</v>
      </c>
      <c r="G11" s="3">
        <v>0</v>
      </c>
      <c r="H11" s="3">
        <v>0</v>
      </c>
      <c r="I11" s="3">
        <v>0</v>
      </c>
      <c r="J11" s="3">
        <v>0</v>
      </c>
      <c r="K11" s="3">
        <f t="shared" si="0"/>
        <v>3175000</v>
      </c>
      <c r="L11" s="3">
        <f t="shared" si="0"/>
        <v>0</v>
      </c>
      <c r="M11" s="3">
        <f t="shared" si="0"/>
        <v>0</v>
      </c>
      <c r="N11" s="3">
        <f t="shared" si="1"/>
        <v>3175000</v>
      </c>
    </row>
    <row r="12" spans="1:15" x14ac:dyDescent="0.15">
      <c r="A12" s="1">
        <v>1980</v>
      </c>
      <c r="B12" s="3">
        <v>2641000</v>
      </c>
      <c r="C12" s="3">
        <v>0</v>
      </c>
      <c r="D12" s="3">
        <v>0</v>
      </c>
      <c r="E12" s="3">
        <v>0</v>
      </c>
      <c r="F12" s="3">
        <v>0</v>
      </c>
      <c r="G12" s="3">
        <v>0</v>
      </c>
      <c r="H12" s="3">
        <v>0</v>
      </c>
      <c r="I12" s="3">
        <v>0</v>
      </c>
      <c r="J12" s="3">
        <v>0</v>
      </c>
      <c r="K12" s="3">
        <f t="shared" si="0"/>
        <v>2641000</v>
      </c>
      <c r="L12" s="3">
        <f t="shared" si="0"/>
        <v>0</v>
      </c>
      <c r="M12" s="3">
        <f t="shared" si="0"/>
        <v>0</v>
      </c>
      <c r="N12" s="3">
        <f t="shared" si="1"/>
        <v>2641000</v>
      </c>
    </row>
    <row r="13" spans="1:15" x14ac:dyDescent="0.15">
      <c r="A13" s="1">
        <v>1981</v>
      </c>
      <c r="B13" s="3">
        <v>3569000</v>
      </c>
      <c r="C13" s="3">
        <v>0</v>
      </c>
      <c r="D13" s="3">
        <v>0</v>
      </c>
      <c r="E13" s="3">
        <v>0</v>
      </c>
      <c r="F13" s="3">
        <v>0</v>
      </c>
      <c r="G13" s="3">
        <v>0</v>
      </c>
      <c r="H13" s="3">
        <v>0</v>
      </c>
      <c r="I13" s="3">
        <v>0</v>
      </c>
      <c r="J13" s="3">
        <v>0</v>
      </c>
      <c r="K13" s="3">
        <f t="shared" si="0"/>
        <v>3569000</v>
      </c>
      <c r="L13" s="3">
        <f t="shared" si="0"/>
        <v>0</v>
      </c>
      <c r="M13" s="3">
        <f t="shared" si="0"/>
        <v>0</v>
      </c>
      <c r="N13" s="3">
        <f t="shared" si="1"/>
        <v>3569000</v>
      </c>
    </row>
    <row r="14" spans="1:15" x14ac:dyDescent="0.15">
      <c r="A14" s="1">
        <v>1982</v>
      </c>
      <c r="B14" s="3">
        <v>3493000</v>
      </c>
      <c r="C14" s="3">
        <v>0</v>
      </c>
      <c r="D14" s="3">
        <v>0</v>
      </c>
      <c r="E14" s="3">
        <v>0</v>
      </c>
      <c r="F14" s="3">
        <v>0</v>
      </c>
      <c r="G14" s="3">
        <v>0</v>
      </c>
      <c r="H14" s="3">
        <v>9039000</v>
      </c>
      <c r="I14" s="3">
        <v>0</v>
      </c>
      <c r="J14" s="3">
        <v>0</v>
      </c>
      <c r="K14" s="3">
        <f t="shared" si="0"/>
        <v>12532000</v>
      </c>
      <c r="L14" s="3">
        <f t="shared" si="0"/>
        <v>0</v>
      </c>
      <c r="M14" s="3">
        <f t="shared" si="0"/>
        <v>0</v>
      </c>
      <c r="N14" s="3">
        <f t="shared" si="1"/>
        <v>12532000</v>
      </c>
    </row>
    <row r="15" spans="1:15" x14ac:dyDescent="0.15">
      <c r="A15" s="1">
        <v>1983</v>
      </c>
      <c r="B15" s="3">
        <v>4645000</v>
      </c>
      <c r="C15" s="3">
        <v>0</v>
      </c>
      <c r="D15" s="3">
        <v>0</v>
      </c>
      <c r="E15" s="3">
        <v>0</v>
      </c>
      <c r="F15" s="3">
        <v>0</v>
      </c>
      <c r="G15" s="3">
        <v>0</v>
      </c>
      <c r="H15" s="3">
        <v>9039000</v>
      </c>
      <c r="I15" s="3">
        <v>0</v>
      </c>
      <c r="J15" s="3">
        <v>0</v>
      </c>
      <c r="K15" s="3">
        <f t="shared" si="0"/>
        <v>13684000</v>
      </c>
      <c r="L15" s="3">
        <f t="shared" si="0"/>
        <v>0</v>
      </c>
      <c r="M15" s="3">
        <f t="shared" si="0"/>
        <v>0</v>
      </c>
      <c r="N15" s="3">
        <f t="shared" si="1"/>
        <v>13684000</v>
      </c>
    </row>
    <row r="16" spans="1:15" x14ac:dyDescent="0.15">
      <c r="A16" s="1">
        <v>1984</v>
      </c>
      <c r="B16" s="3">
        <v>3741000</v>
      </c>
      <c r="C16" s="3">
        <v>0</v>
      </c>
      <c r="D16" s="3">
        <v>0</v>
      </c>
      <c r="E16" s="3">
        <v>0</v>
      </c>
      <c r="F16" s="3">
        <v>0</v>
      </c>
      <c r="G16" s="3">
        <v>0</v>
      </c>
      <c r="H16" s="3">
        <v>11283000</v>
      </c>
      <c r="I16" s="3">
        <v>500000</v>
      </c>
      <c r="J16" s="3">
        <v>0</v>
      </c>
      <c r="K16" s="3">
        <f t="shared" si="0"/>
        <v>15024000</v>
      </c>
      <c r="L16" s="3">
        <f t="shared" si="0"/>
        <v>500000</v>
      </c>
      <c r="M16" s="3">
        <f t="shared" si="0"/>
        <v>0</v>
      </c>
      <c r="N16" s="3">
        <f t="shared" si="1"/>
        <v>15524000</v>
      </c>
    </row>
    <row r="17" spans="1:15" x14ac:dyDescent="0.15">
      <c r="A17" s="1">
        <v>1985</v>
      </c>
      <c r="B17" s="3">
        <v>4216000</v>
      </c>
      <c r="C17" s="3">
        <v>0</v>
      </c>
      <c r="D17" s="3">
        <v>0</v>
      </c>
      <c r="E17" s="3">
        <v>0</v>
      </c>
      <c r="F17" s="3">
        <v>0</v>
      </c>
      <c r="G17" s="3">
        <v>0</v>
      </c>
      <c r="H17" s="3">
        <v>10724000</v>
      </c>
      <c r="I17" s="3">
        <v>500000</v>
      </c>
      <c r="J17" s="3">
        <v>0</v>
      </c>
      <c r="K17" s="3">
        <f t="shared" si="0"/>
        <v>14940000</v>
      </c>
      <c r="L17" s="3">
        <f t="shared" si="0"/>
        <v>500000</v>
      </c>
      <c r="M17" s="3">
        <f t="shared" si="0"/>
        <v>0</v>
      </c>
      <c r="N17" s="3">
        <f t="shared" si="1"/>
        <v>15440000</v>
      </c>
    </row>
    <row r="18" spans="1:15" x14ac:dyDescent="0.15">
      <c r="A18" s="1">
        <v>1986</v>
      </c>
      <c r="B18" s="3">
        <v>4443000</v>
      </c>
      <c r="C18" s="3">
        <v>0</v>
      </c>
      <c r="D18" s="3">
        <v>0</v>
      </c>
      <c r="E18" s="3">
        <v>0</v>
      </c>
      <c r="F18" s="3">
        <v>0</v>
      </c>
      <c r="G18" s="3">
        <v>0</v>
      </c>
      <c r="H18" s="3">
        <v>11361000</v>
      </c>
      <c r="I18" s="3">
        <v>600000</v>
      </c>
      <c r="J18" s="3">
        <v>0</v>
      </c>
      <c r="K18" s="3">
        <f t="shared" si="0"/>
        <v>15804000</v>
      </c>
      <c r="L18" s="3">
        <f t="shared" si="0"/>
        <v>600000</v>
      </c>
      <c r="M18" s="3">
        <f t="shared" si="0"/>
        <v>0</v>
      </c>
      <c r="N18" s="3">
        <f t="shared" si="1"/>
        <v>16404000</v>
      </c>
    </row>
    <row r="19" spans="1:15" x14ac:dyDescent="0.15">
      <c r="A19" s="1">
        <v>1987</v>
      </c>
      <c r="B19" s="3">
        <v>4734000</v>
      </c>
      <c r="C19" s="3">
        <v>0</v>
      </c>
      <c r="D19" s="3">
        <v>0</v>
      </c>
      <c r="E19" s="3">
        <v>0</v>
      </c>
      <c r="F19" s="3">
        <v>0</v>
      </c>
      <c r="G19" s="3">
        <v>0</v>
      </c>
      <c r="H19" s="3">
        <v>12049000</v>
      </c>
      <c r="I19" s="3">
        <v>0</v>
      </c>
      <c r="J19" s="3">
        <v>0</v>
      </c>
      <c r="K19" s="3">
        <f t="shared" si="0"/>
        <v>16783000</v>
      </c>
      <c r="L19" s="3">
        <f t="shared" si="0"/>
        <v>0</v>
      </c>
      <c r="M19" s="3">
        <f t="shared" si="0"/>
        <v>0</v>
      </c>
      <c r="N19" s="3">
        <f t="shared" si="1"/>
        <v>16783000</v>
      </c>
    </row>
    <row r="20" spans="1:15" x14ac:dyDescent="0.15">
      <c r="A20" s="1">
        <v>1988</v>
      </c>
      <c r="B20" s="3">
        <v>4934000</v>
      </c>
      <c r="C20" s="3">
        <v>0</v>
      </c>
      <c r="D20" s="3">
        <v>0</v>
      </c>
      <c r="E20" s="3">
        <v>0</v>
      </c>
      <c r="F20" s="3">
        <v>0</v>
      </c>
      <c r="G20" s="3">
        <v>0</v>
      </c>
      <c r="H20" s="3">
        <v>13363000</v>
      </c>
      <c r="I20" s="3">
        <v>0</v>
      </c>
      <c r="J20" s="3">
        <v>0</v>
      </c>
      <c r="K20" s="3">
        <f t="shared" si="0"/>
        <v>18297000</v>
      </c>
      <c r="L20" s="3">
        <f t="shared" si="0"/>
        <v>0</v>
      </c>
      <c r="M20" s="3">
        <f t="shared" si="0"/>
        <v>0</v>
      </c>
      <c r="N20" s="3">
        <f t="shared" si="1"/>
        <v>18297000</v>
      </c>
    </row>
    <row r="21" spans="1:15" x14ac:dyDescent="0.15">
      <c r="A21" s="1">
        <v>1989</v>
      </c>
      <c r="B21" s="3">
        <v>5020000</v>
      </c>
      <c r="C21" s="3">
        <v>0</v>
      </c>
      <c r="D21" s="3">
        <v>0</v>
      </c>
      <c r="E21" s="3">
        <v>0</v>
      </c>
      <c r="F21" s="3">
        <v>0</v>
      </c>
      <c r="G21" s="3">
        <v>0</v>
      </c>
      <c r="H21" s="3">
        <v>14200000</v>
      </c>
      <c r="I21" s="3">
        <v>0</v>
      </c>
      <c r="J21" s="3">
        <v>0</v>
      </c>
      <c r="K21" s="3">
        <f t="shared" si="0"/>
        <v>19220000</v>
      </c>
      <c r="L21" s="3">
        <f t="shared" si="0"/>
        <v>0</v>
      </c>
      <c r="M21" s="3">
        <f t="shared" si="0"/>
        <v>0</v>
      </c>
      <c r="N21" s="3">
        <f t="shared" si="1"/>
        <v>19220000</v>
      </c>
    </row>
    <row r="22" spans="1:15" x14ac:dyDescent="0.15">
      <c r="A22" s="1">
        <v>1990</v>
      </c>
      <c r="B22" s="3">
        <v>5005000</v>
      </c>
      <c r="C22" s="3">
        <v>0</v>
      </c>
      <c r="D22" s="3">
        <v>0</v>
      </c>
      <c r="E22" s="3">
        <v>0</v>
      </c>
      <c r="F22" s="3">
        <v>0</v>
      </c>
      <c r="G22" s="3">
        <v>0</v>
      </c>
      <c r="H22" s="3">
        <v>15810000</v>
      </c>
      <c r="I22" s="3">
        <v>0</v>
      </c>
      <c r="J22" s="3">
        <v>0</v>
      </c>
      <c r="K22" s="3">
        <f t="shared" ref="K22:M35" si="2">+B22+E22+H22</f>
        <v>20815000</v>
      </c>
      <c r="L22" s="3">
        <f t="shared" si="2"/>
        <v>0</v>
      </c>
      <c r="M22" s="3">
        <f t="shared" si="2"/>
        <v>0</v>
      </c>
      <c r="N22" s="3">
        <f t="shared" si="1"/>
        <v>20815000</v>
      </c>
    </row>
    <row r="23" spans="1:15" x14ac:dyDescent="0.15">
      <c r="A23" s="1">
        <v>1991</v>
      </c>
      <c r="B23" s="3">
        <v>5174000</v>
      </c>
      <c r="C23" s="3">
        <v>0</v>
      </c>
      <c r="D23" s="3">
        <v>0</v>
      </c>
      <c r="E23" s="3">
        <v>0</v>
      </c>
      <c r="F23" s="3">
        <v>0</v>
      </c>
      <c r="G23" s="3">
        <v>0</v>
      </c>
      <c r="H23" s="3">
        <v>16316000</v>
      </c>
      <c r="I23" s="3">
        <v>0</v>
      </c>
      <c r="J23" s="3">
        <v>0</v>
      </c>
      <c r="K23" s="3">
        <f t="shared" si="2"/>
        <v>21490000</v>
      </c>
      <c r="L23" s="3">
        <f t="shared" si="2"/>
        <v>0</v>
      </c>
      <c r="M23" s="3">
        <f t="shared" si="2"/>
        <v>0</v>
      </c>
      <c r="N23" s="3">
        <f t="shared" si="1"/>
        <v>21490000</v>
      </c>
    </row>
    <row r="24" spans="1:15" x14ac:dyDescent="0.15">
      <c r="A24" s="1">
        <v>1992</v>
      </c>
      <c r="B24" s="3">
        <v>4804000</v>
      </c>
      <c r="C24" s="3">
        <v>0</v>
      </c>
      <c r="D24" s="3">
        <v>0</v>
      </c>
      <c r="E24" s="3">
        <v>0</v>
      </c>
      <c r="F24" s="3">
        <v>0</v>
      </c>
      <c r="G24" s="3">
        <v>0</v>
      </c>
      <c r="H24" s="3">
        <v>15581000</v>
      </c>
      <c r="I24" s="3">
        <v>0</v>
      </c>
      <c r="J24" s="3">
        <v>0</v>
      </c>
      <c r="K24" s="3">
        <f t="shared" si="2"/>
        <v>20385000</v>
      </c>
      <c r="L24" s="3">
        <f t="shared" si="2"/>
        <v>0</v>
      </c>
      <c r="M24" s="3">
        <f t="shared" si="2"/>
        <v>0</v>
      </c>
      <c r="N24" s="3">
        <f t="shared" si="1"/>
        <v>20385000</v>
      </c>
    </row>
    <row r="25" spans="1:15" x14ac:dyDescent="0.15">
      <c r="A25" s="1">
        <v>1993</v>
      </c>
      <c r="B25" s="3">
        <v>4951000</v>
      </c>
      <c r="C25" s="3">
        <v>0</v>
      </c>
      <c r="D25" s="3">
        <v>0</v>
      </c>
      <c r="E25" s="3">
        <v>0</v>
      </c>
      <c r="F25" s="3">
        <v>0</v>
      </c>
      <c r="G25" s="3">
        <v>0</v>
      </c>
      <c r="H25" s="3">
        <v>19426000</v>
      </c>
      <c r="I25" s="3">
        <v>0</v>
      </c>
      <c r="J25" s="3">
        <v>0</v>
      </c>
      <c r="K25" s="3">
        <f t="shared" si="2"/>
        <v>24377000</v>
      </c>
      <c r="L25" s="3">
        <f t="shared" si="2"/>
        <v>0</v>
      </c>
      <c r="M25" s="3">
        <f t="shared" si="2"/>
        <v>0</v>
      </c>
      <c r="N25" s="3">
        <f t="shared" si="1"/>
        <v>24377000</v>
      </c>
    </row>
    <row r="26" spans="1:15" x14ac:dyDescent="0.15">
      <c r="A26" s="1">
        <v>1994</v>
      </c>
      <c r="B26" s="3">
        <v>5330000</v>
      </c>
      <c r="C26" s="3">
        <v>0</v>
      </c>
      <c r="D26" s="3">
        <v>0</v>
      </c>
      <c r="E26" s="3">
        <v>21523000</v>
      </c>
      <c r="F26" s="3">
        <v>0</v>
      </c>
      <c r="G26" s="3">
        <v>0</v>
      </c>
      <c r="H26" s="3">
        <v>32142000</v>
      </c>
      <c r="I26" s="3">
        <v>0</v>
      </c>
      <c r="J26" s="3">
        <v>0</v>
      </c>
      <c r="K26" s="3">
        <f t="shared" si="2"/>
        <v>58995000</v>
      </c>
      <c r="L26" s="3">
        <f t="shared" si="2"/>
        <v>0</v>
      </c>
      <c r="M26" s="3">
        <f t="shared" si="2"/>
        <v>0</v>
      </c>
      <c r="N26" s="3">
        <f t="shared" si="1"/>
        <v>58995000</v>
      </c>
      <c r="O26" s="1" t="s">
        <v>191</v>
      </c>
    </row>
    <row r="27" spans="1:15" x14ac:dyDescent="0.15">
      <c r="A27" s="1">
        <v>1995</v>
      </c>
      <c r="B27" s="3">
        <v>5147018</v>
      </c>
      <c r="C27" s="3">
        <v>0</v>
      </c>
      <c r="D27" s="3">
        <v>0</v>
      </c>
      <c r="E27" s="3">
        <v>0</v>
      </c>
      <c r="F27" s="3">
        <v>0</v>
      </c>
      <c r="G27" s="3">
        <v>0</v>
      </c>
      <c r="H27" s="3">
        <v>111410000</v>
      </c>
      <c r="I27" s="3">
        <v>0</v>
      </c>
      <c r="J27" s="3">
        <v>0</v>
      </c>
      <c r="K27" s="3">
        <f t="shared" si="2"/>
        <v>116557018</v>
      </c>
      <c r="L27" s="3">
        <f t="shared" si="2"/>
        <v>0</v>
      </c>
      <c r="M27" s="3">
        <f t="shared" si="2"/>
        <v>0</v>
      </c>
      <c r="N27" s="3">
        <f t="shared" si="1"/>
        <v>116557018</v>
      </c>
      <c r="O27" s="1" t="s">
        <v>198</v>
      </c>
    </row>
    <row r="28" spans="1:15" x14ac:dyDescent="0.15">
      <c r="A28" s="1">
        <v>1996</v>
      </c>
      <c r="B28" s="3">
        <v>4757412</v>
      </c>
      <c r="C28" s="3">
        <v>0</v>
      </c>
      <c r="D28" s="3">
        <v>0</v>
      </c>
      <c r="E28" s="3">
        <v>0</v>
      </c>
      <c r="F28" s="3">
        <v>0</v>
      </c>
      <c r="G28" s="3">
        <v>0</v>
      </c>
      <c r="H28" s="3">
        <v>160463000</v>
      </c>
      <c r="I28" s="3">
        <v>0</v>
      </c>
      <c r="J28" s="3">
        <v>0</v>
      </c>
      <c r="K28" s="3">
        <f t="shared" si="2"/>
        <v>165220412</v>
      </c>
      <c r="L28" s="3">
        <f t="shared" si="2"/>
        <v>0</v>
      </c>
      <c r="M28" s="3">
        <f t="shared" si="2"/>
        <v>0</v>
      </c>
      <c r="N28" s="3">
        <f t="shared" si="1"/>
        <v>165220412</v>
      </c>
    </row>
    <row r="29" spans="1:15" x14ac:dyDescent="0.15">
      <c r="A29" s="1">
        <v>1997</v>
      </c>
      <c r="B29" s="3">
        <v>2165362</v>
      </c>
      <c r="C29" s="3">
        <v>0</v>
      </c>
      <c r="D29" s="3">
        <v>0</v>
      </c>
      <c r="E29" s="3">
        <v>0</v>
      </c>
      <c r="F29" s="3">
        <v>0</v>
      </c>
      <c r="G29" s="3">
        <v>0</v>
      </c>
      <c r="H29" s="3">
        <v>183702000</v>
      </c>
      <c r="I29" s="3">
        <v>0</v>
      </c>
      <c r="J29" s="3">
        <v>0</v>
      </c>
      <c r="K29" s="3">
        <f t="shared" si="2"/>
        <v>185867362</v>
      </c>
      <c r="L29" s="3">
        <f t="shared" si="2"/>
        <v>0</v>
      </c>
      <c r="M29" s="3">
        <f t="shared" si="2"/>
        <v>0</v>
      </c>
      <c r="N29" s="3">
        <f t="shared" si="1"/>
        <v>185867362</v>
      </c>
    </row>
    <row r="30" spans="1:15" x14ac:dyDescent="0.15">
      <c r="A30" s="1">
        <v>1998</v>
      </c>
      <c r="B30" s="3">
        <f>812945+242828</f>
        <v>1055773</v>
      </c>
      <c r="C30" s="3">
        <v>0</v>
      </c>
      <c r="D30" s="3">
        <v>0</v>
      </c>
      <c r="E30" s="3">
        <v>0</v>
      </c>
      <c r="F30" s="3">
        <v>0</v>
      </c>
      <c r="G30" s="3">
        <v>0</v>
      </c>
      <c r="H30" s="3">
        <v>208145000</v>
      </c>
      <c r="I30" s="3">
        <v>0</v>
      </c>
      <c r="J30" s="3">
        <v>0</v>
      </c>
      <c r="K30" s="3">
        <f t="shared" si="2"/>
        <v>209200773</v>
      </c>
      <c r="L30" s="3">
        <f t="shared" si="2"/>
        <v>0</v>
      </c>
      <c r="M30" s="3">
        <f t="shared" si="2"/>
        <v>0</v>
      </c>
      <c r="N30" s="3">
        <f t="shared" si="1"/>
        <v>209200773</v>
      </c>
    </row>
    <row r="31" spans="1:15" x14ac:dyDescent="0.15">
      <c r="A31" s="1">
        <v>1999</v>
      </c>
      <c r="B31" s="3">
        <v>471789</v>
      </c>
      <c r="C31" s="3">
        <v>0</v>
      </c>
      <c r="D31" s="3">
        <v>0</v>
      </c>
      <c r="E31" s="3">
        <v>0</v>
      </c>
      <c r="F31" s="3">
        <v>0</v>
      </c>
      <c r="G31" s="3">
        <v>0</v>
      </c>
      <c r="H31" s="3">
        <v>220878000</v>
      </c>
      <c r="I31" s="3">
        <v>0</v>
      </c>
      <c r="J31" s="3">
        <v>0</v>
      </c>
      <c r="K31" s="3">
        <f t="shared" si="2"/>
        <v>221349789</v>
      </c>
      <c r="L31" s="3">
        <f t="shared" si="2"/>
        <v>0</v>
      </c>
      <c r="M31" s="3">
        <f t="shared" si="2"/>
        <v>0</v>
      </c>
      <c r="N31" s="3">
        <f t="shared" si="1"/>
        <v>221349789</v>
      </c>
    </row>
    <row r="32" spans="1:15" x14ac:dyDescent="0.15">
      <c r="A32" s="1">
        <v>2000</v>
      </c>
      <c r="B32" s="3">
        <v>0</v>
      </c>
      <c r="C32" s="3">
        <v>0</v>
      </c>
      <c r="D32" s="3">
        <v>0</v>
      </c>
      <c r="E32" s="3">
        <v>0</v>
      </c>
      <c r="F32" s="3">
        <v>0</v>
      </c>
      <c r="G32" s="3">
        <v>0</v>
      </c>
      <c r="H32" s="3">
        <v>240458000</v>
      </c>
      <c r="I32" s="3">
        <v>0</v>
      </c>
      <c r="J32" s="3">
        <v>0</v>
      </c>
      <c r="K32" s="3">
        <f t="shared" si="2"/>
        <v>240458000</v>
      </c>
      <c r="L32" s="3">
        <f t="shared" si="2"/>
        <v>0</v>
      </c>
      <c r="M32" s="3">
        <f t="shared" si="2"/>
        <v>0</v>
      </c>
      <c r="N32" s="3">
        <f t="shared" si="1"/>
        <v>240458000</v>
      </c>
    </row>
    <row r="33" spans="1:15" x14ac:dyDescent="0.15">
      <c r="A33" s="1">
        <v>2001</v>
      </c>
      <c r="B33" s="3">
        <v>0</v>
      </c>
      <c r="C33" s="3">
        <v>0</v>
      </c>
      <c r="D33" s="3">
        <v>0</v>
      </c>
      <c r="E33" s="3">
        <v>0</v>
      </c>
      <c r="F33" s="3">
        <v>0</v>
      </c>
      <c r="G33" s="3">
        <v>0</v>
      </c>
      <c r="H33" s="3">
        <v>310995000</v>
      </c>
      <c r="I33" s="3">
        <v>0</v>
      </c>
      <c r="J33" s="3">
        <v>0</v>
      </c>
      <c r="K33" s="3">
        <f t="shared" si="2"/>
        <v>310995000</v>
      </c>
      <c r="L33" s="3">
        <f t="shared" si="2"/>
        <v>0</v>
      </c>
      <c r="M33" s="3">
        <f t="shared" si="2"/>
        <v>0</v>
      </c>
      <c r="N33" s="3">
        <f t="shared" si="1"/>
        <v>310995000</v>
      </c>
    </row>
    <row r="34" spans="1:15" x14ac:dyDescent="0.15">
      <c r="A34" s="1">
        <v>2002</v>
      </c>
      <c r="B34" s="3">
        <v>1539595</v>
      </c>
      <c r="C34" s="3">
        <v>0</v>
      </c>
      <c r="D34" s="3">
        <v>0</v>
      </c>
      <c r="E34" s="3">
        <v>0</v>
      </c>
      <c r="F34" s="3">
        <v>0</v>
      </c>
      <c r="G34" s="3">
        <v>0</v>
      </c>
      <c r="H34" s="3">
        <v>360661000</v>
      </c>
      <c r="I34" s="3">
        <v>0</v>
      </c>
      <c r="J34" s="3">
        <v>0</v>
      </c>
      <c r="K34" s="3">
        <f t="shared" si="2"/>
        <v>362200595</v>
      </c>
      <c r="L34" s="3">
        <f t="shared" si="2"/>
        <v>0</v>
      </c>
      <c r="M34" s="3">
        <f t="shared" si="2"/>
        <v>0</v>
      </c>
      <c r="N34" s="3">
        <f t="shared" si="1"/>
        <v>362200595</v>
      </c>
    </row>
    <row r="35" spans="1:15" x14ac:dyDescent="0.15">
      <c r="A35" s="1">
        <v>2003</v>
      </c>
      <c r="B35" s="3">
        <v>1501486</v>
      </c>
      <c r="C35" s="3">
        <v>0</v>
      </c>
      <c r="D35" s="3">
        <v>0</v>
      </c>
      <c r="E35" s="3">
        <v>0</v>
      </c>
      <c r="F35" s="3">
        <v>0</v>
      </c>
      <c r="G35" s="3">
        <v>0</v>
      </c>
      <c r="H35" s="3">
        <v>395775372</v>
      </c>
      <c r="I35" s="3">
        <v>0</v>
      </c>
      <c r="J35" s="3">
        <v>0</v>
      </c>
      <c r="K35" s="3">
        <f t="shared" si="2"/>
        <v>397276858</v>
      </c>
      <c r="L35" s="3">
        <f t="shared" si="2"/>
        <v>0</v>
      </c>
      <c r="M35" s="3">
        <f t="shared" si="2"/>
        <v>0</v>
      </c>
      <c r="N35" s="3">
        <f t="shared" si="1"/>
        <v>397276858</v>
      </c>
    </row>
    <row r="36" spans="1:15" ht="12.75" x14ac:dyDescent="0.2">
      <c r="A36" s="1">
        <v>2004</v>
      </c>
      <c r="B36" s="3">
        <v>1459861</v>
      </c>
      <c r="C36" s="3">
        <v>0</v>
      </c>
      <c r="D36" s="3">
        <v>0</v>
      </c>
      <c r="E36" s="3">
        <v>0</v>
      </c>
      <c r="F36" s="3">
        <v>0</v>
      </c>
      <c r="G36" s="3">
        <v>0</v>
      </c>
      <c r="H36" s="3">
        <v>430491061</v>
      </c>
      <c r="I36" s="3">
        <v>0</v>
      </c>
      <c r="J36" s="3">
        <v>0</v>
      </c>
      <c r="K36" s="3">
        <v>431950922</v>
      </c>
      <c r="L36" s="3">
        <v>0</v>
      </c>
      <c r="M36" s="3">
        <v>0</v>
      </c>
      <c r="N36" s="3">
        <v>431950922</v>
      </c>
      <c r="O36" s="12"/>
    </row>
    <row r="37" spans="1:15" ht="12.75" x14ac:dyDescent="0.2">
      <c r="A37" s="1">
        <v>2005</v>
      </c>
      <c r="B37" s="3">
        <v>1516243</v>
      </c>
      <c r="C37" s="3">
        <v>0</v>
      </c>
      <c r="D37" s="3">
        <v>0</v>
      </c>
      <c r="E37" s="3">
        <v>0</v>
      </c>
      <c r="F37" s="3">
        <v>0</v>
      </c>
      <c r="G37" s="3">
        <v>0</v>
      </c>
      <c r="H37" s="3">
        <v>457526800</v>
      </c>
      <c r="I37" s="3">
        <v>0</v>
      </c>
      <c r="J37" s="3">
        <v>0</v>
      </c>
      <c r="K37" s="3">
        <v>459043043</v>
      </c>
      <c r="L37" s="3">
        <v>0</v>
      </c>
      <c r="M37" s="3">
        <v>0</v>
      </c>
      <c r="N37" s="3">
        <v>459043043</v>
      </c>
      <c r="O37" s="12"/>
    </row>
    <row r="38" spans="1:15" ht="12.75" x14ac:dyDescent="0.2">
      <c r="A38" s="1">
        <v>2006</v>
      </c>
      <c r="B38" s="3">
        <v>1400694</v>
      </c>
      <c r="C38" s="3">
        <v>0</v>
      </c>
      <c r="D38" s="3">
        <v>0</v>
      </c>
      <c r="E38" s="3">
        <v>0</v>
      </c>
      <c r="F38" s="3">
        <v>0</v>
      </c>
      <c r="G38" s="3">
        <v>0</v>
      </c>
      <c r="H38" s="3">
        <v>460214372</v>
      </c>
      <c r="I38" s="3">
        <v>0</v>
      </c>
      <c r="J38" s="3">
        <v>3798976</v>
      </c>
      <c r="K38" s="3">
        <v>461615066</v>
      </c>
      <c r="L38" s="3">
        <v>0</v>
      </c>
      <c r="M38" s="3">
        <v>3798976</v>
      </c>
      <c r="N38" s="3">
        <v>465414042</v>
      </c>
      <c r="O38" s="12"/>
    </row>
    <row r="39" spans="1:15" ht="12.75" x14ac:dyDescent="0.2">
      <c r="A39" s="1">
        <v>2007</v>
      </c>
      <c r="B39" s="3">
        <v>1313063</v>
      </c>
      <c r="C39" s="3">
        <v>0</v>
      </c>
      <c r="D39" s="3">
        <v>0</v>
      </c>
      <c r="E39" s="3">
        <v>0</v>
      </c>
      <c r="F39" s="3">
        <v>0</v>
      </c>
      <c r="G39" s="3">
        <v>0</v>
      </c>
      <c r="H39" s="3">
        <v>478664011</v>
      </c>
      <c r="I39" s="3">
        <v>0</v>
      </c>
      <c r="J39" s="3">
        <v>5996567</v>
      </c>
      <c r="K39" s="3">
        <v>479977074</v>
      </c>
      <c r="L39" s="3">
        <v>0</v>
      </c>
      <c r="M39" s="3">
        <v>5996567</v>
      </c>
      <c r="N39" s="3">
        <v>485973641</v>
      </c>
      <c r="O39" s="12"/>
    </row>
    <row r="40" spans="1:15" ht="12.75" x14ac:dyDescent="0.2">
      <c r="A40" s="1">
        <v>2008</v>
      </c>
      <c r="B40" s="3">
        <v>1488891</v>
      </c>
      <c r="C40" s="3">
        <v>0</v>
      </c>
      <c r="D40" s="3">
        <v>0</v>
      </c>
      <c r="E40" s="3">
        <v>0</v>
      </c>
      <c r="F40" s="3">
        <v>0</v>
      </c>
      <c r="G40" s="3">
        <v>0</v>
      </c>
      <c r="H40" s="3">
        <v>496177657</v>
      </c>
      <c r="I40" s="3">
        <v>0</v>
      </c>
      <c r="J40" s="3">
        <v>0</v>
      </c>
      <c r="K40" s="3">
        <v>497666548</v>
      </c>
      <c r="L40" s="3">
        <v>0</v>
      </c>
      <c r="M40" s="3">
        <v>0</v>
      </c>
      <c r="N40" s="3">
        <v>497666548</v>
      </c>
      <c r="O40" s="12"/>
    </row>
    <row r="41" spans="1:15" ht="12.75" x14ac:dyDescent="0.2">
      <c r="A41" s="1">
        <v>2009</v>
      </c>
      <c r="B41" s="3">
        <v>1365668</v>
      </c>
      <c r="C41" s="3">
        <v>0</v>
      </c>
      <c r="D41" s="3">
        <v>0</v>
      </c>
      <c r="E41" s="3">
        <v>0</v>
      </c>
      <c r="F41" s="3">
        <v>0</v>
      </c>
      <c r="G41" s="3">
        <v>0</v>
      </c>
      <c r="H41" s="3">
        <v>565224579</v>
      </c>
      <c r="I41" s="3">
        <v>0</v>
      </c>
      <c r="J41" s="3">
        <v>0</v>
      </c>
      <c r="K41" s="3">
        <v>566590247</v>
      </c>
      <c r="L41" s="3">
        <v>0</v>
      </c>
      <c r="M41" s="3">
        <v>0</v>
      </c>
      <c r="N41" s="3">
        <v>566590247</v>
      </c>
      <c r="O41" s="12"/>
    </row>
    <row r="42" spans="1:15" ht="12.75" x14ac:dyDescent="0.2">
      <c r="A42" s="1">
        <v>2010</v>
      </c>
      <c r="B42" s="3">
        <v>1295452</v>
      </c>
      <c r="C42" s="3">
        <v>0</v>
      </c>
      <c r="D42" s="3">
        <v>0</v>
      </c>
      <c r="E42" s="3">
        <v>0</v>
      </c>
      <c r="F42" s="3">
        <v>0</v>
      </c>
      <c r="G42" s="3">
        <v>0</v>
      </c>
      <c r="H42" s="3">
        <v>671641813</v>
      </c>
      <c r="I42" s="3">
        <v>0</v>
      </c>
      <c r="J42" s="3">
        <v>0</v>
      </c>
      <c r="K42" s="3">
        <v>672937265</v>
      </c>
      <c r="L42" s="3">
        <v>0</v>
      </c>
      <c r="M42" s="3">
        <v>0</v>
      </c>
      <c r="N42" s="3">
        <v>672937265</v>
      </c>
      <c r="O42" s="12"/>
    </row>
    <row r="43" spans="1:15" ht="12.75" x14ac:dyDescent="0.2">
      <c r="A43" s="1">
        <v>2011</v>
      </c>
      <c r="B43" s="3">
        <v>1465321</v>
      </c>
      <c r="C43" s="3">
        <v>0</v>
      </c>
      <c r="D43" s="3">
        <v>0</v>
      </c>
      <c r="E43" s="3">
        <v>0</v>
      </c>
      <c r="F43" s="3">
        <v>0</v>
      </c>
      <c r="G43" s="3">
        <v>0</v>
      </c>
      <c r="H43" s="3">
        <v>766983199</v>
      </c>
      <c r="I43" s="3">
        <v>0</v>
      </c>
      <c r="J43" s="3">
        <v>0</v>
      </c>
      <c r="K43" s="3">
        <v>768448520</v>
      </c>
      <c r="L43" s="3">
        <v>0</v>
      </c>
      <c r="M43" s="3">
        <v>0</v>
      </c>
      <c r="N43" s="3">
        <v>768448520</v>
      </c>
      <c r="O43" s="12" t="s">
        <v>266</v>
      </c>
    </row>
    <row r="44" spans="1:15" ht="12.75" x14ac:dyDescent="0.2">
      <c r="A44" s="1">
        <v>2012</v>
      </c>
      <c r="B44" s="3">
        <v>0</v>
      </c>
      <c r="C44" s="3">
        <v>0</v>
      </c>
      <c r="D44" s="3">
        <v>0</v>
      </c>
      <c r="E44" s="3">
        <v>0</v>
      </c>
      <c r="F44" s="3">
        <v>0</v>
      </c>
      <c r="G44" s="3">
        <v>0</v>
      </c>
      <c r="H44" s="3">
        <v>561020302</v>
      </c>
      <c r="I44" s="3">
        <v>0</v>
      </c>
      <c r="J44" s="3">
        <v>0</v>
      </c>
      <c r="K44" s="3">
        <v>561020302</v>
      </c>
      <c r="L44" s="3">
        <v>0</v>
      </c>
      <c r="M44" s="3">
        <v>0</v>
      </c>
      <c r="N44" s="3">
        <v>561020302</v>
      </c>
      <c r="O44" s="12"/>
    </row>
    <row r="45" spans="1:15" ht="12.75" x14ac:dyDescent="0.2">
      <c r="A45" s="1">
        <v>2013</v>
      </c>
      <c r="B45" s="3">
        <v>0</v>
      </c>
      <c r="C45" s="3">
        <v>0</v>
      </c>
      <c r="D45" s="3">
        <v>0</v>
      </c>
      <c r="E45" s="3">
        <v>0</v>
      </c>
      <c r="F45" s="3">
        <v>0</v>
      </c>
      <c r="G45" s="3">
        <v>0</v>
      </c>
      <c r="H45" s="3">
        <v>535991645</v>
      </c>
      <c r="I45" s="3">
        <v>0</v>
      </c>
      <c r="J45" s="3">
        <v>0</v>
      </c>
      <c r="K45" s="3">
        <v>535991645</v>
      </c>
      <c r="L45" s="3">
        <v>0</v>
      </c>
      <c r="M45" s="3">
        <v>0</v>
      </c>
      <c r="N45" s="3">
        <v>535991645</v>
      </c>
      <c r="O45" s="12"/>
    </row>
    <row r="46" spans="1:15" ht="12.75" x14ac:dyDescent="0.2">
      <c r="A46" s="1">
        <v>2014</v>
      </c>
      <c r="B46" s="3">
        <v>0</v>
      </c>
      <c r="C46" s="3">
        <v>0</v>
      </c>
      <c r="D46" s="3">
        <v>0</v>
      </c>
      <c r="E46" s="3">
        <v>0</v>
      </c>
      <c r="F46" s="3">
        <v>0</v>
      </c>
      <c r="G46" s="3">
        <v>0</v>
      </c>
      <c r="H46" s="3">
        <v>569924225</v>
      </c>
      <c r="I46" s="3">
        <v>0</v>
      </c>
      <c r="J46" s="3">
        <v>0</v>
      </c>
      <c r="K46" s="3">
        <v>569924225</v>
      </c>
      <c r="L46" s="3">
        <v>0</v>
      </c>
      <c r="M46" s="3">
        <v>0</v>
      </c>
      <c r="N46" s="3">
        <v>569924225</v>
      </c>
      <c r="O46" s="12"/>
    </row>
    <row r="47" spans="1:15" ht="12.75" x14ac:dyDescent="0.2">
      <c r="A47" s="1">
        <v>2015</v>
      </c>
      <c r="B47" s="3">
        <v>0</v>
      </c>
      <c r="C47" s="3">
        <v>0</v>
      </c>
      <c r="D47" s="3">
        <v>0</v>
      </c>
      <c r="E47" s="3">
        <v>0</v>
      </c>
      <c r="F47" s="3">
        <v>0</v>
      </c>
      <c r="G47" s="3">
        <v>0</v>
      </c>
      <c r="H47" s="3">
        <v>616093956</v>
      </c>
      <c r="I47" s="3">
        <v>0</v>
      </c>
      <c r="J47" s="3">
        <v>0</v>
      </c>
      <c r="K47" s="3">
        <v>616093956</v>
      </c>
      <c r="L47" s="3">
        <v>0</v>
      </c>
      <c r="M47" s="3">
        <v>0</v>
      </c>
      <c r="N47" s="3">
        <v>616093956</v>
      </c>
      <c r="O47" s="12"/>
    </row>
    <row r="48" spans="1:15" ht="12.75" x14ac:dyDescent="0.2">
      <c r="A48" s="1">
        <v>2016</v>
      </c>
      <c r="B48" s="3">
        <v>0</v>
      </c>
      <c r="C48" s="3">
        <v>0</v>
      </c>
      <c r="D48" s="3">
        <v>0</v>
      </c>
      <c r="E48" s="3">
        <v>0</v>
      </c>
      <c r="F48" s="3">
        <v>0</v>
      </c>
      <c r="G48" s="3">
        <v>0</v>
      </c>
      <c r="H48" s="3">
        <v>688309941</v>
      </c>
      <c r="I48" s="3">
        <v>0</v>
      </c>
      <c r="J48" s="3">
        <v>0</v>
      </c>
      <c r="K48" s="3">
        <v>688309941</v>
      </c>
      <c r="L48" s="3">
        <v>0</v>
      </c>
      <c r="M48" s="3">
        <v>0</v>
      </c>
      <c r="N48" s="3">
        <v>688309941</v>
      </c>
      <c r="O48" s="12"/>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27</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88000</v>
      </c>
      <c r="C8" s="3">
        <v>0</v>
      </c>
      <c r="D8" s="3">
        <v>0</v>
      </c>
      <c r="E8" s="3">
        <v>0</v>
      </c>
      <c r="F8" s="3">
        <v>0</v>
      </c>
      <c r="G8" s="3">
        <v>0</v>
      </c>
      <c r="H8" s="3">
        <v>0</v>
      </c>
      <c r="I8" s="3">
        <v>0</v>
      </c>
      <c r="J8" s="3">
        <v>0</v>
      </c>
      <c r="K8" s="3">
        <f t="shared" si="0"/>
        <v>88000</v>
      </c>
      <c r="L8" s="3">
        <f t="shared" si="0"/>
        <v>0</v>
      </c>
      <c r="M8" s="3">
        <f t="shared" si="0"/>
        <v>0</v>
      </c>
      <c r="N8" s="3">
        <f t="shared" si="1"/>
        <v>88000</v>
      </c>
      <c r="O8" s="1" t="s">
        <v>90</v>
      </c>
    </row>
    <row r="9" spans="1:15" x14ac:dyDescent="0.15">
      <c r="A9" s="1">
        <v>1977</v>
      </c>
      <c r="B9" s="3">
        <v>186000</v>
      </c>
      <c r="C9" s="3">
        <v>0</v>
      </c>
      <c r="D9" s="3">
        <v>0</v>
      </c>
      <c r="E9" s="3">
        <v>0</v>
      </c>
      <c r="F9" s="3">
        <v>0</v>
      </c>
      <c r="G9" s="3">
        <v>0</v>
      </c>
      <c r="H9" s="3">
        <v>0</v>
      </c>
      <c r="I9" s="3">
        <v>0</v>
      </c>
      <c r="J9" s="3">
        <v>0</v>
      </c>
      <c r="K9" s="3">
        <f t="shared" si="0"/>
        <v>186000</v>
      </c>
      <c r="L9" s="3">
        <f t="shared" si="0"/>
        <v>0</v>
      </c>
      <c r="M9" s="3">
        <f t="shared" si="0"/>
        <v>0</v>
      </c>
      <c r="N9" s="3">
        <f t="shared" si="1"/>
        <v>186000</v>
      </c>
      <c r="O9" s="1" t="s">
        <v>100</v>
      </c>
    </row>
    <row r="10" spans="1:15" x14ac:dyDescent="0.15">
      <c r="A10" s="1">
        <v>1978</v>
      </c>
      <c r="B10" s="3">
        <v>298000</v>
      </c>
      <c r="C10" s="3">
        <v>0</v>
      </c>
      <c r="D10" s="3">
        <v>0</v>
      </c>
      <c r="E10" s="3">
        <v>0</v>
      </c>
      <c r="F10" s="3">
        <v>0</v>
      </c>
      <c r="G10" s="3">
        <v>0</v>
      </c>
      <c r="H10" s="3">
        <v>0</v>
      </c>
      <c r="I10" s="3">
        <v>0</v>
      </c>
      <c r="J10" s="3">
        <v>0</v>
      </c>
      <c r="K10" s="3">
        <f t="shared" si="0"/>
        <v>298000</v>
      </c>
      <c r="L10" s="3">
        <f t="shared" si="0"/>
        <v>0</v>
      </c>
      <c r="M10" s="3">
        <f t="shared" si="0"/>
        <v>0</v>
      </c>
      <c r="N10" s="3">
        <f t="shared" si="1"/>
        <v>298000</v>
      </c>
    </row>
    <row r="11" spans="1:15" x14ac:dyDescent="0.15">
      <c r="A11" s="1">
        <v>1979</v>
      </c>
      <c r="B11" s="3">
        <v>496000</v>
      </c>
      <c r="C11" s="3">
        <v>0</v>
      </c>
      <c r="D11" s="3">
        <v>0</v>
      </c>
      <c r="E11" s="3">
        <v>0</v>
      </c>
      <c r="F11" s="3">
        <v>0</v>
      </c>
      <c r="G11" s="3">
        <v>0</v>
      </c>
      <c r="H11" s="3">
        <v>0</v>
      </c>
      <c r="I11" s="3">
        <v>0</v>
      </c>
      <c r="J11" s="3">
        <v>0</v>
      </c>
      <c r="K11" s="3">
        <f t="shared" si="0"/>
        <v>496000</v>
      </c>
      <c r="L11" s="3">
        <f t="shared" si="0"/>
        <v>0</v>
      </c>
      <c r="M11" s="3">
        <f t="shared" si="0"/>
        <v>0</v>
      </c>
      <c r="N11" s="3">
        <f t="shared" si="1"/>
        <v>496000</v>
      </c>
      <c r="O11" s="1" t="s">
        <v>90</v>
      </c>
    </row>
    <row r="12" spans="1:15" x14ac:dyDescent="0.15">
      <c r="A12" s="1">
        <v>1980</v>
      </c>
      <c r="B12" s="3">
        <v>452000</v>
      </c>
      <c r="C12" s="3">
        <v>0</v>
      </c>
      <c r="D12" s="3">
        <v>0</v>
      </c>
      <c r="E12" s="3">
        <v>0</v>
      </c>
      <c r="F12" s="3">
        <v>0</v>
      </c>
      <c r="G12" s="3">
        <v>0</v>
      </c>
      <c r="H12" s="3">
        <v>0</v>
      </c>
      <c r="I12" s="3">
        <v>0</v>
      </c>
      <c r="J12" s="3">
        <v>0</v>
      </c>
      <c r="K12" s="3">
        <f t="shared" si="0"/>
        <v>452000</v>
      </c>
      <c r="L12" s="3">
        <f t="shared" si="0"/>
        <v>0</v>
      </c>
      <c r="M12" s="3">
        <f t="shared" si="0"/>
        <v>0</v>
      </c>
      <c r="N12" s="3">
        <f t="shared" si="1"/>
        <v>452000</v>
      </c>
    </row>
    <row r="13" spans="1:15" x14ac:dyDescent="0.15">
      <c r="A13" s="1">
        <v>1981</v>
      </c>
      <c r="B13" s="3">
        <v>516000</v>
      </c>
      <c r="C13" s="3">
        <v>0</v>
      </c>
      <c r="D13" s="3">
        <v>0</v>
      </c>
      <c r="E13" s="3">
        <v>0</v>
      </c>
      <c r="F13" s="3">
        <v>0</v>
      </c>
      <c r="G13" s="3">
        <v>0</v>
      </c>
      <c r="H13" s="3">
        <v>0</v>
      </c>
      <c r="I13" s="3">
        <v>0</v>
      </c>
      <c r="J13" s="3">
        <v>0</v>
      </c>
      <c r="K13" s="3">
        <f t="shared" si="0"/>
        <v>516000</v>
      </c>
      <c r="L13" s="3">
        <f t="shared" si="0"/>
        <v>0</v>
      </c>
      <c r="M13" s="3">
        <f t="shared" si="0"/>
        <v>0</v>
      </c>
      <c r="N13" s="3">
        <f t="shared" si="1"/>
        <v>516000</v>
      </c>
    </row>
    <row r="14" spans="1:15" x14ac:dyDescent="0.15">
      <c r="A14" s="1">
        <v>1982</v>
      </c>
      <c r="B14" s="3">
        <v>736000</v>
      </c>
      <c r="C14" s="3">
        <v>0</v>
      </c>
      <c r="D14" s="3">
        <v>0</v>
      </c>
      <c r="E14" s="3">
        <v>0</v>
      </c>
      <c r="F14" s="3">
        <v>0</v>
      </c>
      <c r="G14" s="3">
        <v>0</v>
      </c>
      <c r="H14" s="3">
        <v>0</v>
      </c>
      <c r="I14" s="3">
        <v>0</v>
      </c>
      <c r="J14" s="3">
        <v>0</v>
      </c>
      <c r="K14" s="3">
        <f t="shared" si="0"/>
        <v>736000</v>
      </c>
      <c r="L14" s="3">
        <f t="shared" si="0"/>
        <v>0</v>
      </c>
      <c r="M14" s="3">
        <f t="shared" si="0"/>
        <v>0</v>
      </c>
      <c r="N14" s="3">
        <f t="shared" si="1"/>
        <v>736000</v>
      </c>
      <c r="O14" s="1" t="s">
        <v>145</v>
      </c>
    </row>
    <row r="15" spans="1:15" x14ac:dyDescent="0.15">
      <c r="A15" s="1">
        <v>1983</v>
      </c>
      <c r="B15" s="3">
        <v>736000</v>
      </c>
      <c r="C15" s="3">
        <v>0</v>
      </c>
      <c r="D15" s="3">
        <v>0</v>
      </c>
      <c r="E15" s="3">
        <v>0</v>
      </c>
      <c r="F15" s="3">
        <v>0</v>
      </c>
      <c r="G15" s="3">
        <v>0</v>
      </c>
      <c r="H15" s="3">
        <v>0</v>
      </c>
      <c r="I15" s="3">
        <v>0</v>
      </c>
      <c r="J15" s="3">
        <v>0</v>
      </c>
      <c r="K15" s="3">
        <f t="shared" si="0"/>
        <v>736000</v>
      </c>
      <c r="L15" s="3">
        <f t="shared" si="0"/>
        <v>0</v>
      </c>
      <c r="M15" s="3">
        <f t="shared" si="0"/>
        <v>0</v>
      </c>
      <c r="N15" s="3">
        <f t="shared" si="1"/>
        <v>736000</v>
      </c>
      <c r="O15" s="1" t="s">
        <v>146</v>
      </c>
    </row>
    <row r="16" spans="1:15" x14ac:dyDescent="0.15">
      <c r="A16" s="1">
        <v>1984</v>
      </c>
      <c r="B16" s="3">
        <v>493000</v>
      </c>
      <c r="C16" s="3">
        <v>0</v>
      </c>
      <c r="D16" s="3">
        <v>0</v>
      </c>
      <c r="E16" s="3">
        <v>0</v>
      </c>
      <c r="F16" s="3">
        <v>0</v>
      </c>
      <c r="G16" s="3">
        <v>0</v>
      </c>
      <c r="H16" s="3">
        <v>0</v>
      </c>
      <c r="I16" s="3">
        <v>0</v>
      </c>
      <c r="J16" s="3">
        <v>0</v>
      </c>
      <c r="K16" s="3">
        <f t="shared" si="0"/>
        <v>493000</v>
      </c>
      <c r="L16" s="3">
        <f t="shared" si="0"/>
        <v>0</v>
      </c>
      <c r="M16" s="3">
        <f t="shared" si="0"/>
        <v>0</v>
      </c>
      <c r="N16" s="3">
        <f t="shared" si="1"/>
        <v>493000</v>
      </c>
    </row>
    <row r="17" spans="1:15" x14ac:dyDescent="0.15">
      <c r="A17" s="1">
        <v>1985</v>
      </c>
      <c r="B17" s="3">
        <v>493000</v>
      </c>
      <c r="C17" s="3">
        <v>0</v>
      </c>
      <c r="D17" s="3">
        <v>0</v>
      </c>
      <c r="E17" s="3">
        <v>0</v>
      </c>
      <c r="F17" s="3">
        <v>0</v>
      </c>
      <c r="G17" s="3">
        <v>0</v>
      </c>
      <c r="H17" s="3">
        <v>0</v>
      </c>
      <c r="I17" s="3">
        <v>0</v>
      </c>
      <c r="J17" s="3">
        <v>0</v>
      </c>
      <c r="K17" s="3">
        <f t="shared" si="0"/>
        <v>493000</v>
      </c>
      <c r="L17" s="3">
        <f t="shared" si="0"/>
        <v>0</v>
      </c>
      <c r="M17" s="3">
        <f t="shared" si="0"/>
        <v>0</v>
      </c>
      <c r="N17" s="3">
        <f t="shared" si="1"/>
        <v>493000</v>
      </c>
      <c r="O17" s="1" t="s">
        <v>146</v>
      </c>
    </row>
    <row r="18" spans="1:15" x14ac:dyDescent="0.15">
      <c r="A18" s="1">
        <v>1986</v>
      </c>
      <c r="B18" s="3">
        <v>493000</v>
      </c>
      <c r="C18" s="3">
        <v>0</v>
      </c>
      <c r="D18" s="3">
        <v>0</v>
      </c>
      <c r="E18" s="3">
        <v>0</v>
      </c>
      <c r="F18" s="3">
        <v>0</v>
      </c>
      <c r="G18" s="3">
        <v>0</v>
      </c>
      <c r="H18" s="3">
        <v>0</v>
      </c>
      <c r="I18" s="3">
        <v>0</v>
      </c>
      <c r="J18" s="3">
        <v>0</v>
      </c>
      <c r="K18" s="3">
        <f t="shared" si="0"/>
        <v>493000</v>
      </c>
      <c r="L18" s="3">
        <f t="shared" si="0"/>
        <v>0</v>
      </c>
      <c r="M18" s="3">
        <f t="shared" si="0"/>
        <v>0</v>
      </c>
      <c r="N18" s="3">
        <f t="shared" si="1"/>
        <v>493000</v>
      </c>
      <c r="O18" s="1" t="s">
        <v>146</v>
      </c>
    </row>
    <row r="19" spans="1:15" x14ac:dyDescent="0.15">
      <c r="A19" s="1">
        <v>1987</v>
      </c>
      <c r="B19" s="3">
        <v>597000</v>
      </c>
      <c r="C19" s="3">
        <v>0</v>
      </c>
      <c r="D19" s="3">
        <v>0</v>
      </c>
      <c r="E19" s="3">
        <v>0</v>
      </c>
      <c r="F19" s="3">
        <v>0</v>
      </c>
      <c r="G19" s="3">
        <v>0</v>
      </c>
      <c r="H19" s="3">
        <v>0</v>
      </c>
      <c r="I19" s="3">
        <v>0</v>
      </c>
      <c r="J19" s="3">
        <v>0</v>
      </c>
      <c r="K19" s="3">
        <f t="shared" si="0"/>
        <v>597000</v>
      </c>
      <c r="L19" s="3">
        <f t="shared" si="0"/>
        <v>0</v>
      </c>
      <c r="M19" s="3">
        <f t="shared" si="0"/>
        <v>0</v>
      </c>
      <c r="N19" s="3">
        <f t="shared" si="1"/>
        <v>597000</v>
      </c>
    </row>
    <row r="20" spans="1:15" x14ac:dyDescent="0.15">
      <c r="A20" s="1">
        <v>1988</v>
      </c>
      <c r="B20" s="3">
        <v>734000</v>
      </c>
      <c r="C20" s="3">
        <v>0</v>
      </c>
      <c r="D20" s="3">
        <v>0</v>
      </c>
      <c r="E20" s="3">
        <v>0</v>
      </c>
      <c r="F20" s="3">
        <v>0</v>
      </c>
      <c r="G20" s="3">
        <v>0</v>
      </c>
      <c r="H20" s="3">
        <v>0</v>
      </c>
      <c r="I20" s="3">
        <v>0</v>
      </c>
      <c r="J20" s="3">
        <v>0</v>
      </c>
      <c r="K20" s="3">
        <f t="shared" si="0"/>
        <v>734000</v>
      </c>
      <c r="L20" s="3">
        <f t="shared" si="0"/>
        <v>0</v>
      </c>
      <c r="M20" s="3">
        <f t="shared" si="0"/>
        <v>0</v>
      </c>
      <c r="N20" s="3">
        <f t="shared" si="1"/>
        <v>734000</v>
      </c>
    </row>
    <row r="21" spans="1:15" x14ac:dyDescent="0.15">
      <c r="A21" s="1">
        <v>1989</v>
      </c>
      <c r="B21" s="3">
        <v>598000</v>
      </c>
      <c r="C21" s="3">
        <v>0</v>
      </c>
      <c r="D21" s="3">
        <v>0</v>
      </c>
      <c r="E21" s="3">
        <v>0</v>
      </c>
      <c r="F21" s="3">
        <v>0</v>
      </c>
      <c r="G21" s="3">
        <v>0</v>
      </c>
      <c r="H21" s="3">
        <v>0</v>
      </c>
      <c r="I21" s="3">
        <v>0</v>
      </c>
      <c r="J21" s="3">
        <v>0</v>
      </c>
      <c r="K21" s="3">
        <f t="shared" si="0"/>
        <v>598000</v>
      </c>
      <c r="L21" s="3">
        <f t="shared" si="0"/>
        <v>0</v>
      </c>
      <c r="M21" s="3">
        <f t="shared" si="0"/>
        <v>0</v>
      </c>
      <c r="N21" s="3">
        <f t="shared" si="1"/>
        <v>598000</v>
      </c>
    </row>
    <row r="22" spans="1:15" x14ac:dyDescent="0.15">
      <c r="A22" s="1">
        <v>1990</v>
      </c>
      <c r="B22" s="3">
        <v>755000</v>
      </c>
      <c r="C22" s="3">
        <v>0</v>
      </c>
      <c r="D22" s="3">
        <v>0</v>
      </c>
      <c r="E22" s="3">
        <v>0</v>
      </c>
      <c r="F22" s="3">
        <v>0</v>
      </c>
      <c r="G22" s="3">
        <v>0</v>
      </c>
      <c r="H22" s="3">
        <v>0</v>
      </c>
      <c r="I22" s="3">
        <v>0</v>
      </c>
      <c r="J22" s="3">
        <v>0</v>
      </c>
      <c r="K22" s="3">
        <f t="shared" ref="K22:M35" si="2">+B22+E22+H22</f>
        <v>755000</v>
      </c>
      <c r="L22" s="3">
        <f t="shared" si="2"/>
        <v>0</v>
      </c>
      <c r="M22" s="3">
        <f t="shared" si="2"/>
        <v>0</v>
      </c>
      <c r="N22" s="3">
        <f t="shared" si="1"/>
        <v>755000</v>
      </c>
    </row>
    <row r="23" spans="1:15" x14ac:dyDescent="0.15">
      <c r="A23" s="1">
        <v>1991</v>
      </c>
      <c r="B23" s="3">
        <v>611000</v>
      </c>
      <c r="C23" s="3">
        <v>0</v>
      </c>
      <c r="D23" s="3">
        <v>0</v>
      </c>
      <c r="E23" s="3">
        <v>0</v>
      </c>
      <c r="F23" s="3">
        <v>0</v>
      </c>
      <c r="G23" s="3">
        <v>0</v>
      </c>
      <c r="H23" s="3">
        <v>0</v>
      </c>
      <c r="I23" s="3">
        <v>0</v>
      </c>
      <c r="J23" s="3">
        <v>0</v>
      </c>
      <c r="K23" s="3">
        <f t="shared" si="2"/>
        <v>611000</v>
      </c>
      <c r="L23" s="3">
        <f t="shared" si="2"/>
        <v>0</v>
      </c>
      <c r="M23" s="3">
        <f t="shared" si="2"/>
        <v>0</v>
      </c>
      <c r="N23" s="3">
        <f t="shared" si="1"/>
        <v>611000</v>
      </c>
    </row>
    <row r="24" spans="1:15" x14ac:dyDescent="0.15">
      <c r="A24" s="1">
        <v>1992</v>
      </c>
      <c r="B24" s="3">
        <v>661000</v>
      </c>
      <c r="C24" s="3">
        <v>0</v>
      </c>
      <c r="D24" s="3">
        <v>0</v>
      </c>
      <c r="E24" s="3">
        <v>0</v>
      </c>
      <c r="F24" s="3">
        <v>0</v>
      </c>
      <c r="G24" s="3">
        <v>0</v>
      </c>
      <c r="H24" s="3">
        <v>0</v>
      </c>
      <c r="I24" s="3">
        <v>0</v>
      </c>
      <c r="J24" s="3">
        <v>0</v>
      </c>
      <c r="K24" s="3">
        <f t="shared" si="2"/>
        <v>661000</v>
      </c>
      <c r="L24" s="3">
        <f t="shared" si="2"/>
        <v>0</v>
      </c>
      <c r="M24" s="3">
        <f t="shared" si="2"/>
        <v>0</v>
      </c>
      <c r="N24" s="3">
        <f t="shared" si="1"/>
        <v>661000</v>
      </c>
    </row>
    <row r="25" spans="1:15" x14ac:dyDescent="0.15">
      <c r="A25" s="1">
        <v>1993</v>
      </c>
      <c r="B25" s="3">
        <v>724000</v>
      </c>
      <c r="C25" s="3">
        <v>0</v>
      </c>
      <c r="D25" s="3">
        <v>0</v>
      </c>
      <c r="E25" s="3">
        <v>0</v>
      </c>
      <c r="F25" s="3">
        <v>0</v>
      </c>
      <c r="G25" s="3">
        <v>0</v>
      </c>
      <c r="H25" s="3">
        <v>0</v>
      </c>
      <c r="I25" s="3">
        <v>0</v>
      </c>
      <c r="J25" s="3">
        <v>0</v>
      </c>
      <c r="K25" s="3">
        <f t="shared" si="2"/>
        <v>724000</v>
      </c>
      <c r="L25" s="3">
        <f t="shared" si="2"/>
        <v>0</v>
      </c>
      <c r="M25" s="3">
        <f t="shared" si="2"/>
        <v>0</v>
      </c>
      <c r="N25" s="3">
        <f t="shared" si="1"/>
        <v>724000</v>
      </c>
    </row>
    <row r="26" spans="1:15" x14ac:dyDescent="0.15">
      <c r="A26" s="1">
        <v>1994</v>
      </c>
      <c r="B26" s="3">
        <v>748000</v>
      </c>
      <c r="C26" s="3">
        <v>0</v>
      </c>
      <c r="D26" s="3">
        <v>0</v>
      </c>
      <c r="E26" s="3">
        <v>0</v>
      </c>
      <c r="F26" s="3">
        <v>0</v>
      </c>
      <c r="G26" s="3">
        <v>0</v>
      </c>
      <c r="H26" s="3">
        <v>0</v>
      </c>
      <c r="I26" s="3">
        <v>0</v>
      </c>
      <c r="J26" s="3">
        <v>0</v>
      </c>
      <c r="K26" s="3">
        <f t="shared" si="2"/>
        <v>748000</v>
      </c>
      <c r="L26" s="3">
        <f t="shared" si="2"/>
        <v>0</v>
      </c>
      <c r="M26" s="3">
        <f t="shared" si="2"/>
        <v>0</v>
      </c>
      <c r="N26" s="3">
        <f t="shared" si="1"/>
        <v>748000</v>
      </c>
    </row>
    <row r="27" spans="1:15" x14ac:dyDescent="0.15">
      <c r="A27" s="1">
        <v>1995</v>
      </c>
      <c r="B27" s="3">
        <v>732122</v>
      </c>
      <c r="C27" s="3">
        <v>0</v>
      </c>
      <c r="D27" s="3">
        <v>0</v>
      </c>
      <c r="E27" s="3">
        <v>0</v>
      </c>
      <c r="F27" s="3">
        <v>0</v>
      </c>
      <c r="G27" s="3">
        <v>0</v>
      </c>
      <c r="H27" s="3">
        <v>0</v>
      </c>
      <c r="I27" s="3">
        <v>0</v>
      </c>
      <c r="J27" s="3">
        <v>0</v>
      </c>
      <c r="K27" s="3">
        <f t="shared" si="2"/>
        <v>732122</v>
      </c>
      <c r="L27" s="3">
        <f t="shared" si="2"/>
        <v>0</v>
      </c>
      <c r="M27" s="3">
        <f t="shared" si="2"/>
        <v>0</v>
      </c>
      <c r="N27" s="3">
        <f t="shared" si="1"/>
        <v>732122</v>
      </c>
    </row>
    <row r="28" spans="1:15" x14ac:dyDescent="0.15">
      <c r="A28" s="1">
        <v>1996</v>
      </c>
      <c r="B28" s="3">
        <v>499307</v>
      </c>
      <c r="C28" s="3">
        <v>0</v>
      </c>
      <c r="D28" s="3">
        <v>0</v>
      </c>
      <c r="E28" s="3">
        <v>0</v>
      </c>
      <c r="F28" s="3">
        <v>0</v>
      </c>
      <c r="G28" s="3">
        <v>0</v>
      </c>
      <c r="H28" s="3">
        <v>0</v>
      </c>
      <c r="I28" s="3">
        <v>0</v>
      </c>
      <c r="J28" s="3">
        <v>0</v>
      </c>
      <c r="K28" s="3">
        <f t="shared" si="2"/>
        <v>499307</v>
      </c>
      <c r="L28" s="3">
        <f t="shared" si="2"/>
        <v>0</v>
      </c>
      <c r="M28" s="3">
        <f t="shared" si="2"/>
        <v>0</v>
      </c>
      <c r="N28" s="3">
        <f t="shared" si="1"/>
        <v>499307</v>
      </c>
    </row>
    <row r="29" spans="1:15" x14ac:dyDescent="0.15">
      <c r="A29" s="1">
        <v>1997</v>
      </c>
      <c r="B29" s="3">
        <v>379000</v>
      </c>
      <c r="C29" s="3">
        <v>0</v>
      </c>
      <c r="D29" s="3">
        <v>0</v>
      </c>
      <c r="E29" s="3">
        <v>0</v>
      </c>
      <c r="F29" s="3">
        <v>0</v>
      </c>
      <c r="G29" s="3">
        <v>0</v>
      </c>
      <c r="H29" s="3">
        <v>0</v>
      </c>
      <c r="I29" s="3">
        <v>0</v>
      </c>
      <c r="J29" s="3">
        <v>0</v>
      </c>
      <c r="K29" s="3">
        <f t="shared" si="2"/>
        <v>379000</v>
      </c>
      <c r="L29" s="3">
        <f t="shared" si="2"/>
        <v>0</v>
      </c>
      <c r="M29" s="3">
        <f t="shared" si="2"/>
        <v>0</v>
      </c>
      <c r="N29" s="3">
        <f t="shared" si="1"/>
        <v>379000</v>
      </c>
    </row>
    <row r="30" spans="1:15" x14ac:dyDescent="0.15">
      <c r="A30" s="1">
        <v>1998</v>
      </c>
      <c r="B30" s="3">
        <f>424392+165042</f>
        <v>589434</v>
      </c>
      <c r="C30" s="3">
        <v>0</v>
      </c>
      <c r="D30" s="3">
        <v>0</v>
      </c>
      <c r="E30" s="3">
        <v>0</v>
      </c>
      <c r="F30" s="3">
        <v>0</v>
      </c>
      <c r="G30" s="3">
        <v>0</v>
      </c>
      <c r="H30" s="3">
        <v>0</v>
      </c>
      <c r="I30" s="3">
        <v>0</v>
      </c>
      <c r="J30" s="3">
        <v>0</v>
      </c>
      <c r="K30" s="3">
        <f t="shared" si="2"/>
        <v>589434</v>
      </c>
      <c r="L30" s="3">
        <f t="shared" si="2"/>
        <v>0</v>
      </c>
      <c r="M30" s="3">
        <f t="shared" si="2"/>
        <v>0</v>
      </c>
      <c r="N30" s="3">
        <f t="shared" si="1"/>
        <v>589434</v>
      </c>
    </row>
    <row r="31" spans="1:15" x14ac:dyDescent="0.15">
      <c r="A31" s="1">
        <v>1999</v>
      </c>
      <c r="B31" s="3">
        <v>493482</v>
      </c>
      <c r="C31" s="3">
        <v>0</v>
      </c>
      <c r="D31" s="3">
        <v>0</v>
      </c>
      <c r="E31" s="3">
        <v>0</v>
      </c>
      <c r="F31" s="3">
        <v>0</v>
      </c>
      <c r="G31" s="3">
        <v>0</v>
      </c>
      <c r="H31" s="3">
        <v>0</v>
      </c>
      <c r="I31" s="3">
        <v>0</v>
      </c>
      <c r="J31" s="3">
        <v>0</v>
      </c>
      <c r="K31" s="3">
        <f t="shared" si="2"/>
        <v>493482</v>
      </c>
      <c r="L31" s="3">
        <f t="shared" si="2"/>
        <v>0</v>
      </c>
      <c r="M31" s="3">
        <f t="shared" si="2"/>
        <v>0</v>
      </c>
      <c r="N31" s="3">
        <f t="shared" si="1"/>
        <v>493482</v>
      </c>
    </row>
    <row r="32" spans="1:15" x14ac:dyDescent="0.15">
      <c r="A32" s="1">
        <v>2000</v>
      </c>
      <c r="B32" s="3">
        <v>489763</v>
      </c>
      <c r="C32" s="3">
        <v>0</v>
      </c>
      <c r="D32" s="3">
        <v>0</v>
      </c>
      <c r="E32" s="3">
        <v>0</v>
      </c>
      <c r="F32" s="3">
        <v>0</v>
      </c>
      <c r="G32" s="3">
        <v>0</v>
      </c>
      <c r="H32" s="3">
        <v>0</v>
      </c>
      <c r="I32" s="3">
        <v>0</v>
      </c>
      <c r="J32" s="3">
        <v>0</v>
      </c>
      <c r="K32" s="3">
        <f t="shared" si="2"/>
        <v>489763</v>
      </c>
      <c r="L32" s="3">
        <f t="shared" si="2"/>
        <v>0</v>
      </c>
      <c r="M32" s="3">
        <f t="shared" si="2"/>
        <v>0</v>
      </c>
      <c r="N32" s="3">
        <f t="shared" si="1"/>
        <v>489763</v>
      </c>
    </row>
    <row r="33" spans="1:15" x14ac:dyDescent="0.15">
      <c r="A33" s="1">
        <v>2001</v>
      </c>
      <c r="B33" s="3">
        <f>427817+106954</f>
        <v>534771</v>
      </c>
      <c r="C33" s="3">
        <v>0</v>
      </c>
      <c r="D33" s="3">
        <v>0</v>
      </c>
      <c r="E33" s="3">
        <v>0</v>
      </c>
      <c r="F33" s="3">
        <v>0</v>
      </c>
      <c r="G33" s="3">
        <v>0</v>
      </c>
      <c r="H33" s="3">
        <v>0</v>
      </c>
      <c r="I33" s="3">
        <v>0</v>
      </c>
      <c r="J33" s="3">
        <v>0</v>
      </c>
      <c r="K33" s="3">
        <f t="shared" si="2"/>
        <v>534771</v>
      </c>
      <c r="L33" s="3">
        <f t="shared" si="2"/>
        <v>0</v>
      </c>
      <c r="M33" s="3">
        <f t="shared" si="2"/>
        <v>0</v>
      </c>
      <c r="N33" s="3">
        <f t="shared" si="1"/>
        <v>534771</v>
      </c>
    </row>
    <row r="34" spans="1:15" x14ac:dyDescent="0.15">
      <c r="A34" s="1">
        <v>2002</v>
      </c>
      <c r="B34" s="3">
        <v>531406</v>
      </c>
      <c r="C34" s="3">
        <v>0</v>
      </c>
      <c r="D34" s="3">
        <v>0</v>
      </c>
      <c r="E34" s="3">
        <v>0</v>
      </c>
      <c r="F34" s="3">
        <v>0</v>
      </c>
      <c r="G34" s="3">
        <v>0</v>
      </c>
      <c r="H34" s="3">
        <v>0</v>
      </c>
      <c r="I34" s="3">
        <v>0</v>
      </c>
      <c r="J34" s="3">
        <v>0</v>
      </c>
      <c r="K34" s="3">
        <f t="shared" si="2"/>
        <v>531406</v>
      </c>
      <c r="L34" s="3">
        <f t="shared" si="2"/>
        <v>0</v>
      </c>
      <c r="M34" s="3">
        <f t="shared" si="2"/>
        <v>0</v>
      </c>
      <c r="N34" s="3">
        <f t="shared" si="1"/>
        <v>531406</v>
      </c>
    </row>
    <row r="35" spans="1:15" x14ac:dyDescent="0.15">
      <c r="A35" s="1">
        <v>2003</v>
      </c>
      <c r="B35" s="3">
        <v>408084</v>
      </c>
      <c r="C35" s="3">
        <v>0</v>
      </c>
      <c r="D35" s="3">
        <v>0</v>
      </c>
      <c r="E35" s="3">
        <v>0</v>
      </c>
      <c r="F35" s="3">
        <v>0</v>
      </c>
      <c r="G35" s="3">
        <v>1200000</v>
      </c>
      <c r="H35" s="3">
        <v>0</v>
      </c>
      <c r="I35" s="3">
        <v>0</v>
      </c>
      <c r="J35" s="3">
        <v>0</v>
      </c>
      <c r="K35" s="3">
        <f t="shared" si="2"/>
        <v>408084</v>
      </c>
      <c r="L35" s="3">
        <f t="shared" si="2"/>
        <v>0</v>
      </c>
      <c r="M35" s="3">
        <f t="shared" si="2"/>
        <v>1200000</v>
      </c>
      <c r="N35" s="3">
        <f t="shared" si="1"/>
        <v>1608084</v>
      </c>
    </row>
    <row r="36" spans="1:15" ht="12.75" x14ac:dyDescent="0.2">
      <c r="A36" s="1">
        <v>2004</v>
      </c>
      <c r="B36" s="3">
        <v>408094</v>
      </c>
      <c r="C36" s="3">
        <v>0</v>
      </c>
      <c r="D36" s="3">
        <v>0</v>
      </c>
      <c r="E36" s="3">
        <v>0</v>
      </c>
      <c r="F36" s="3">
        <v>0</v>
      </c>
      <c r="G36" s="3">
        <v>0</v>
      </c>
      <c r="H36" s="3">
        <v>0</v>
      </c>
      <c r="I36" s="3">
        <v>0</v>
      </c>
      <c r="J36" s="3">
        <v>0</v>
      </c>
      <c r="K36" s="3">
        <v>408094</v>
      </c>
      <c r="L36" s="3">
        <v>0</v>
      </c>
      <c r="M36" s="3">
        <v>0</v>
      </c>
      <c r="N36" s="3">
        <v>408094</v>
      </c>
      <c r="O36" s="12"/>
    </row>
    <row r="37" spans="1:15" ht="12.75" x14ac:dyDescent="0.2">
      <c r="A37" s="1">
        <v>2005</v>
      </c>
      <c r="B37" s="3">
        <v>417826</v>
      </c>
      <c r="C37" s="3">
        <v>0</v>
      </c>
      <c r="D37" s="3">
        <v>0</v>
      </c>
      <c r="E37" s="3">
        <v>0</v>
      </c>
      <c r="F37" s="3">
        <v>0</v>
      </c>
      <c r="G37" s="3">
        <v>0</v>
      </c>
      <c r="H37" s="3">
        <v>0</v>
      </c>
      <c r="I37" s="3">
        <v>0</v>
      </c>
      <c r="J37" s="3">
        <v>0</v>
      </c>
      <c r="K37" s="3">
        <v>417826</v>
      </c>
      <c r="L37" s="3">
        <v>0</v>
      </c>
      <c r="M37" s="3">
        <v>0</v>
      </c>
      <c r="N37" s="3">
        <v>417826</v>
      </c>
      <c r="O37" s="12"/>
    </row>
    <row r="38" spans="1:15" ht="12.75" x14ac:dyDescent="0.2">
      <c r="A38" s="1">
        <v>2006</v>
      </c>
      <c r="B38" s="3">
        <v>409956</v>
      </c>
      <c r="C38" s="3">
        <v>0</v>
      </c>
      <c r="D38" s="3">
        <v>0</v>
      </c>
      <c r="E38" s="3">
        <v>0</v>
      </c>
      <c r="F38" s="3">
        <v>0</v>
      </c>
      <c r="G38" s="3">
        <v>0</v>
      </c>
      <c r="H38" s="3">
        <v>0</v>
      </c>
      <c r="I38" s="3">
        <v>0</v>
      </c>
      <c r="J38" s="3">
        <v>0</v>
      </c>
      <c r="K38" s="3">
        <v>409956</v>
      </c>
      <c r="L38" s="3">
        <v>0</v>
      </c>
      <c r="M38" s="3">
        <v>0</v>
      </c>
      <c r="N38" s="3">
        <v>409956</v>
      </c>
      <c r="O38" s="12"/>
    </row>
    <row r="39" spans="1:15" ht="12.75" x14ac:dyDescent="0.2">
      <c r="A39" s="1">
        <v>2007</v>
      </c>
      <c r="B39" s="3">
        <v>408095</v>
      </c>
      <c r="C39" s="3">
        <v>0</v>
      </c>
      <c r="D39" s="3">
        <v>0</v>
      </c>
      <c r="E39" s="3">
        <v>0</v>
      </c>
      <c r="F39" s="3">
        <v>0</v>
      </c>
      <c r="G39" s="3">
        <v>0</v>
      </c>
      <c r="H39" s="3">
        <v>0</v>
      </c>
      <c r="I39" s="3">
        <v>0</v>
      </c>
      <c r="J39" s="3">
        <v>0</v>
      </c>
      <c r="K39" s="3">
        <v>408095</v>
      </c>
      <c r="L39" s="3">
        <v>0</v>
      </c>
      <c r="M39" s="3">
        <v>0</v>
      </c>
      <c r="N39" s="3">
        <v>408095</v>
      </c>
      <c r="O39" s="12"/>
    </row>
    <row r="40" spans="1:15" ht="12.75" x14ac:dyDescent="0.2">
      <c r="A40" s="1">
        <v>2008</v>
      </c>
      <c r="B40" s="3">
        <v>408095</v>
      </c>
      <c r="C40" s="3">
        <v>0</v>
      </c>
      <c r="D40" s="3">
        <v>0</v>
      </c>
      <c r="E40" s="3">
        <v>0</v>
      </c>
      <c r="F40" s="3">
        <v>0</v>
      </c>
      <c r="G40" s="3">
        <v>0</v>
      </c>
      <c r="H40" s="3">
        <v>0</v>
      </c>
      <c r="I40" s="3">
        <v>0</v>
      </c>
      <c r="J40" s="3">
        <v>0</v>
      </c>
      <c r="K40" s="3">
        <v>408095</v>
      </c>
      <c r="L40" s="3">
        <v>0</v>
      </c>
      <c r="M40" s="3">
        <v>0</v>
      </c>
      <c r="N40" s="3">
        <v>408095</v>
      </c>
      <c r="O40" s="12"/>
    </row>
    <row r="41" spans="1:15" x14ac:dyDescent="0.15">
      <c r="A41" s="1">
        <v>2009</v>
      </c>
      <c r="B41" s="3">
        <v>408445</v>
      </c>
      <c r="C41" s="3">
        <v>0</v>
      </c>
      <c r="D41" s="3">
        <v>0</v>
      </c>
      <c r="E41" s="3">
        <v>1500000</v>
      </c>
      <c r="F41" s="3">
        <v>0</v>
      </c>
      <c r="G41" s="3">
        <v>0</v>
      </c>
      <c r="H41" s="3">
        <v>0</v>
      </c>
      <c r="I41" s="3">
        <v>0</v>
      </c>
      <c r="J41" s="3">
        <v>0</v>
      </c>
      <c r="K41" s="3">
        <v>1908445</v>
      </c>
      <c r="L41" s="3">
        <v>0</v>
      </c>
      <c r="M41" s="3">
        <v>0</v>
      </c>
      <c r="N41" s="3">
        <v>1908445</v>
      </c>
      <c r="O41" s="1" t="s">
        <v>267</v>
      </c>
    </row>
    <row r="42" spans="1:15" ht="12.75" x14ac:dyDescent="0.2">
      <c r="A42" s="1">
        <v>2010</v>
      </c>
      <c r="B42" s="3">
        <v>413371</v>
      </c>
      <c r="C42" s="3">
        <v>0</v>
      </c>
      <c r="D42" s="3">
        <v>0</v>
      </c>
      <c r="E42" s="3">
        <v>2995116</v>
      </c>
      <c r="F42" s="3">
        <v>0</v>
      </c>
      <c r="G42" s="3">
        <v>0</v>
      </c>
      <c r="H42" s="3">
        <v>0</v>
      </c>
      <c r="I42" s="3">
        <v>0</v>
      </c>
      <c r="J42" s="3">
        <v>0</v>
      </c>
      <c r="K42" s="3">
        <v>3408487</v>
      </c>
      <c r="L42" s="3">
        <v>0</v>
      </c>
      <c r="M42" s="3">
        <v>0</v>
      </c>
      <c r="N42" s="3">
        <v>3408487</v>
      </c>
      <c r="O42" s="12"/>
    </row>
    <row r="43" spans="1:15" ht="12.75" x14ac:dyDescent="0.2">
      <c r="A43" s="1">
        <v>2011</v>
      </c>
      <c r="B43" s="3">
        <v>840258</v>
      </c>
      <c r="C43" s="3">
        <v>0</v>
      </c>
      <c r="D43" s="3">
        <v>0</v>
      </c>
      <c r="E43" s="3">
        <v>2498588</v>
      </c>
      <c r="F43" s="3">
        <v>0</v>
      </c>
      <c r="G43" s="3">
        <v>0</v>
      </c>
      <c r="H43" s="3">
        <v>0</v>
      </c>
      <c r="I43" s="3">
        <v>0</v>
      </c>
      <c r="J43" s="3">
        <v>0</v>
      </c>
      <c r="K43" s="3">
        <v>3338846</v>
      </c>
      <c r="L43" s="3">
        <v>0</v>
      </c>
      <c r="M43" s="3">
        <v>0</v>
      </c>
      <c r="N43" s="3">
        <v>3338846</v>
      </c>
      <c r="O43" s="12"/>
    </row>
    <row r="44" spans="1:15" ht="12.75" x14ac:dyDescent="0.2">
      <c r="A44" s="1">
        <v>2012</v>
      </c>
      <c r="B44" s="3">
        <v>284899</v>
      </c>
      <c r="C44" s="3">
        <v>0</v>
      </c>
      <c r="D44" s="3">
        <v>0</v>
      </c>
      <c r="E44" s="3">
        <v>3488885</v>
      </c>
      <c r="F44" s="3">
        <v>0</v>
      </c>
      <c r="G44" s="3">
        <v>0</v>
      </c>
      <c r="H44" s="3">
        <v>0</v>
      </c>
      <c r="I44" s="3">
        <v>0</v>
      </c>
      <c r="J44" s="3">
        <v>0</v>
      </c>
      <c r="K44" s="3">
        <v>3773784</v>
      </c>
      <c r="L44" s="3">
        <v>0</v>
      </c>
      <c r="M44" s="3">
        <v>0</v>
      </c>
      <c r="N44" s="3">
        <v>3773784</v>
      </c>
      <c r="O44" s="12"/>
    </row>
    <row r="45" spans="1:15" ht="12.75" x14ac:dyDescent="0.2">
      <c r="A45" s="1">
        <v>2013</v>
      </c>
      <c r="B45" s="3">
        <v>267899</v>
      </c>
      <c r="C45" s="3">
        <v>0</v>
      </c>
      <c r="D45" s="3">
        <v>0</v>
      </c>
      <c r="E45" s="3">
        <v>2957062</v>
      </c>
      <c r="F45" s="3">
        <v>0</v>
      </c>
      <c r="G45" s="3">
        <v>0</v>
      </c>
      <c r="H45" s="3">
        <v>0</v>
      </c>
      <c r="I45" s="3">
        <v>0</v>
      </c>
      <c r="J45" s="3">
        <v>0</v>
      </c>
      <c r="K45" s="3">
        <v>3224961</v>
      </c>
      <c r="L45" s="3">
        <v>0</v>
      </c>
      <c r="M45" s="3">
        <v>0</v>
      </c>
      <c r="N45" s="3">
        <v>3224961</v>
      </c>
      <c r="O45" s="12"/>
    </row>
    <row r="46" spans="1:15" ht="12.75" x14ac:dyDescent="0.2">
      <c r="A46" s="1">
        <v>2014</v>
      </c>
      <c r="B46" s="3">
        <v>284889</v>
      </c>
      <c r="C46" s="3">
        <v>0</v>
      </c>
      <c r="D46" s="3">
        <v>0</v>
      </c>
      <c r="E46" s="3">
        <v>3497503</v>
      </c>
      <c r="F46" s="3">
        <v>0</v>
      </c>
      <c r="G46" s="3">
        <v>0</v>
      </c>
      <c r="H46" s="3">
        <v>0</v>
      </c>
      <c r="I46" s="3">
        <v>0</v>
      </c>
      <c r="J46" s="3">
        <v>0</v>
      </c>
      <c r="K46" s="3">
        <v>3782392</v>
      </c>
      <c r="L46" s="3">
        <v>0</v>
      </c>
      <c r="M46" s="3">
        <v>0</v>
      </c>
      <c r="N46" s="3">
        <v>3782392</v>
      </c>
      <c r="O46" s="12"/>
    </row>
    <row r="47" spans="1:15" ht="12.75" x14ac:dyDescent="0.2">
      <c r="A47" s="1">
        <v>2015</v>
      </c>
      <c r="B47" s="3">
        <v>284889</v>
      </c>
      <c r="C47" s="3">
        <v>0</v>
      </c>
      <c r="D47" s="3">
        <v>0</v>
      </c>
      <c r="E47" s="3">
        <v>3304813</v>
      </c>
      <c r="F47" s="3">
        <v>0</v>
      </c>
      <c r="G47" s="3">
        <v>0</v>
      </c>
      <c r="H47" s="3">
        <v>0</v>
      </c>
      <c r="I47" s="3">
        <v>0</v>
      </c>
      <c r="J47" s="3">
        <v>0</v>
      </c>
      <c r="K47" s="3">
        <v>3589702</v>
      </c>
      <c r="L47" s="3">
        <v>0</v>
      </c>
      <c r="M47" s="3">
        <v>0</v>
      </c>
      <c r="N47" s="3">
        <v>3589702</v>
      </c>
      <c r="O47" s="12"/>
    </row>
    <row r="48" spans="1:15" ht="12.75" x14ac:dyDescent="0.2">
      <c r="A48" s="1">
        <v>2016</v>
      </c>
      <c r="B48" s="3">
        <v>284889</v>
      </c>
      <c r="C48" s="3">
        <v>0</v>
      </c>
      <c r="D48" s="3">
        <v>0</v>
      </c>
      <c r="E48" s="3">
        <v>2982021</v>
      </c>
      <c r="F48" s="3">
        <v>0</v>
      </c>
      <c r="G48" s="3">
        <v>0</v>
      </c>
      <c r="H48" s="3">
        <v>0</v>
      </c>
      <c r="I48" s="3">
        <v>0</v>
      </c>
      <c r="J48" s="3">
        <v>0</v>
      </c>
      <c r="K48" s="3">
        <v>3266910</v>
      </c>
      <c r="L48" s="3">
        <v>0</v>
      </c>
      <c r="M48" s="3">
        <v>0</v>
      </c>
      <c r="N48" s="3">
        <v>3266910</v>
      </c>
      <c r="O48" s="12"/>
    </row>
  </sheetData>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26</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2"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101000</v>
      </c>
      <c r="C8" s="3">
        <v>0</v>
      </c>
      <c r="D8" s="3">
        <v>0</v>
      </c>
      <c r="E8" s="3">
        <v>0</v>
      </c>
      <c r="F8" s="3">
        <v>0</v>
      </c>
      <c r="G8" s="3">
        <v>0</v>
      </c>
      <c r="H8" s="3">
        <v>0</v>
      </c>
      <c r="I8" s="3">
        <v>0</v>
      </c>
      <c r="J8" s="3">
        <v>0</v>
      </c>
      <c r="K8" s="3">
        <f t="shared" si="0"/>
        <v>101000</v>
      </c>
      <c r="L8" s="3">
        <f t="shared" si="0"/>
        <v>0</v>
      </c>
      <c r="M8" s="3">
        <f t="shared" si="0"/>
        <v>0</v>
      </c>
      <c r="N8" s="3">
        <f t="shared" si="1"/>
        <v>101000</v>
      </c>
      <c r="O8" s="1" t="s">
        <v>106</v>
      </c>
    </row>
    <row r="9" spans="1:15" x14ac:dyDescent="0.15">
      <c r="A9" s="1">
        <v>1977</v>
      </c>
      <c r="B9" s="3">
        <v>255000</v>
      </c>
      <c r="C9" s="3">
        <v>0</v>
      </c>
      <c r="D9" s="3">
        <v>0</v>
      </c>
      <c r="E9" s="3">
        <v>0</v>
      </c>
      <c r="F9" s="3">
        <v>0</v>
      </c>
      <c r="G9" s="3">
        <v>0</v>
      </c>
      <c r="H9" s="3">
        <v>0</v>
      </c>
      <c r="I9" s="3">
        <v>0</v>
      </c>
      <c r="J9" s="3">
        <v>0</v>
      </c>
      <c r="K9" s="3">
        <f t="shared" si="0"/>
        <v>255000</v>
      </c>
      <c r="L9" s="3">
        <f t="shared" si="0"/>
        <v>0</v>
      </c>
      <c r="M9" s="3">
        <f t="shared" si="0"/>
        <v>0</v>
      </c>
      <c r="N9" s="3">
        <f t="shared" si="1"/>
        <v>255000</v>
      </c>
    </row>
    <row r="10" spans="1:15" x14ac:dyDescent="0.15">
      <c r="A10" s="1">
        <v>1978</v>
      </c>
      <c r="B10" s="3">
        <v>360000</v>
      </c>
      <c r="C10" s="3">
        <v>0</v>
      </c>
      <c r="D10" s="3">
        <v>0</v>
      </c>
      <c r="E10" s="3">
        <v>0</v>
      </c>
      <c r="F10" s="3">
        <v>0</v>
      </c>
      <c r="G10" s="3">
        <v>0</v>
      </c>
      <c r="H10" s="3">
        <v>0</v>
      </c>
      <c r="I10" s="3">
        <v>0</v>
      </c>
      <c r="J10" s="3">
        <v>0</v>
      </c>
      <c r="K10" s="3">
        <f t="shared" si="0"/>
        <v>360000</v>
      </c>
      <c r="L10" s="3">
        <f t="shared" si="0"/>
        <v>0</v>
      </c>
      <c r="M10" s="3">
        <f t="shared" si="0"/>
        <v>0</v>
      </c>
      <c r="N10" s="3">
        <f t="shared" si="1"/>
        <v>360000</v>
      </c>
    </row>
    <row r="11" spans="1:15" x14ac:dyDescent="0.15">
      <c r="A11" s="1">
        <v>1979</v>
      </c>
      <c r="B11" s="3">
        <v>409000</v>
      </c>
      <c r="C11" s="3">
        <v>0</v>
      </c>
      <c r="D11" s="3">
        <v>0</v>
      </c>
      <c r="E11" s="3">
        <v>0</v>
      </c>
      <c r="F11" s="3">
        <v>0</v>
      </c>
      <c r="G11" s="3">
        <v>0</v>
      </c>
      <c r="H11" s="3">
        <v>0</v>
      </c>
      <c r="I11" s="3">
        <v>0</v>
      </c>
      <c r="J11" s="3">
        <v>0</v>
      </c>
      <c r="K11" s="3">
        <f t="shared" si="0"/>
        <v>409000</v>
      </c>
      <c r="L11" s="3">
        <f t="shared" si="0"/>
        <v>0</v>
      </c>
      <c r="M11" s="3">
        <f t="shared" si="0"/>
        <v>0</v>
      </c>
      <c r="N11" s="3">
        <f t="shared" si="1"/>
        <v>409000</v>
      </c>
      <c r="O11" s="1" t="s">
        <v>90</v>
      </c>
    </row>
    <row r="12" spans="1:15" x14ac:dyDescent="0.15">
      <c r="A12" s="1">
        <v>1980</v>
      </c>
      <c r="B12" s="3">
        <v>507000</v>
      </c>
      <c r="C12" s="3">
        <v>0</v>
      </c>
      <c r="D12" s="3">
        <v>0</v>
      </c>
      <c r="E12" s="3">
        <v>0</v>
      </c>
      <c r="F12" s="3">
        <v>0</v>
      </c>
      <c r="G12" s="3">
        <v>0</v>
      </c>
      <c r="H12" s="3">
        <v>0</v>
      </c>
      <c r="I12" s="3">
        <v>0</v>
      </c>
      <c r="J12" s="3">
        <v>0</v>
      </c>
      <c r="K12" s="3">
        <f t="shared" si="0"/>
        <v>507000</v>
      </c>
      <c r="L12" s="3">
        <f t="shared" si="0"/>
        <v>0</v>
      </c>
      <c r="M12" s="3">
        <f t="shared" si="0"/>
        <v>0</v>
      </c>
      <c r="N12" s="3">
        <f t="shared" si="1"/>
        <v>507000</v>
      </c>
    </row>
    <row r="13" spans="1:15" x14ac:dyDescent="0.15">
      <c r="A13" s="1">
        <v>1981</v>
      </c>
      <c r="B13" s="3">
        <v>512000</v>
      </c>
      <c r="C13" s="3">
        <v>0</v>
      </c>
      <c r="D13" s="3">
        <v>0</v>
      </c>
      <c r="E13" s="3">
        <v>0</v>
      </c>
      <c r="F13" s="3">
        <v>0</v>
      </c>
      <c r="G13" s="3">
        <v>0</v>
      </c>
      <c r="H13" s="3">
        <v>0</v>
      </c>
      <c r="I13" s="3">
        <v>0</v>
      </c>
      <c r="J13" s="3">
        <v>0</v>
      </c>
      <c r="K13" s="3">
        <f t="shared" si="0"/>
        <v>512000</v>
      </c>
      <c r="L13" s="3">
        <f t="shared" si="0"/>
        <v>0</v>
      </c>
      <c r="M13" s="3">
        <f t="shared" si="0"/>
        <v>0</v>
      </c>
      <c r="N13" s="3">
        <f t="shared" si="1"/>
        <v>512000</v>
      </c>
    </row>
    <row r="14" spans="1:15" x14ac:dyDescent="0.15">
      <c r="A14" s="1">
        <v>1982</v>
      </c>
      <c r="B14" s="3">
        <v>496000</v>
      </c>
      <c r="C14" s="3">
        <v>13000</v>
      </c>
      <c r="D14" s="3">
        <v>0</v>
      </c>
      <c r="E14" s="3">
        <v>0</v>
      </c>
      <c r="F14" s="3">
        <v>0</v>
      </c>
      <c r="G14" s="3">
        <v>0</v>
      </c>
      <c r="H14" s="3">
        <v>110000</v>
      </c>
      <c r="I14" s="3">
        <v>0</v>
      </c>
      <c r="J14" s="3">
        <v>0</v>
      </c>
      <c r="K14" s="3">
        <f t="shared" si="0"/>
        <v>606000</v>
      </c>
      <c r="L14" s="3">
        <f t="shared" si="0"/>
        <v>13000</v>
      </c>
      <c r="M14" s="3">
        <f t="shared" si="0"/>
        <v>0</v>
      </c>
      <c r="N14" s="3">
        <f t="shared" si="1"/>
        <v>619000</v>
      </c>
    </row>
    <row r="15" spans="1:15" x14ac:dyDescent="0.15">
      <c r="A15" s="1">
        <v>1983</v>
      </c>
      <c r="B15" s="3">
        <v>481000</v>
      </c>
      <c r="C15" s="3">
        <v>12000</v>
      </c>
      <c r="D15" s="3">
        <v>0</v>
      </c>
      <c r="E15" s="3">
        <v>0</v>
      </c>
      <c r="F15" s="3">
        <v>0</v>
      </c>
      <c r="G15" s="3">
        <v>0</v>
      </c>
      <c r="H15" s="3">
        <v>127000</v>
      </c>
      <c r="I15" s="3">
        <v>0</v>
      </c>
      <c r="J15" s="3">
        <v>0</v>
      </c>
      <c r="K15" s="3">
        <f t="shared" si="0"/>
        <v>608000</v>
      </c>
      <c r="L15" s="3">
        <f t="shared" si="0"/>
        <v>12000</v>
      </c>
      <c r="M15" s="3">
        <f t="shared" si="0"/>
        <v>0</v>
      </c>
      <c r="N15" s="3">
        <f t="shared" si="1"/>
        <v>620000</v>
      </c>
    </row>
    <row r="16" spans="1:15" x14ac:dyDescent="0.15">
      <c r="A16" s="1">
        <v>1984</v>
      </c>
      <c r="B16" s="3">
        <v>379000</v>
      </c>
      <c r="C16" s="3">
        <v>0</v>
      </c>
      <c r="D16" s="3">
        <v>0</v>
      </c>
      <c r="E16" s="3">
        <v>0</v>
      </c>
      <c r="F16" s="3">
        <v>24000</v>
      </c>
      <c r="G16" s="3">
        <v>0</v>
      </c>
      <c r="H16" s="3">
        <v>123000</v>
      </c>
      <c r="I16" s="3">
        <v>0</v>
      </c>
      <c r="J16" s="3">
        <v>0</v>
      </c>
      <c r="K16" s="3">
        <f t="shared" si="0"/>
        <v>502000</v>
      </c>
      <c r="L16" s="3">
        <f t="shared" si="0"/>
        <v>24000</v>
      </c>
      <c r="M16" s="3">
        <f t="shared" si="0"/>
        <v>0</v>
      </c>
      <c r="N16" s="3">
        <f t="shared" si="1"/>
        <v>526000</v>
      </c>
    </row>
    <row r="17" spans="1:15" x14ac:dyDescent="0.15">
      <c r="A17" s="1">
        <v>1985</v>
      </c>
      <c r="B17" s="3">
        <v>478000</v>
      </c>
      <c r="C17" s="3">
        <v>31000</v>
      </c>
      <c r="D17" s="3">
        <v>0</v>
      </c>
      <c r="E17" s="3">
        <v>0</v>
      </c>
      <c r="F17" s="3">
        <v>0</v>
      </c>
      <c r="G17" s="3">
        <v>0</v>
      </c>
      <c r="H17" s="3">
        <v>127000</v>
      </c>
      <c r="I17" s="3">
        <v>0</v>
      </c>
      <c r="J17" s="3">
        <v>0</v>
      </c>
      <c r="K17" s="3">
        <f t="shared" si="0"/>
        <v>605000</v>
      </c>
      <c r="L17" s="3">
        <f t="shared" si="0"/>
        <v>31000</v>
      </c>
      <c r="M17" s="3">
        <f t="shared" si="0"/>
        <v>0</v>
      </c>
      <c r="N17" s="3">
        <f t="shared" si="1"/>
        <v>636000</v>
      </c>
    </row>
    <row r="18" spans="1:15" x14ac:dyDescent="0.15">
      <c r="A18" s="1">
        <v>1986</v>
      </c>
      <c r="B18" s="3">
        <v>509000</v>
      </c>
      <c r="C18" s="3">
        <v>0</v>
      </c>
      <c r="D18" s="3">
        <v>0</v>
      </c>
      <c r="E18" s="3">
        <v>0</v>
      </c>
      <c r="F18" s="3">
        <v>0</v>
      </c>
      <c r="G18" s="3">
        <v>0</v>
      </c>
      <c r="H18" s="3">
        <v>541000</v>
      </c>
      <c r="I18" s="3">
        <v>0</v>
      </c>
      <c r="J18" s="3">
        <v>0</v>
      </c>
      <c r="K18" s="3">
        <f t="shared" si="0"/>
        <v>1050000</v>
      </c>
      <c r="L18" s="3">
        <f t="shared" si="0"/>
        <v>0</v>
      </c>
      <c r="M18" s="3">
        <f t="shared" si="0"/>
        <v>0</v>
      </c>
      <c r="N18" s="3">
        <f t="shared" si="1"/>
        <v>1050000</v>
      </c>
    </row>
    <row r="19" spans="1:15" x14ac:dyDescent="0.15">
      <c r="A19" s="1">
        <v>1987</v>
      </c>
      <c r="B19" s="3">
        <v>487000</v>
      </c>
      <c r="C19" s="3">
        <v>0</v>
      </c>
      <c r="D19" s="3">
        <v>0</v>
      </c>
      <c r="E19" s="3">
        <v>0</v>
      </c>
      <c r="F19" s="3">
        <v>0</v>
      </c>
      <c r="G19" s="3">
        <v>0</v>
      </c>
      <c r="H19" s="3">
        <v>123000</v>
      </c>
      <c r="I19" s="3">
        <v>0</v>
      </c>
      <c r="J19" s="3">
        <v>0</v>
      </c>
      <c r="K19" s="3">
        <f t="shared" si="0"/>
        <v>610000</v>
      </c>
      <c r="L19" s="3">
        <f t="shared" si="0"/>
        <v>0</v>
      </c>
      <c r="M19" s="3">
        <f t="shared" si="0"/>
        <v>0</v>
      </c>
      <c r="N19" s="3">
        <f t="shared" si="1"/>
        <v>610000</v>
      </c>
    </row>
    <row r="20" spans="1:15" x14ac:dyDescent="0.15">
      <c r="A20" s="1">
        <v>1988</v>
      </c>
      <c r="B20" s="3">
        <v>343000</v>
      </c>
      <c r="C20" s="3">
        <v>144000</v>
      </c>
      <c r="D20" s="3">
        <v>0</v>
      </c>
      <c r="E20" s="3">
        <v>0</v>
      </c>
      <c r="F20" s="3">
        <v>0</v>
      </c>
      <c r="G20" s="3">
        <v>0</v>
      </c>
      <c r="H20" s="3">
        <v>118000</v>
      </c>
      <c r="I20" s="3">
        <v>0</v>
      </c>
      <c r="J20" s="3">
        <v>0</v>
      </c>
      <c r="K20" s="3">
        <f t="shared" si="0"/>
        <v>461000</v>
      </c>
      <c r="L20" s="3">
        <f t="shared" si="0"/>
        <v>144000</v>
      </c>
      <c r="M20" s="3">
        <f t="shared" si="0"/>
        <v>0</v>
      </c>
      <c r="N20" s="3">
        <f t="shared" si="1"/>
        <v>605000</v>
      </c>
    </row>
    <row r="21" spans="1:15" x14ac:dyDescent="0.15">
      <c r="A21" s="1">
        <v>1989</v>
      </c>
      <c r="B21" s="3">
        <v>348000</v>
      </c>
      <c r="C21" s="3">
        <v>146000</v>
      </c>
      <c r="D21" s="3">
        <v>0</v>
      </c>
      <c r="E21" s="3">
        <v>0</v>
      </c>
      <c r="F21" s="3">
        <v>0</v>
      </c>
      <c r="G21" s="3">
        <v>0</v>
      </c>
      <c r="H21" s="3">
        <v>114000</v>
      </c>
      <c r="I21" s="3">
        <v>0</v>
      </c>
      <c r="J21" s="3">
        <v>0</v>
      </c>
      <c r="K21" s="3">
        <f t="shared" si="0"/>
        <v>462000</v>
      </c>
      <c r="L21" s="3">
        <f t="shared" si="0"/>
        <v>146000</v>
      </c>
      <c r="M21" s="3">
        <f t="shared" si="0"/>
        <v>0</v>
      </c>
      <c r="N21" s="3">
        <f t="shared" si="1"/>
        <v>608000</v>
      </c>
    </row>
    <row r="22" spans="1:15" x14ac:dyDescent="0.15">
      <c r="A22" s="1">
        <v>1990</v>
      </c>
      <c r="B22" s="3">
        <v>346000</v>
      </c>
      <c r="C22" s="3">
        <v>145000</v>
      </c>
      <c r="D22" s="3">
        <v>0</v>
      </c>
      <c r="E22" s="3">
        <v>0</v>
      </c>
      <c r="F22" s="3">
        <v>0</v>
      </c>
      <c r="G22" s="3">
        <v>0</v>
      </c>
      <c r="H22" s="3">
        <v>147000</v>
      </c>
      <c r="I22" s="3">
        <v>0</v>
      </c>
      <c r="J22" s="3">
        <v>0</v>
      </c>
      <c r="K22" s="3">
        <f t="shared" si="0"/>
        <v>493000</v>
      </c>
      <c r="L22" s="3">
        <f t="shared" ref="K22:M35" si="2">+C22+F22+I22</f>
        <v>145000</v>
      </c>
      <c r="M22" s="3">
        <f t="shared" si="2"/>
        <v>0</v>
      </c>
      <c r="N22" s="3">
        <f t="shared" si="1"/>
        <v>638000</v>
      </c>
    </row>
    <row r="23" spans="1:15" x14ac:dyDescent="0.15">
      <c r="A23" s="1">
        <v>1991</v>
      </c>
      <c r="B23" s="3">
        <v>342000</v>
      </c>
      <c r="C23" s="3">
        <v>143000</v>
      </c>
      <c r="D23" s="3">
        <v>0</v>
      </c>
      <c r="E23" s="3">
        <v>0</v>
      </c>
      <c r="F23" s="3">
        <v>0</v>
      </c>
      <c r="G23" s="3">
        <v>0</v>
      </c>
      <c r="H23" s="3">
        <v>245000</v>
      </c>
      <c r="I23" s="3">
        <v>0</v>
      </c>
      <c r="J23" s="3">
        <v>0</v>
      </c>
      <c r="K23" s="3">
        <f t="shared" si="2"/>
        <v>587000</v>
      </c>
      <c r="L23" s="3">
        <f t="shared" si="2"/>
        <v>143000</v>
      </c>
      <c r="M23" s="3">
        <f t="shared" si="2"/>
        <v>0</v>
      </c>
      <c r="N23" s="3">
        <f t="shared" si="1"/>
        <v>730000</v>
      </c>
    </row>
    <row r="24" spans="1:15" x14ac:dyDescent="0.15">
      <c r="A24" s="1">
        <v>1992</v>
      </c>
      <c r="B24" s="3">
        <v>370000</v>
      </c>
      <c r="C24" s="3">
        <v>137000</v>
      </c>
      <c r="D24" s="3">
        <v>0</v>
      </c>
      <c r="E24" s="3">
        <v>0</v>
      </c>
      <c r="F24" s="3">
        <v>0</v>
      </c>
      <c r="G24" s="3">
        <v>0</v>
      </c>
      <c r="H24" s="3">
        <v>252000</v>
      </c>
      <c r="I24" s="3">
        <v>0</v>
      </c>
      <c r="J24" s="3">
        <v>0</v>
      </c>
      <c r="K24" s="3">
        <f t="shared" si="2"/>
        <v>622000</v>
      </c>
      <c r="L24" s="3">
        <f t="shared" si="2"/>
        <v>137000</v>
      </c>
      <c r="M24" s="3">
        <f t="shared" si="2"/>
        <v>0</v>
      </c>
      <c r="N24" s="3">
        <f t="shared" si="1"/>
        <v>759000</v>
      </c>
    </row>
    <row r="25" spans="1:15" x14ac:dyDescent="0.15">
      <c r="A25" s="1">
        <v>1993</v>
      </c>
      <c r="B25" s="3">
        <v>474000</v>
      </c>
      <c r="C25" s="3">
        <v>167000</v>
      </c>
      <c r="D25" s="3">
        <v>0</v>
      </c>
      <c r="E25" s="3">
        <v>106000</v>
      </c>
      <c r="F25" s="3">
        <v>0</v>
      </c>
      <c r="G25" s="3">
        <v>0</v>
      </c>
      <c r="H25" s="3">
        <v>265000</v>
      </c>
      <c r="I25" s="3">
        <v>0</v>
      </c>
      <c r="J25" s="3">
        <v>0</v>
      </c>
      <c r="K25" s="3">
        <f t="shared" si="2"/>
        <v>845000</v>
      </c>
      <c r="L25" s="3">
        <f t="shared" si="2"/>
        <v>167000</v>
      </c>
      <c r="M25" s="3">
        <f t="shared" si="2"/>
        <v>0</v>
      </c>
      <c r="N25" s="3">
        <f t="shared" si="1"/>
        <v>1012000</v>
      </c>
    </row>
    <row r="26" spans="1:15" x14ac:dyDescent="0.15">
      <c r="A26" s="1">
        <v>1994</v>
      </c>
      <c r="B26" s="3">
        <v>528000</v>
      </c>
      <c r="C26" s="3">
        <v>116000</v>
      </c>
      <c r="D26" s="3">
        <v>0</v>
      </c>
      <c r="E26" s="3">
        <v>106000</v>
      </c>
      <c r="F26" s="3">
        <v>0</v>
      </c>
      <c r="G26" s="3">
        <v>0</v>
      </c>
      <c r="H26" s="3">
        <v>265000</v>
      </c>
      <c r="I26" s="3">
        <v>0</v>
      </c>
      <c r="J26" s="3">
        <v>0</v>
      </c>
      <c r="K26" s="3">
        <f t="shared" si="2"/>
        <v>899000</v>
      </c>
      <c r="L26" s="3">
        <f t="shared" si="2"/>
        <v>116000</v>
      </c>
      <c r="M26" s="3">
        <f t="shared" si="2"/>
        <v>0</v>
      </c>
      <c r="N26" s="3">
        <f t="shared" si="1"/>
        <v>1015000</v>
      </c>
    </row>
    <row r="27" spans="1:15" x14ac:dyDescent="0.15">
      <c r="A27" s="1">
        <v>1995</v>
      </c>
      <c r="B27" s="3">
        <v>698268</v>
      </c>
      <c r="C27" s="3">
        <v>0</v>
      </c>
      <c r="D27" s="3">
        <v>0</v>
      </c>
      <c r="E27" s="3">
        <f>779000-B27</f>
        <v>80732</v>
      </c>
      <c r="F27" s="3">
        <v>27000</v>
      </c>
      <c r="G27" s="3">
        <v>0</v>
      </c>
      <c r="H27" s="3">
        <v>264000</v>
      </c>
      <c r="I27" s="3">
        <v>0</v>
      </c>
      <c r="J27" s="3">
        <v>0</v>
      </c>
      <c r="K27" s="3">
        <f t="shared" si="2"/>
        <v>1043000</v>
      </c>
      <c r="L27" s="3">
        <f t="shared" si="2"/>
        <v>27000</v>
      </c>
      <c r="M27" s="3">
        <f t="shared" si="2"/>
        <v>0</v>
      </c>
      <c r="N27" s="3">
        <f t="shared" si="1"/>
        <v>1070000</v>
      </c>
    </row>
    <row r="28" spans="1:15" x14ac:dyDescent="0.15">
      <c r="A28" s="1">
        <v>1996</v>
      </c>
      <c r="B28" s="3">
        <v>668494</v>
      </c>
      <c r="C28" s="3">
        <v>0</v>
      </c>
      <c r="D28" s="3">
        <v>0</v>
      </c>
      <c r="E28" s="3">
        <f>763000-B28</f>
        <v>94506</v>
      </c>
      <c r="F28" s="3">
        <v>13000</v>
      </c>
      <c r="G28" s="3">
        <v>0</v>
      </c>
      <c r="H28" s="3">
        <v>264000</v>
      </c>
      <c r="I28" s="3">
        <v>0</v>
      </c>
      <c r="J28" s="3">
        <v>0</v>
      </c>
      <c r="K28" s="3">
        <f t="shared" si="2"/>
        <v>1027000</v>
      </c>
      <c r="L28" s="3">
        <f t="shared" si="2"/>
        <v>13000</v>
      </c>
      <c r="M28" s="3">
        <f t="shared" si="2"/>
        <v>0</v>
      </c>
      <c r="N28" s="3">
        <f t="shared" si="1"/>
        <v>1040000</v>
      </c>
    </row>
    <row r="29" spans="1:15" x14ac:dyDescent="0.15">
      <c r="A29" s="1">
        <v>1997</v>
      </c>
      <c r="B29" s="3">
        <v>612118</v>
      </c>
      <c r="C29" s="3">
        <v>0</v>
      </c>
      <c r="D29" s="3">
        <v>0</v>
      </c>
      <c r="E29" s="3">
        <f>714000-B29</f>
        <v>101882</v>
      </c>
      <c r="F29" s="3">
        <v>10000</v>
      </c>
      <c r="G29" s="3">
        <v>0</v>
      </c>
      <c r="H29" s="3">
        <v>263000</v>
      </c>
      <c r="I29" s="3">
        <v>0</v>
      </c>
      <c r="J29" s="3">
        <v>0</v>
      </c>
      <c r="K29" s="3">
        <f t="shared" si="2"/>
        <v>977000</v>
      </c>
      <c r="L29" s="3">
        <f t="shared" si="2"/>
        <v>10000</v>
      </c>
      <c r="M29" s="3">
        <f t="shared" si="2"/>
        <v>0</v>
      </c>
      <c r="N29" s="3">
        <f t="shared" si="1"/>
        <v>987000</v>
      </c>
    </row>
    <row r="30" spans="1:15" x14ac:dyDescent="0.15">
      <c r="A30" s="1">
        <v>1998</v>
      </c>
      <c r="B30" s="3">
        <v>612118</v>
      </c>
      <c r="C30" s="3">
        <v>0</v>
      </c>
      <c r="D30" s="3">
        <v>0</v>
      </c>
      <c r="E30" s="3">
        <f>714000-B30</f>
        <v>101882</v>
      </c>
      <c r="F30" s="3">
        <v>10000</v>
      </c>
      <c r="G30" s="3">
        <v>0</v>
      </c>
      <c r="H30" s="3">
        <v>263000</v>
      </c>
      <c r="I30" s="3">
        <v>0</v>
      </c>
      <c r="J30" s="3">
        <v>0</v>
      </c>
      <c r="K30" s="3">
        <f t="shared" si="2"/>
        <v>977000</v>
      </c>
      <c r="L30" s="3">
        <f t="shared" si="2"/>
        <v>10000</v>
      </c>
      <c r="M30" s="3">
        <f t="shared" si="2"/>
        <v>0</v>
      </c>
      <c r="N30" s="3">
        <f t="shared" si="1"/>
        <v>987000</v>
      </c>
      <c r="O30" s="1" t="s">
        <v>221</v>
      </c>
    </row>
    <row r="31" spans="1:15" x14ac:dyDescent="0.15">
      <c r="A31" s="1">
        <v>1999</v>
      </c>
      <c r="B31" s="3">
        <v>644543</v>
      </c>
      <c r="C31" s="3">
        <v>0</v>
      </c>
      <c r="D31" s="3">
        <v>0</v>
      </c>
      <c r="E31" s="3">
        <f>756000-B31</f>
        <v>111457</v>
      </c>
      <c r="F31" s="3">
        <v>0</v>
      </c>
      <c r="G31" s="3">
        <v>0</v>
      </c>
      <c r="H31" s="3">
        <v>297000</v>
      </c>
      <c r="I31" s="3">
        <v>0</v>
      </c>
      <c r="J31" s="3">
        <v>0</v>
      </c>
      <c r="K31" s="3">
        <f t="shared" si="2"/>
        <v>1053000</v>
      </c>
      <c r="L31" s="3">
        <f t="shared" si="2"/>
        <v>0</v>
      </c>
      <c r="M31" s="3">
        <f t="shared" si="2"/>
        <v>0</v>
      </c>
      <c r="N31" s="3">
        <f t="shared" si="1"/>
        <v>1053000</v>
      </c>
    </row>
    <row r="32" spans="1:15" x14ac:dyDescent="0.15">
      <c r="A32" s="1">
        <v>2000</v>
      </c>
      <c r="B32" s="3">
        <v>718503</v>
      </c>
      <c r="C32" s="3">
        <v>0</v>
      </c>
      <c r="D32" s="3">
        <v>0</v>
      </c>
      <c r="E32" s="3">
        <v>111701</v>
      </c>
      <c r="F32" s="3">
        <v>0</v>
      </c>
      <c r="G32" s="3">
        <v>0</v>
      </c>
      <c r="H32" s="3">
        <v>297000</v>
      </c>
      <c r="I32" s="3">
        <v>0</v>
      </c>
      <c r="J32" s="3">
        <v>0</v>
      </c>
      <c r="K32" s="3">
        <f t="shared" si="2"/>
        <v>1127204</v>
      </c>
      <c r="L32" s="3">
        <f t="shared" si="2"/>
        <v>0</v>
      </c>
      <c r="M32" s="3">
        <f t="shared" si="2"/>
        <v>0</v>
      </c>
      <c r="N32" s="3">
        <f t="shared" si="1"/>
        <v>1127204</v>
      </c>
    </row>
    <row r="33" spans="1:14" x14ac:dyDescent="0.15">
      <c r="A33" s="1">
        <v>2001</v>
      </c>
      <c r="B33" s="3">
        <f>652163+47433</f>
        <v>699596</v>
      </c>
      <c r="C33" s="3">
        <v>0</v>
      </c>
      <c r="D33" s="3">
        <v>0</v>
      </c>
      <c r="E33" s="3">
        <v>0</v>
      </c>
      <c r="F33" s="3">
        <v>0</v>
      </c>
      <c r="G33" s="3">
        <v>0</v>
      </c>
      <c r="H33" s="3">
        <v>438000</v>
      </c>
      <c r="I33" s="3">
        <v>0</v>
      </c>
      <c r="J33" s="3">
        <v>0</v>
      </c>
      <c r="K33" s="3">
        <f t="shared" si="2"/>
        <v>1137596</v>
      </c>
      <c r="L33" s="3">
        <f t="shared" si="2"/>
        <v>0</v>
      </c>
      <c r="M33" s="3">
        <f t="shared" si="2"/>
        <v>0</v>
      </c>
      <c r="N33" s="3">
        <f t="shared" si="1"/>
        <v>1137596</v>
      </c>
    </row>
    <row r="34" spans="1:14" x14ac:dyDescent="0.15">
      <c r="A34" s="1">
        <v>2002</v>
      </c>
      <c r="B34" s="3">
        <v>814000</v>
      </c>
      <c r="C34" s="3">
        <v>0</v>
      </c>
      <c r="D34" s="3">
        <v>0</v>
      </c>
      <c r="E34" s="3">
        <v>0</v>
      </c>
      <c r="F34" s="3">
        <v>41000</v>
      </c>
      <c r="G34" s="3">
        <v>0</v>
      </c>
      <c r="H34" s="3">
        <v>3996000</v>
      </c>
      <c r="I34" s="3">
        <v>0</v>
      </c>
      <c r="J34" s="3">
        <v>0</v>
      </c>
      <c r="K34" s="3">
        <f t="shared" si="2"/>
        <v>4810000</v>
      </c>
      <c r="L34" s="3">
        <f t="shared" si="2"/>
        <v>41000</v>
      </c>
      <c r="M34" s="3">
        <f t="shared" si="2"/>
        <v>0</v>
      </c>
      <c r="N34" s="3">
        <f t="shared" si="1"/>
        <v>4851000</v>
      </c>
    </row>
    <row r="35" spans="1:14" x14ac:dyDescent="0.15">
      <c r="A35" s="1">
        <v>2003</v>
      </c>
      <c r="B35" s="3">
        <v>635336</v>
      </c>
      <c r="C35" s="3">
        <v>70593</v>
      </c>
      <c r="D35" s="3">
        <v>0</v>
      </c>
      <c r="E35" s="3">
        <v>238623</v>
      </c>
      <c r="F35" s="3">
        <v>14850</v>
      </c>
      <c r="G35" s="3">
        <v>0</v>
      </c>
      <c r="H35" s="3">
        <v>4180653</v>
      </c>
      <c r="I35" s="3">
        <v>0</v>
      </c>
      <c r="J35" s="3">
        <v>0</v>
      </c>
      <c r="K35" s="3">
        <f t="shared" si="2"/>
        <v>5054612</v>
      </c>
      <c r="L35" s="3">
        <f t="shared" si="2"/>
        <v>85443</v>
      </c>
      <c r="M35" s="3">
        <f t="shared" si="2"/>
        <v>0</v>
      </c>
      <c r="N35" s="3">
        <f t="shared" si="1"/>
        <v>5140055</v>
      </c>
    </row>
    <row r="36" spans="1:14" x14ac:dyDescent="0.15">
      <c r="A36" s="1">
        <v>2004</v>
      </c>
      <c r="B36" s="3">
        <v>721018</v>
      </c>
      <c r="C36" s="3">
        <v>0</v>
      </c>
      <c r="D36" s="3">
        <v>0</v>
      </c>
      <c r="E36" s="3">
        <v>102000</v>
      </c>
      <c r="F36" s="3">
        <v>0</v>
      </c>
      <c r="G36" s="3">
        <v>150000</v>
      </c>
      <c r="H36" s="3">
        <v>4158690</v>
      </c>
      <c r="I36" s="3">
        <v>0</v>
      </c>
      <c r="J36" s="3">
        <v>0</v>
      </c>
      <c r="K36" s="3">
        <v>4981708</v>
      </c>
      <c r="L36" s="3">
        <v>0</v>
      </c>
      <c r="M36" s="3">
        <v>150000</v>
      </c>
      <c r="N36" s="3">
        <v>5131708</v>
      </c>
    </row>
    <row r="37" spans="1:14" x14ac:dyDescent="0.15">
      <c r="A37" s="1">
        <v>2005</v>
      </c>
      <c r="B37" s="3">
        <v>721018</v>
      </c>
      <c r="C37" s="3">
        <v>0</v>
      </c>
      <c r="D37" s="3">
        <v>0</v>
      </c>
      <c r="E37" s="3">
        <v>255000</v>
      </c>
      <c r="F37" s="3">
        <v>0</v>
      </c>
      <c r="G37" s="3">
        <v>0</v>
      </c>
      <c r="H37" s="3">
        <v>4575114</v>
      </c>
      <c r="I37" s="3">
        <v>0</v>
      </c>
      <c r="J37" s="3">
        <v>0</v>
      </c>
      <c r="K37" s="3">
        <v>5551132</v>
      </c>
      <c r="L37" s="3">
        <v>0</v>
      </c>
      <c r="M37" s="3">
        <v>0</v>
      </c>
      <c r="N37" s="3">
        <v>5551132</v>
      </c>
    </row>
    <row r="38" spans="1:14" x14ac:dyDescent="0.15">
      <c r="A38" s="1">
        <v>2006</v>
      </c>
      <c r="B38" s="3">
        <v>862082</v>
      </c>
      <c r="C38" s="3">
        <v>0</v>
      </c>
      <c r="D38" s="3">
        <v>0</v>
      </c>
      <c r="E38" s="3">
        <v>102000</v>
      </c>
      <c r="F38" s="3">
        <v>0</v>
      </c>
      <c r="G38" s="3">
        <v>0</v>
      </c>
      <c r="H38" s="3">
        <v>4460416</v>
      </c>
      <c r="I38" s="3">
        <v>0</v>
      </c>
      <c r="J38" s="3">
        <v>0</v>
      </c>
      <c r="K38" s="3">
        <v>5424498</v>
      </c>
      <c r="L38" s="3">
        <v>0</v>
      </c>
      <c r="M38" s="3">
        <v>0</v>
      </c>
      <c r="N38" s="3">
        <v>5424498</v>
      </c>
    </row>
    <row r="39" spans="1:14" x14ac:dyDescent="0.15">
      <c r="A39" s="1">
        <v>2007</v>
      </c>
      <c r="B39" s="3">
        <v>711280</v>
      </c>
      <c r="C39" s="3">
        <v>0</v>
      </c>
      <c r="D39" s="3">
        <v>0</v>
      </c>
      <c r="E39" s="3">
        <v>261176</v>
      </c>
      <c r="F39" s="3">
        <v>0</v>
      </c>
      <c r="G39" s="3">
        <v>0</v>
      </c>
      <c r="H39" s="3">
        <v>4778000</v>
      </c>
      <c r="I39" s="3">
        <v>0</v>
      </c>
      <c r="J39" s="3">
        <v>0</v>
      </c>
      <c r="K39" s="3">
        <v>5750456</v>
      </c>
      <c r="L39" s="3">
        <v>0</v>
      </c>
      <c r="M39" s="3">
        <v>0</v>
      </c>
      <c r="N39" s="3">
        <v>5750456</v>
      </c>
    </row>
    <row r="40" spans="1:14" x14ac:dyDescent="0.15">
      <c r="A40" s="1">
        <v>2008</v>
      </c>
      <c r="B40" s="3">
        <v>1923705</v>
      </c>
      <c r="C40" s="3">
        <v>0</v>
      </c>
      <c r="D40" s="3">
        <v>0</v>
      </c>
      <c r="E40" s="3">
        <v>111000</v>
      </c>
      <c r="F40" s="3">
        <v>0</v>
      </c>
      <c r="G40" s="3">
        <v>862246</v>
      </c>
      <c r="H40" s="3">
        <v>4186239</v>
      </c>
      <c r="I40" s="3">
        <v>0</v>
      </c>
      <c r="J40" s="3">
        <v>0</v>
      </c>
      <c r="K40" s="3">
        <v>6220944</v>
      </c>
      <c r="L40" s="3">
        <v>0</v>
      </c>
      <c r="M40" s="3">
        <v>862246</v>
      </c>
      <c r="N40" s="3">
        <v>7083190</v>
      </c>
    </row>
    <row r="41" spans="1:14" x14ac:dyDescent="0.15">
      <c r="A41" s="1">
        <v>2009</v>
      </c>
      <c r="B41" s="3">
        <v>1777037</v>
      </c>
      <c r="C41" s="3">
        <v>0</v>
      </c>
      <c r="D41" s="3">
        <v>0</v>
      </c>
      <c r="E41" s="3">
        <v>817058</v>
      </c>
      <c r="F41" s="3">
        <v>0</v>
      </c>
      <c r="G41" s="3">
        <v>146457</v>
      </c>
      <c r="H41" s="3">
        <v>5476746</v>
      </c>
      <c r="I41" s="3">
        <v>0</v>
      </c>
      <c r="J41" s="3">
        <v>0</v>
      </c>
      <c r="K41" s="3">
        <v>8070841</v>
      </c>
      <c r="L41" s="3">
        <v>0</v>
      </c>
      <c r="M41" s="3">
        <v>146457</v>
      </c>
      <c r="N41" s="3">
        <v>8217298</v>
      </c>
    </row>
    <row r="42" spans="1:14" x14ac:dyDescent="0.15">
      <c r="A42" s="1">
        <v>2010</v>
      </c>
      <c r="B42" s="3">
        <v>979479</v>
      </c>
      <c r="C42" s="3">
        <v>0</v>
      </c>
      <c r="D42" s="3">
        <v>0</v>
      </c>
      <c r="E42" s="3">
        <v>862304</v>
      </c>
      <c r="F42" s="3">
        <v>0</v>
      </c>
      <c r="G42" s="3">
        <v>0</v>
      </c>
      <c r="H42" s="3">
        <v>3862209</v>
      </c>
      <c r="I42" s="3">
        <v>0</v>
      </c>
      <c r="J42" s="3">
        <v>357189</v>
      </c>
      <c r="K42" s="3">
        <v>5703992</v>
      </c>
      <c r="L42" s="3">
        <v>0</v>
      </c>
      <c r="M42" s="3">
        <v>357189</v>
      </c>
      <c r="N42" s="3">
        <v>6061181</v>
      </c>
    </row>
    <row r="43" spans="1:14" x14ac:dyDescent="0.15">
      <c r="A43" s="1">
        <v>2011</v>
      </c>
      <c r="B43" s="3">
        <v>349829</v>
      </c>
      <c r="C43" s="3">
        <v>0</v>
      </c>
      <c r="D43" s="3">
        <v>0</v>
      </c>
      <c r="E43" s="3">
        <v>971049</v>
      </c>
      <c r="F43" s="3">
        <v>0</v>
      </c>
      <c r="G43" s="3">
        <v>0</v>
      </c>
      <c r="H43" s="3">
        <v>3743157</v>
      </c>
      <c r="I43" s="3">
        <v>0</v>
      </c>
      <c r="J43" s="3">
        <v>0</v>
      </c>
      <c r="K43" s="3">
        <v>5064035</v>
      </c>
      <c r="L43" s="3">
        <v>0</v>
      </c>
      <c r="M43" s="3">
        <v>0</v>
      </c>
      <c r="N43" s="3">
        <v>5064035</v>
      </c>
    </row>
    <row r="44" spans="1:14" x14ac:dyDescent="0.15">
      <c r="A44" s="1">
        <v>2012</v>
      </c>
      <c r="B44" s="3">
        <v>964040</v>
      </c>
      <c r="C44" s="3">
        <v>0</v>
      </c>
      <c r="D44" s="3">
        <v>0</v>
      </c>
      <c r="E44" s="3">
        <v>816700</v>
      </c>
      <c r="F44" s="3">
        <v>0</v>
      </c>
      <c r="G44" s="3">
        <v>0</v>
      </c>
      <c r="H44" s="3">
        <v>4506203</v>
      </c>
      <c r="I44" s="3">
        <v>0</v>
      </c>
      <c r="J44" s="3">
        <v>0</v>
      </c>
      <c r="K44" s="3">
        <v>6286943</v>
      </c>
      <c r="L44" s="3">
        <v>0</v>
      </c>
      <c r="M44" s="3">
        <v>0</v>
      </c>
      <c r="N44" s="3">
        <v>6286943</v>
      </c>
    </row>
    <row r="45" spans="1:14" x14ac:dyDescent="0.15">
      <c r="A45" s="1">
        <v>2013</v>
      </c>
      <c r="B45" s="3">
        <v>892167</v>
      </c>
      <c r="C45" s="3">
        <v>0</v>
      </c>
      <c r="D45" s="3">
        <v>0</v>
      </c>
      <c r="E45" s="3">
        <v>208500</v>
      </c>
      <c r="F45" s="3">
        <v>0</v>
      </c>
      <c r="G45" s="3">
        <v>0</v>
      </c>
      <c r="H45" s="3">
        <v>4226638</v>
      </c>
      <c r="I45" s="3">
        <v>0</v>
      </c>
      <c r="J45" s="3">
        <v>0</v>
      </c>
      <c r="K45" s="3">
        <v>5327305</v>
      </c>
      <c r="L45" s="3">
        <v>0</v>
      </c>
      <c r="M45" s="3">
        <v>0</v>
      </c>
      <c r="N45" s="3">
        <v>5327305</v>
      </c>
    </row>
    <row r="46" spans="1:14" x14ac:dyDescent="0.15">
      <c r="A46" s="1">
        <v>2014</v>
      </c>
      <c r="B46" s="3">
        <v>1235989</v>
      </c>
      <c r="C46" s="3">
        <v>0</v>
      </c>
      <c r="D46" s="3">
        <v>0</v>
      </c>
      <c r="E46" s="3">
        <v>184039</v>
      </c>
      <c r="F46" s="3">
        <v>0</v>
      </c>
      <c r="G46" s="3">
        <v>0</v>
      </c>
      <c r="H46" s="3">
        <v>3559436</v>
      </c>
      <c r="I46" s="3">
        <v>0</v>
      </c>
      <c r="J46" s="3">
        <v>0</v>
      </c>
      <c r="K46" s="3">
        <v>4979464</v>
      </c>
      <c r="L46" s="3">
        <v>0</v>
      </c>
      <c r="M46" s="3">
        <v>0</v>
      </c>
      <c r="N46" s="3">
        <v>4979464</v>
      </c>
    </row>
    <row r="47" spans="1:14" x14ac:dyDescent="0.15">
      <c r="A47" s="1">
        <v>2015</v>
      </c>
      <c r="B47" s="3">
        <v>4889535</v>
      </c>
      <c r="C47" s="3">
        <v>0</v>
      </c>
      <c r="D47" s="3">
        <v>0</v>
      </c>
      <c r="E47" s="3">
        <v>0</v>
      </c>
      <c r="F47" s="3">
        <v>0</v>
      </c>
      <c r="G47" s="3">
        <v>0</v>
      </c>
      <c r="H47" s="3">
        <v>214926</v>
      </c>
      <c r="I47" s="3">
        <v>0</v>
      </c>
      <c r="J47" s="3">
        <v>0</v>
      </c>
      <c r="K47" s="3">
        <v>5104461</v>
      </c>
      <c r="L47" s="3">
        <v>0</v>
      </c>
      <c r="M47" s="3">
        <v>0</v>
      </c>
      <c r="N47" s="3">
        <v>5104461</v>
      </c>
    </row>
    <row r="48" spans="1:14" x14ac:dyDescent="0.15">
      <c r="A48" s="1">
        <v>2016</v>
      </c>
      <c r="B48" s="3">
        <v>5091848</v>
      </c>
      <c r="C48" s="3">
        <v>0</v>
      </c>
      <c r="D48" s="3">
        <v>0</v>
      </c>
      <c r="E48" s="3">
        <v>0</v>
      </c>
      <c r="F48" s="3">
        <v>0</v>
      </c>
      <c r="G48" s="3">
        <v>0</v>
      </c>
      <c r="H48" s="3">
        <v>236037</v>
      </c>
      <c r="I48" s="3">
        <v>0</v>
      </c>
      <c r="J48" s="3">
        <v>0</v>
      </c>
      <c r="K48" s="3">
        <v>5327885</v>
      </c>
      <c r="L48" s="3">
        <v>0</v>
      </c>
      <c r="M48" s="3">
        <v>0</v>
      </c>
      <c r="N48" s="3">
        <v>5327885</v>
      </c>
    </row>
  </sheetData>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2" style="1" customWidth="1"/>
    <col min="3" max="10" width="10.625" style="1"/>
    <col min="11" max="14" width="11.625" style="1" customWidth="1"/>
    <col min="15" max="16384" width="10.625" style="1"/>
  </cols>
  <sheetData>
    <row r="1" spans="1:15" x14ac:dyDescent="0.15">
      <c r="A1" s="1" t="s">
        <v>25</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53767000</v>
      </c>
      <c r="C6" s="3">
        <v>0</v>
      </c>
      <c r="D6" s="3">
        <v>0</v>
      </c>
      <c r="E6" s="3">
        <v>0</v>
      </c>
      <c r="F6" s="3">
        <v>0</v>
      </c>
      <c r="G6" s="3">
        <v>0</v>
      </c>
      <c r="H6" s="3">
        <v>0</v>
      </c>
      <c r="I6" s="3">
        <v>0</v>
      </c>
      <c r="J6" s="3">
        <v>0</v>
      </c>
      <c r="K6" s="3">
        <f t="shared" ref="K6:M21" si="0">+B6+E6+H6</f>
        <v>53767000</v>
      </c>
      <c r="L6" s="3">
        <f t="shared" si="0"/>
        <v>0</v>
      </c>
      <c r="M6" s="3">
        <f t="shared" si="0"/>
        <v>0</v>
      </c>
      <c r="N6" s="3">
        <f t="shared" ref="N6:N35" si="1">+M6+L6+K6</f>
        <v>53767000</v>
      </c>
      <c r="O6" s="1" t="s">
        <v>38</v>
      </c>
    </row>
    <row r="7" spans="1:15" x14ac:dyDescent="0.15">
      <c r="A7" s="1">
        <v>1975</v>
      </c>
      <c r="B7" s="3">
        <v>58403000</v>
      </c>
      <c r="C7" s="3">
        <v>0</v>
      </c>
      <c r="D7" s="3">
        <v>0</v>
      </c>
      <c r="E7" s="3">
        <v>0</v>
      </c>
      <c r="F7" s="3">
        <v>0</v>
      </c>
      <c r="G7" s="3">
        <v>0</v>
      </c>
      <c r="H7" s="3">
        <v>0</v>
      </c>
      <c r="I7" s="3">
        <v>0</v>
      </c>
      <c r="J7" s="3">
        <v>0</v>
      </c>
      <c r="K7" s="3">
        <f t="shared" si="0"/>
        <v>58403000</v>
      </c>
      <c r="L7" s="3">
        <f t="shared" si="0"/>
        <v>0</v>
      </c>
      <c r="M7" s="3">
        <f t="shared" si="0"/>
        <v>0</v>
      </c>
      <c r="N7" s="3">
        <f t="shared" si="1"/>
        <v>58403000</v>
      </c>
    </row>
    <row r="8" spans="1:15" x14ac:dyDescent="0.15">
      <c r="A8" s="1">
        <v>1976</v>
      </c>
      <c r="B8" s="3">
        <v>68200000</v>
      </c>
      <c r="C8" s="3">
        <v>0</v>
      </c>
      <c r="D8" s="3">
        <v>0</v>
      </c>
      <c r="E8" s="3">
        <v>0</v>
      </c>
      <c r="F8" s="3">
        <v>0</v>
      </c>
      <c r="G8" s="3">
        <v>0</v>
      </c>
      <c r="H8" s="3">
        <v>0</v>
      </c>
      <c r="I8" s="3">
        <v>0</v>
      </c>
      <c r="J8" s="3">
        <v>0</v>
      </c>
      <c r="K8" s="3">
        <f t="shared" si="0"/>
        <v>68200000</v>
      </c>
      <c r="L8" s="3">
        <f t="shared" si="0"/>
        <v>0</v>
      </c>
      <c r="M8" s="3">
        <f t="shared" si="0"/>
        <v>0</v>
      </c>
      <c r="N8" s="3">
        <f t="shared" si="1"/>
        <v>68200000</v>
      </c>
    </row>
    <row r="9" spans="1:15" x14ac:dyDescent="0.15">
      <c r="A9" s="1">
        <v>1977</v>
      </c>
      <c r="B9" s="3">
        <v>69721000</v>
      </c>
      <c r="C9" s="3">
        <v>0</v>
      </c>
      <c r="D9" s="3">
        <v>0</v>
      </c>
      <c r="E9" s="3">
        <v>0</v>
      </c>
      <c r="F9" s="3">
        <v>0</v>
      </c>
      <c r="G9" s="3">
        <v>0</v>
      </c>
      <c r="H9" s="3">
        <v>0</v>
      </c>
      <c r="I9" s="3">
        <v>0</v>
      </c>
      <c r="J9" s="3">
        <v>0</v>
      </c>
      <c r="K9" s="3">
        <f t="shared" si="0"/>
        <v>69721000</v>
      </c>
      <c r="L9" s="3">
        <f t="shared" si="0"/>
        <v>0</v>
      </c>
      <c r="M9" s="3">
        <f t="shared" si="0"/>
        <v>0</v>
      </c>
      <c r="N9" s="3">
        <f t="shared" si="1"/>
        <v>69721000</v>
      </c>
    </row>
    <row r="10" spans="1:15" x14ac:dyDescent="0.15">
      <c r="A10" s="1">
        <v>1978</v>
      </c>
      <c r="B10" s="3">
        <v>74150000</v>
      </c>
      <c r="C10" s="3">
        <v>0</v>
      </c>
      <c r="D10" s="3">
        <v>0</v>
      </c>
      <c r="E10" s="3">
        <v>0</v>
      </c>
      <c r="F10" s="3">
        <v>0</v>
      </c>
      <c r="G10" s="3">
        <v>0</v>
      </c>
      <c r="H10" s="3">
        <v>0</v>
      </c>
      <c r="I10" s="3">
        <v>0</v>
      </c>
      <c r="J10" s="3">
        <v>0</v>
      </c>
      <c r="K10" s="3">
        <f t="shared" si="0"/>
        <v>74150000</v>
      </c>
      <c r="L10" s="3">
        <f t="shared" si="0"/>
        <v>0</v>
      </c>
      <c r="M10" s="3">
        <f t="shared" si="0"/>
        <v>0</v>
      </c>
      <c r="N10" s="3">
        <f t="shared" si="1"/>
        <v>74150000</v>
      </c>
    </row>
    <row r="11" spans="1:15" x14ac:dyDescent="0.15">
      <c r="A11" s="1">
        <v>1979</v>
      </c>
      <c r="B11" s="3">
        <v>79625000</v>
      </c>
      <c r="C11" s="3">
        <v>0</v>
      </c>
      <c r="D11" s="3">
        <v>0</v>
      </c>
      <c r="E11" s="3">
        <v>0</v>
      </c>
      <c r="F11" s="3">
        <v>0</v>
      </c>
      <c r="G11" s="3">
        <v>0</v>
      </c>
      <c r="H11" s="3">
        <v>0</v>
      </c>
      <c r="I11" s="3">
        <v>0</v>
      </c>
      <c r="J11" s="3">
        <v>0</v>
      </c>
      <c r="K11" s="3">
        <f t="shared" si="0"/>
        <v>79625000</v>
      </c>
      <c r="L11" s="3">
        <f t="shared" si="0"/>
        <v>0</v>
      </c>
      <c r="M11" s="3">
        <f t="shared" si="0"/>
        <v>0</v>
      </c>
      <c r="N11" s="3">
        <f t="shared" si="1"/>
        <v>79625000</v>
      </c>
    </row>
    <row r="12" spans="1:15" x14ac:dyDescent="0.15">
      <c r="A12" s="1">
        <v>1980</v>
      </c>
      <c r="B12" s="3">
        <v>83052000</v>
      </c>
      <c r="C12" s="3">
        <v>0</v>
      </c>
      <c r="D12" s="3">
        <v>0</v>
      </c>
      <c r="E12" s="3">
        <v>0</v>
      </c>
      <c r="F12" s="3">
        <v>0</v>
      </c>
      <c r="G12" s="3">
        <v>0</v>
      </c>
      <c r="H12" s="3">
        <v>0</v>
      </c>
      <c r="I12" s="3">
        <v>0</v>
      </c>
      <c r="J12" s="3">
        <v>0</v>
      </c>
      <c r="K12" s="3">
        <f t="shared" si="0"/>
        <v>83052000</v>
      </c>
      <c r="L12" s="3">
        <f t="shared" si="0"/>
        <v>0</v>
      </c>
      <c r="M12" s="3">
        <f t="shared" si="0"/>
        <v>0</v>
      </c>
      <c r="N12" s="3">
        <f t="shared" si="1"/>
        <v>83052000</v>
      </c>
    </row>
    <row r="13" spans="1:15" x14ac:dyDescent="0.15">
      <c r="A13" s="1">
        <v>1981</v>
      </c>
      <c r="B13" s="3">
        <v>85573000</v>
      </c>
      <c r="C13" s="3">
        <v>0</v>
      </c>
      <c r="D13" s="3">
        <v>0</v>
      </c>
      <c r="E13" s="3">
        <v>0</v>
      </c>
      <c r="F13" s="3">
        <v>0</v>
      </c>
      <c r="G13" s="3">
        <v>0</v>
      </c>
      <c r="H13" s="3">
        <v>0</v>
      </c>
      <c r="I13" s="3">
        <v>0</v>
      </c>
      <c r="J13" s="3">
        <v>0</v>
      </c>
      <c r="K13" s="3">
        <f t="shared" si="0"/>
        <v>85573000</v>
      </c>
      <c r="L13" s="3">
        <f t="shared" si="0"/>
        <v>0</v>
      </c>
      <c r="M13" s="3">
        <f t="shared" si="0"/>
        <v>0</v>
      </c>
      <c r="N13" s="3">
        <f t="shared" si="1"/>
        <v>85573000</v>
      </c>
    </row>
    <row r="14" spans="1:15" x14ac:dyDescent="0.15">
      <c r="A14" s="1">
        <v>1982</v>
      </c>
      <c r="B14" s="3">
        <v>89393000</v>
      </c>
      <c r="C14" s="3">
        <v>0</v>
      </c>
      <c r="D14" s="3">
        <v>0</v>
      </c>
      <c r="E14" s="3">
        <v>241000</v>
      </c>
      <c r="F14" s="3">
        <v>0</v>
      </c>
      <c r="G14" s="3">
        <v>0</v>
      </c>
      <c r="H14" s="3">
        <v>177000</v>
      </c>
      <c r="I14" s="3">
        <v>0</v>
      </c>
      <c r="J14" s="3">
        <v>0</v>
      </c>
      <c r="K14" s="3">
        <f t="shared" si="0"/>
        <v>89811000</v>
      </c>
      <c r="L14" s="3">
        <f t="shared" si="0"/>
        <v>0</v>
      </c>
      <c r="M14" s="3">
        <f t="shared" si="0"/>
        <v>0</v>
      </c>
      <c r="N14" s="3">
        <f t="shared" si="1"/>
        <v>89811000</v>
      </c>
      <c r="O14" s="1" t="s">
        <v>153</v>
      </c>
    </row>
    <row r="15" spans="1:15" x14ac:dyDescent="0.15">
      <c r="A15" s="1">
        <v>1983</v>
      </c>
      <c r="B15" s="3">
        <v>94896000</v>
      </c>
      <c r="C15" s="3">
        <v>0</v>
      </c>
      <c r="D15" s="3">
        <v>0</v>
      </c>
      <c r="E15" s="3">
        <v>275000</v>
      </c>
      <c r="F15" s="3">
        <v>0</v>
      </c>
      <c r="G15" s="3">
        <v>0</v>
      </c>
      <c r="H15" s="3">
        <v>480000</v>
      </c>
      <c r="I15" s="3">
        <v>0</v>
      </c>
      <c r="J15" s="3">
        <v>0</v>
      </c>
      <c r="K15" s="3">
        <f t="shared" si="0"/>
        <v>95651000</v>
      </c>
      <c r="L15" s="3">
        <f t="shared" si="0"/>
        <v>0</v>
      </c>
      <c r="M15" s="3">
        <f t="shared" si="0"/>
        <v>0</v>
      </c>
      <c r="N15" s="3">
        <f t="shared" si="1"/>
        <v>95651000</v>
      </c>
      <c r="O15" s="1" t="s">
        <v>154</v>
      </c>
    </row>
    <row r="16" spans="1:15" x14ac:dyDescent="0.15">
      <c r="A16" s="1">
        <v>1984</v>
      </c>
      <c r="B16" s="3">
        <v>104269000</v>
      </c>
      <c r="C16" s="3">
        <v>0</v>
      </c>
      <c r="D16" s="3">
        <v>0</v>
      </c>
      <c r="E16" s="3">
        <v>320000</v>
      </c>
      <c r="F16" s="3">
        <v>0</v>
      </c>
      <c r="G16" s="3">
        <v>0</v>
      </c>
      <c r="H16" s="3">
        <v>541000</v>
      </c>
      <c r="I16" s="3">
        <v>0</v>
      </c>
      <c r="J16" s="3">
        <v>0</v>
      </c>
      <c r="K16" s="3">
        <f t="shared" si="0"/>
        <v>105130000</v>
      </c>
      <c r="L16" s="3">
        <f t="shared" si="0"/>
        <v>0</v>
      </c>
      <c r="M16" s="3">
        <f t="shared" si="0"/>
        <v>0</v>
      </c>
      <c r="N16" s="3">
        <f t="shared" si="1"/>
        <v>105130000</v>
      </c>
    </row>
    <row r="17" spans="1:15" x14ac:dyDescent="0.15">
      <c r="A17" s="1">
        <v>1985</v>
      </c>
      <c r="B17" s="3">
        <v>110400000</v>
      </c>
      <c r="C17" s="3">
        <v>0</v>
      </c>
      <c r="D17" s="3">
        <v>0</v>
      </c>
      <c r="E17" s="3">
        <v>700000</v>
      </c>
      <c r="F17" s="3">
        <v>0</v>
      </c>
      <c r="G17" s="3">
        <v>0</v>
      </c>
      <c r="H17" s="3">
        <v>1065000</v>
      </c>
      <c r="I17" s="3">
        <v>0</v>
      </c>
      <c r="J17" s="3">
        <v>0</v>
      </c>
      <c r="K17" s="3">
        <f t="shared" si="0"/>
        <v>112165000</v>
      </c>
      <c r="L17" s="3">
        <f t="shared" si="0"/>
        <v>0</v>
      </c>
      <c r="M17" s="3">
        <f t="shared" si="0"/>
        <v>0</v>
      </c>
      <c r="N17" s="3">
        <f t="shared" si="1"/>
        <v>112165000</v>
      </c>
    </row>
    <row r="18" spans="1:15" x14ac:dyDescent="0.15">
      <c r="A18" s="1">
        <v>1986</v>
      </c>
      <c r="B18" s="3">
        <v>122502000</v>
      </c>
      <c r="C18" s="3">
        <v>0</v>
      </c>
      <c r="D18" s="3">
        <v>0</v>
      </c>
      <c r="E18" s="3">
        <v>700000</v>
      </c>
      <c r="F18" s="3">
        <v>0</v>
      </c>
      <c r="G18" s="3">
        <v>0</v>
      </c>
      <c r="H18" s="3">
        <v>3750000</v>
      </c>
      <c r="I18" s="3">
        <v>0</v>
      </c>
      <c r="J18" s="3">
        <v>0</v>
      </c>
      <c r="K18" s="3">
        <f t="shared" si="0"/>
        <v>126952000</v>
      </c>
      <c r="L18" s="3">
        <f t="shared" si="0"/>
        <v>0</v>
      </c>
      <c r="M18" s="3">
        <f t="shared" si="0"/>
        <v>0</v>
      </c>
      <c r="N18" s="3">
        <f t="shared" si="1"/>
        <v>126952000</v>
      </c>
    </row>
    <row r="19" spans="1:15" x14ac:dyDescent="0.15">
      <c r="A19" s="1">
        <v>1987</v>
      </c>
      <c r="B19" s="3">
        <v>132086000</v>
      </c>
      <c r="C19" s="3">
        <v>0</v>
      </c>
      <c r="D19" s="3">
        <v>0</v>
      </c>
      <c r="E19" s="3">
        <v>776000</v>
      </c>
      <c r="F19" s="3">
        <v>0</v>
      </c>
      <c r="G19" s="3">
        <v>0</v>
      </c>
      <c r="H19" s="3">
        <v>10217000</v>
      </c>
      <c r="I19" s="3">
        <v>0</v>
      </c>
      <c r="J19" s="3">
        <v>0</v>
      </c>
      <c r="K19" s="3">
        <f t="shared" si="0"/>
        <v>143079000</v>
      </c>
      <c r="L19" s="3">
        <f t="shared" si="0"/>
        <v>0</v>
      </c>
      <c r="M19" s="3">
        <f t="shared" si="0"/>
        <v>0</v>
      </c>
      <c r="N19" s="3">
        <f t="shared" si="1"/>
        <v>143079000</v>
      </c>
    </row>
    <row r="20" spans="1:15" x14ac:dyDescent="0.15">
      <c r="A20" s="1">
        <v>1988</v>
      </c>
      <c r="B20" s="3">
        <v>135400000</v>
      </c>
      <c r="C20" s="3">
        <v>0</v>
      </c>
      <c r="D20" s="3">
        <v>0</v>
      </c>
      <c r="E20" s="3">
        <v>372000</v>
      </c>
      <c r="F20" s="3">
        <v>0</v>
      </c>
      <c r="G20" s="3">
        <v>0</v>
      </c>
      <c r="H20" s="3">
        <v>7971000</v>
      </c>
      <c r="I20" s="3">
        <v>0</v>
      </c>
      <c r="J20" s="3">
        <v>0</v>
      </c>
      <c r="K20" s="3">
        <f t="shared" si="0"/>
        <v>143743000</v>
      </c>
      <c r="L20" s="3">
        <f t="shared" si="0"/>
        <v>0</v>
      </c>
      <c r="M20" s="3">
        <f t="shared" si="0"/>
        <v>0</v>
      </c>
      <c r="N20" s="3">
        <f t="shared" si="1"/>
        <v>143743000</v>
      </c>
    </row>
    <row r="21" spans="1:15" x14ac:dyDescent="0.15">
      <c r="A21" s="1">
        <v>1989</v>
      </c>
      <c r="B21" s="3">
        <v>146558000</v>
      </c>
      <c r="C21" s="3">
        <v>0</v>
      </c>
      <c r="D21" s="3">
        <v>0</v>
      </c>
      <c r="E21" s="3">
        <v>745000</v>
      </c>
      <c r="F21" s="3">
        <v>0</v>
      </c>
      <c r="G21" s="3">
        <v>0</v>
      </c>
      <c r="H21" s="3">
        <v>8475000</v>
      </c>
      <c r="I21" s="3">
        <v>0</v>
      </c>
      <c r="J21" s="3">
        <v>0</v>
      </c>
      <c r="K21" s="3">
        <f t="shared" si="0"/>
        <v>155778000</v>
      </c>
      <c r="L21" s="3">
        <f t="shared" si="0"/>
        <v>0</v>
      </c>
      <c r="M21" s="3">
        <f t="shared" si="0"/>
        <v>0</v>
      </c>
      <c r="N21" s="3">
        <f t="shared" si="1"/>
        <v>155778000</v>
      </c>
    </row>
    <row r="22" spans="1:15" x14ac:dyDescent="0.15">
      <c r="A22" s="1">
        <v>1990</v>
      </c>
      <c r="B22" s="3">
        <v>179700000</v>
      </c>
      <c r="C22" s="3">
        <v>0</v>
      </c>
      <c r="D22" s="3">
        <v>0</v>
      </c>
      <c r="E22" s="3">
        <v>1100000</v>
      </c>
      <c r="F22" s="3">
        <v>0</v>
      </c>
      <c r="G22" s="3">
        <v>0</v>
      </c>
      <c r="H22" s="3">
        <v>19385000</v>
      </c>
      <c r="I22" s="3">
        <v>0</v>
      </c>
      <c r="J22" s="3">
        <v>0</v>
      </c>
      <c r="K22" s="3">
        <f t="shared" ref="K22:M35" si="2">+B22+E22+H22</f>
        <v>200185000</v>
      </c>
      <c r="L22" s="3">
        <f t="shared" si="2"/>
        <v>0</v>
      </c>
      <c r="M22" s="3">
        <f t="shared" si="2"/>
        <v>0</v>
      </c>
      <c r="N22" s="3">
        <f t="shared" si="1"/>
        <v>200185000</v>
      </c>
      <c r="O22" s="1" t="s">
        <v>179</v>
      </c>
    </row>
    <row r="23" spans="1:15" x14ac:dyDescent="0.15">
      <c r="A23" s="1">
        <v>1991</v>
      </c>
      <c r="B23" s="3">
        <v>179550000</v>
      </c>
      <c r="C23" s="3">
        <v>0</v>
      </c>
      <c r="D23" s="3">
        <v>0</v>
      </c>
      <c r="E23" s="3">
        <v>1100000</v>
      </c>
      <c r="F23" s="3">
        <v>0</v>
      </c>
      <c r="G23" s="3">
        <v>0</v>
      </c>
      <c r="H23" s="3">
        <v>18285000</v>
      </c>
      <c r="I23" s="3">
        <v>0</v>
      </c>
      <c r="J23" s="3">
        <v>0</v>
      </c>
      <c r="K23" s="3">
        <f t="shared" si="2"/>
        <v>198935000</v>
      </c>
      <c r="L23" s="3">
        <f t="shared" si="2"/>
        <v>0</v>
      </c>
      <c r="M23" s="3">
        <f t="shared" si="2"/>
        <v>0</v>
      </c>
      <c r="N23" s="3">
        <f t="shared" si="1"/>
        <v>198935000</v>
      </c>
    </row>
    <row r="24" spans="1:15" x14ac:dyDescent="0.15">
      <c r="A24" s="1">
        <v>1992</v>
      </c>
      <c r="B24" s="3">
        <v>183107000</v>
      </c>
      <c r="C24" s="3">
        <v>0</v>
      </c>
      <c r="D24" s="3">
        <v>0</v>
      </c>
      <c r="E24" s="3">
        <v>1600000</v>
      </c>
      <c r="F24" s="3">
        <v>0</v>
      </c>
      <c r="G24" s="3">
        <v>0</v>
      </c>
      <c r="H24" s="3">
        <v>20624000</v>
      </c>
      <c r="I24" s="3">
        <v>0</v>
      </c>
      <c r="J24" s="3">
        <v>0</v>
      </c>
      <c r="K24" s="3">
        <f t="shared" si="2"/>
        <v>205331000</v>
      </c>
      <c r="L24" s="3">
        <f t="shared" si="2"/>
        <v>0</v>
      </c>
      <c r="M24" s="3">
        <f t="shared" si="2"/>
        <v>0</v>
      </c>
      <c r="N24" s="3">
        <f t="shared" si="1"/>
        <v>205331000</v>
      </c>
    </row>
    <row r="25" spans="1:15" x14ac:dyDescent="0.15">
      <c r="A25" s="1">
        <v>1993</v>
      </c>
      <c r="B25" s="3">
        <v>201932000</v>
      </c>
      <c r="C25" s="3">
        <v>0</v>
      </c>
      <c r="D25" s="3">
        <v>0</v>
      </c>
      <c r="E25" s="3">
        <v>1600000</v>
      </c>
      <c r="F25" s="3">
        <v>0</v>
      </c>
      <c r="G25" s="3">
        <v>0</v>
      </c>
      <c r="H25" s="3">
        <v>16918000</v>
      </c>
      <c r="I25" s="3">
        <v>1200000</v>
      </c>
      <c r="J25" s="3">
        <v>0</v>
      </c>
      <c r="K25" s="3">
        <f t="shared" si="2"/>
        <v>220450000</v>
      </c>
      <c r="L25" s="3">
        <f t="shared" si="2"/>
        <v>1200000</v>
      </c>
      <c r="M25" s="3">
        <f t="shared" si="2"/>
        <v>0</v>
      </c>
      <c r="N25" s="3">
        <f t="shared" si="1"/>
        <v>221650000</v>
      </c>
      <c r="O25" s="1" t="s">
        <v>189</v>
      </c>
    </row>
    <row r="26" spans="1:15" x14ac:dyDescent="0.15">
      <c r="A26" s="1">
        <v>1994</v>
      </c>
      <c r="B26" s="3">
        <v>213209000</v>
      </c>
      <c r="C26" s="3">
        <v>0</v>
      </c>
      <c r="D26" s="3">
        <v>0</v>
      </c>
      <c r="E26" s="3">
        <v>1600000</v>
      </c>
      <c r="F26" s="3">
        <v>0</v>
      </c>
      <c r="G26" s="3">
        <v>0</v>
      </c>
      <c r="H26" s="3">
        <v>16621000</v>
      </c>
      <c r="I26" s="3">
        <v>1200000</v>
      </c>
      <c r="J26" s="3">
        <v>0</v>
      </c>
      <c r="K26" s="3">
        <f t="shared" si="2"/>
        <v>231430000</v>
      </c>
      <c r="L26" s="3">
        <f t="shared" si="2"/>
        <v>1200000</v>
      </c>
      <c r="M26" s="3">
        <f t="shared" si="2"/>
        <v>0</v>
      </c>
      <c r="N26" s="3">
        <f t="shared" si="1"/>
        <v>232630000</v>
      </c>
    </row>
    <row r="27" spans="1:15" x14ac:dyDescent="0.15">
      <c r="A27" s="1">
        <v>1995</v>
      </c>
      <c r="B27" s="3">
        <v>239684210</v>
      </c>
      <c r="C27" s="3">
        <v>0</v>
      </c>
      <c r="D27" s="3">
        <v>0</v>
      </c>
      <c r="E27" s="3">
        <f>244352000-B27</f>
        <v>4667790</v>
      </c>
      <c r="F27" s="3">
        <v>0</v>
      </c>
      <c r="G27" s="3">
        <v>0</v>
      </c>
      <c r="H27" s="3">
        <v>25970000</v>
      </c>
      <c r="I27" s="3">
        <v>0</v>
      </c>
      <c r="J27" s="3">
        <v>0</v>
      </c>
      <c r="K27" s="3">
        <f t="shared" si="2"/>
        <v>270322000</v>
      </c>
      <c r="L27" s="3">
        <f t="shared" si="2"/>
        <v>0</v>
      </c>
      <c r="M27" s="3">
        <f t="shared" si="2"/>
        <v>0</v>
      </c>
      <c r="N27" s="3">
        <f t="shared" si="1"/>
        <v>270322000</v>
      </c>
    </row>
    <row r="28" spans="1:15" x14ac:dyDescent="0.15">
      <c r="A28" s="1">
        <v>1996</v>
      </c>
      <c r="B28" s="3">
        <v>255271943</v>
      </c>
      <c r="C28" s="3">
        <v>0</v>
      </c>
      <c r="D28" s="3">
        <v>0</v>
      </c>
      <c r="E28" s="3">
        <v>1600000</v>
      </c>
      <c r="F28" s="3">
        <v>0</v>
      </c>
      <c r="G28" s="3">
        <v>0</v>
      </c>
      <c r="H28" s="3">
        <v>25937000</v>
      </c>
      <c r="I28" s="3">
        <v>0</v>
      </c>
      <c r="J28" s="3">
        <v>0</v>
      </c>
      <c r="K28" s="3">
        <f t="shared" si="2"/>
        <v>282808943</v>
      </c>
      <c r="L28" s="3">
        <f t="shared" si="2"/>
        <v>0</v>
      </c>
      <c r="M28" s="3">
        <f t="shared" si="2"/>
        <v>0</v>
      </c>
      <c r="N28" s="3">
        <f t="shared" si="1"/>
        <v>282808943</v>
      </c>
    </row>
    <row r="29" spans="1:15" x14ac:dyDescent="0.15">
      <c r="A29" s="1">
        <v>1997</v>
      </c>
      <c r="B29" s="3">
        <v>263261987</v>
      </c>
      <c r="C29" s="3">
        <v>0</v>
      </c>
      <c r="D29" s="3">
        <v>0</v>
      </c>
      <c r="E29" s="3">
        <f>1696714+7939250</f>
        <v>9635964</v>
      </c>
      <c r="F29" s="3">
        <v>0</v>
      </c>
      <c r="G29" s="3">
        <v>0</v>
      </c>
      <c r="H29" s="3">
        <v>26095000</v>
      </c>
      <c r="I29" s="3">
        <v>0</v>
      </c>
      <c r="J29" s="3">
        <v>0</v>
      </c>
      <c r="K29" s="3">
        <f t="shared" si="2"/>
        <v>298992951</v>
      </c>
      <c r="L29" s="3">
        <f t="shared" si="2"/>
        <v>0</v>
      </c>
      <c r="M29" s="3">
        <f t="shared" si="2"/>
        <v>0</v>
      </c>
      <c r="N29" s="3">
        <f t="shared" si="1"/>
        <v>298992951</v>
      </c>
    </row>
    <row r="30" spans="1:15" x14ac:dyDescent="0.15">
      <c r="A30" s="1">
        <v>1998</v>
      </c>
      <c r="B30" s="3">
        <f>145429655+134242759</f>
        <v>279672414</v>
      </c>
      <c r="C30" s="3">
        <v>0</v>
      </c>
      <c r="D30" s="3">
        <v>0</v>
      </c>
      <c r="E30" s="3">
        <f>288872000-B30</f>
        <v>9199586</v>
      </c>
      <c r="F30" s="3">
        <v>0</v>
      </c>
      <c r="G30" s="3">
        <v>0</v>
      </c>
      <c r="H30" s="3">
        <v>22586000</v>
      </c>
      <c r="I30" s="3">
        <v>0</v>
      </c>
      <c r="J30" s="3">
        <v>0</v>
      </c>
      <c r="K30" s="3">
        <f t="shared" si="2"/>
        <v>311458000</v>
      </c>
      <c r="L30" s="3">
        <f t="shared" si="2"/>
        <v>0</v>
      </c>
      <c r="M30" s="3">
        <f t="shared" si="2"/>
        <v>0</v>
      </c>
      <c r="N30" s="3">
        <f t="shared" si="1"/>
        <v>311458000</v>
      </c>
    </row>
    <row r="31" spans="1:15" x14ac:dyDescent="0.15">
      <c r="A31" s="1">
        <v>1999</v>
      </c>
      <c r="B31" s="3">
        <v>306668400</v>
      </c>
      <c r="C31" s="3">
        <v>0</v>
      </c>
      <c r="D31" s="3">
        <v>0</v>
      </c>
      <c r="E31" s="3">
        <f>315657000-B31</f>
        <v>8988600</v>
      </c>
      <c r="F31" s="3">
        <v>0</v>
      </c>
      <c r="G31" s="3">
        <v>0</v>
      </c>
      <c r="H31" s="3">
        <v>22471000</v>
      </c>
      <c r="I31" s="3">
        <v>0</v>
      </c>
      <c r="J31" s="3">
        <v>0</v>
      </c>
      <c r="K31" s="3">
        <f t="shared" si="2"/>
        <v>338128000</v>
      </c>
      <c r="L31" s="3">
        <f t="shared" si="2"/>
        <v>0</v>
      </c>
      <c r="M31" s="3">
        <f t="shared" si="2"/>
        <v>0</v>
      </c>
      <c r="N31" s="3">
        <f t="shared" si="1"/>
        <v>338128000</v>
      </c>
    </row>
    <row r="32" spans="1:15" x14ac:dyDescent="0.15">
      <c r="A32" s="1">
        <v>2000</v>
      </c>
      <c r="B32" s="3">
        <v>328095976</v>
      </c>
      <c r="C32" s="3">
        <v>0</v>
      </c>
      <c r="D32" s="3">
        <v>0</v>
      </c>
      <c r="E32" s="3">
        <f>337003000-B32</f>
        <v>8907024</v>
      </c>
      <c r="F32" s="3">
        <v>0</v>
      </c>
      <c r="G32" s="3">
        <v>0</v>
      </c>
      <c r="H32" s="3">
        <v>23174000</v>
      </c>
      <c r="I32" s="3">
        <v>0</v>
      </c>
      <c r="J32" s="3">
        <v>0</v>
      </c>
      <c r="K32" s="3">
        <f t="shared" si="2"/>
        <v>360177000</v>
      </c>
      <c r="L32" s="3">
        <f t="shared" si="2"/>
        <v>0</v>
      </c>
      <c r="M32" s="3">
        <f t="shared" si="2"/>
        <v>0</v>
      </c>
      <c r="N32" s="3">
        <f t="shared" si="1"/>
        <v>360177000</v>
      </c>
    </row>
    <row r="33" spans="1:15" x14ac:dyDescent="0.15">
      <c r="A33" s="1">
        <v>2001</v>
      </c>
      <c r="B33" s="3">
        <f>170800299+177771739</f>
        <v>348572038</v>
      </c>
      <c r="C33" s="3">
        <v>0</v>
      </c>
      <c r="D33" s="3">
        <v>0</v>
      </c>
      <c r="E33" s="3">
        <f>359932000-B33</f>
        <v>11359962</v>
      </c>
      <c r="F33" s="3">
        <v>597000</v>
      </c>
      <c r="G33" s="3">
        <v>0</v>
      </c>
      <c r="H33" s="3">
        <v>22634000</v>
      </c>
      <c r="I33" s="3">
        <v>2074000</v>
      </c>
      <c r="J33" s="3">
        <v>0</v>
      </c>
      <c r="K33" s="3">
        <f t="shared" si="2"/>
        <v>382566000</v>
      </c>
      <c r="L33" s="3">
        <f t="shared" si="2"/>
        <v>2671000</v>
      </c>
      <c r="M33" s="3">
        <f t="shared" si="2"/>
        <v>0</v>
      </c>
      <c r="N33" s="3">
        <f t="shared" si="1"/>
        <v>385237000</v>
      </c>
      <c r="O33" s="1" t="s">
        <v>246</v>
      </c>
    </row>
    <row r="34" spans="1:15" x14ac:dyDescent="0.15">
      <c r="A34" s="1">
        <v>2002</v>
      </c>
      <c r="B34" s="3">
        <v>372360502</v>
      </c>
      <c r="C34" s="3">
        <v>0</v>
      </c>
      <c r="D34" s="3">
        <v>0</v>
      </c>
      <c r="E34" s="3">
        <f>384477000-B34</f>
        <v>12116498</v>
      </c>
      <c r="F34" s="3">
        <v>661000</v>
      </c>
      <c r="G34" s="3">
        <v>0</v>
      </c>
      <c r="H34" s="3">
        <v>23145000</v>
      </c>
      <c r="I34" s="3">
        <v>2117000</v>
      </c>
      <c r="J34" s="3">
        <v>0</v>
      </c>
      <c r="K34" s="3">
        <f t="shared" si="2"/>
        <v>407622000</v>
      </c>
      <c r="L34" s="3">
        <f t="shared" si="2"/>
        <v>2778000</v>
      </c>
      <c r="M34" s="3">
        <f t="shared" si="2"/>
        <v>0</v>
      </c>
      <c r="N34" s="3">
        <f t="shared" si="1"/>
        <v>410400000</v>
      </c>
    </row>
    <row r="35" spans="1:15" x14ac:dyDescent="0.15">
      <c r="A35" s="1">
        <v>2003</v>
      </c>
      <c r="B35" s="3">
        <v>335155967</v>
      </c>
      <c r="C35" s="3">
        <v>0</v>
      </c>
      <c r="D35" s="3">
        <v>0</v>
      </c>
      <c r="E35" s="3">
        <v>8106324</v>
      </c>
      <c r="F35" s="3">
        <v>0</v>
      </c>
      <c r="G35" s="3">
        <v>0</v>
      </c>
      <c r="H35" s="3">
        <v>27146119</v>
      </c>
      <c r="I35" s="3">
        <v>1926822</v>
      </c>
      <c r="J35" s="3">
        <v>897507</v>
      </c>
      <c r="K35" s="3">
        <f t="shared" si="2"/>
        <v>370408410</v>
      </c>
      <c r="L35" s="3">
        <v>1936822</v>
      </c>
      <c r="M35" s="3">
        <f t="shared" si="2"/>
        <v>897507</v>
      </c>
      <c r="N35" s="3">
        <f t="shared" si="1"/>
        <v>373242739</v>
      </c>
    </row>
    <row r="36" spans="1:15" x14ac:dyDescent="0.15">
      <c r="A36" s="1">
        <v>2004</v>
      </c>
      <c r="B36" s="3">
        <v>331807486</v>
      </c>
      <c r="C36" s="3">
        <v>0</v>
      </c>
      <c r="D36" s="3">
        <v>0</v>
      </c>
      <c r="E36" s="3">
        <v>7817092</v>
      </c>
      <c r="F36" s="3">
        <v>50000</v>
      </c>
      <c r="G36" s="3">
        <v>0</v>
      </c>
      <c r="H36" s="3">
        <v>7940300</v>
      </c>
      <c r="I36" s="3">
        <v>0</v>
      </c>
      <c r="J36" s="3">
        <v>24629244</v>
      </c>
      <c r="K36" s="3">
        <v>347564878</v>
      </c>
      <c r="L36" s="3">
        <v>50000</v>
      </c>
      <c r="M36" s="3">
        <v>24629244</v>
      </c>
      <c r="N36" s="3">
        <v>372244122</v>
      </c>
      <c r="O36" s="1" t="s">
        <v>252</v>
      </c>
    </row>
    <row r="37" spans="1:15" x14ac:dyDescent="0.15">
      <c r="A37" s="1">
        <v>2005</v>
      </c>
      <c r="B37" s="3">
        <v>330328687</v>
      </c>
      <c r="C37" s="3">
        <v>0</v>
      </c>
      <c r="D37" s="3">
        <v>0</v>
      </c>
      <c r="E37" s="3">
        <v>7862976</v>
      </c>
      <c r="F37" s="3">
        <v>50000</v>
      </c>
      <c r="G37" s="3">
        <v>0</v>
      </c>
      <c r="H37" s="3">
        <v>29482375</v>
      </c>
      <c r="I37" s="3">
        <v>2343375</v>
      </c>
      <c r="J37" s="3">
        <v>568997</v>
      </c>
      <c r="K37" s="3">
        <v>367674038</v>
      </c>
      <c r="L37" s="3">
        <v>2393375</v>
      </c>
      <c r="M37" s="3">
        <v>568997</v>
      </c>
      <c r="N37" s="3">
        <v>370636410</v>
      </c>
    </row>
    <row r="38" spans="1:15" x14ac:dyDescent="0.15">
      <c r="A38" s="1">
        <v>2006</v>
      </c>
      <c r="B38" s="3">
        <v>347380390</v>
      </c>
      <c r="C38" s="3">
        <v>0</v>
      </c>
      <c r="D38" s="3">
        <v>0</v>
      </c>
      <c r="E38" s="3">
        <v>7986451</v>
      </c>
      <c r="F38" s="3">
        <v>50000</v>
      </c>
      <c r="G38" s="3">
        <v>0</v>
      </c>
      <c r="H38" s="3">
        <v>24982255</v>
      </c>
      <c r="I38" s="3">
        <v>2368161</v>
      </c>
      <c r="J38" s="3">
        <v>342569</v>
      </c>
      <c r="K38" s="3">
        <v>380349096</v>
      </c>
      <c r="L38" s="3">
        <v>2418161</v>
      </c>
      <c r="M38" s="3">
        <v>342569</v>
      </c>
      <c r="N38" s="3">
        <v>383109826</v>
      </c>
    </row>
    <row r="39" spans="1:15" x14ac:dyDescent="0.15">
      <c r="A39" s="1">
        <v>2007</v>
      </c>
      <c r="B39" s="3">
        <v>383192534</v>
      </c>
      <c r="C39" s="3">
        <v>0</v>
      </c>
      <c r="D39" s="3">
        <v>0</v>
      </c>
      <c r="E39" s="3">
        <v>35576975</v>
      </c>
      <c r="F39" s="3">
        <v>50000</v>
      </c>
      <c r="G39" s="3">
        <v>0</v>
      </c>
      <c r="H39" s="3">
        <v>25578631</v>
      </c>
      <c r="I39" s="3">
        <v>2363917</v>
      </c>
      <c r="J39" s="3">
        <v>0</v>
      </c>
      <c r="K39" s="3">
        <v>444348140</v>
      </c>
      <c r="L39" s="3">
        <v>2413917</v>
      </c>
      <c r="M39" s="3">
        <v>0</v>
      </c>
      <c r="N39" s="3">
        <v>446762057</v>
      </c>
      <c r="O39" s="1" t="s">
        <v>348</v>
      </c>
    </row>
    <row r="40" spans="1:15" x14ac:dyDescent="0.15">
      <c r="A40" s="1">
        <v>2008</v>
      </c>
      <c r="B40" s="3">
        <v>383817067</v>
      </c>
      <c r="C40" s="3">
        <v>0</v>
      </c>
      <c r="D40" s="3">
        <v>0</v>
      </c>
      <c r="E40" s="3">
        <v>9365169</v>
      </c>
      <c r="F40" s="3">
        <v>50000</v>
      </c>
      <c r="G40" s="3">
        <v>0</v>
      </c>
      <c r="H40" s="3">
        <v>22116007</v>
      </c>
      <c r="I40" s="3">
        <v>2369373</v>
      </c>
      <c r="J40" s="3">
        <v>0</v>
      </c>
      <c r="K40" s="3">
        <v>415298243</v>
      </c>
      <c r="L40" s="3">
        <v>2419373</v>
      </c>
      <c r="M40" s="3">
        <v>0</v>
      </c>
      <c r="N40" s="3">
        <v>417717616</v>
      </c>
    </row>
    <row r="41" spans="1:15" x14ac:dyDescent="0.15">
      <c r="A41" s="1">
        <v>2009</v>
      </c>
      <c r="B41" s="3">
        <v>383892090</v>
      </c>
      <c r="C41" s="3">
        <v>0</v>
      </c>
      <c r="D41" s="3">
        <v>0</v>
      </c>
      <c r="E41" s="3">
        <v>8935054</v>
      </c>
      <c r="F41" s="3">
        <v>50000</v>
      </c>
      <c r="G41" s="3">
        <v>0</v>
      </c>
      <c r="H41" s="3">
        <v>19766352</v>
      </c>
      <c r="I41" s="3">
        <v>4744262</v>
      </c>
      <c r="J41" s="3">
        <v>0</v>
      </c>
      <c r="K41" s="3">
        <v>412593496</v>
      </c>
      <c r="L41" s="3">
        <v>4794262</v>
      </c>
      <c r="M41" s="3">
        <v>0</v>
      </c>
      <c r="N41" s="3">
        <v>417387758</v>
      </c>
    </row>
    <row r="42" spans="1:15" x14ac:dyDescent="0.15">
      <c r="A42" s="1">
        <v>2010</v>
      </c>
      <c r="B42" s="3">
        <v>390465309</v>
      </c>
      <c r="C42" s="3">
        <v>0</v>
      </c>
      <c r="D42" s="3">
        <v>0</v>
      </c>
      <c r="E42" s="3">
        <v>5735206</v>
      </c>
      <c r="F42" s="3">
        <v>50000</v>
      </c>
      <c r="G42" s="3">
        <v>0</v>
      </c>
      <c r="H42" s="3">
        <v>18150038</v>
      </c>
      <c r="I42" s="3">
        <v>4308352</v>
      </c>
      <c r="J42" s="3">
        <v>0</v>
      </c>
      <c r="K42" s="3">
        <v>414350553</v>
      </c>
      <c r="L42" s="3">
        <v>4358352</v>
      </c>
      <c r="M42" s="3">
        <v>0</v>
      </c>
      <c r="N42" s="3">
        <v>418708905</v>
      </c>
    </row>
    <row r="43" spans="1:15" x14ac:dyDescent="0.15">
      <c r="A43" s="1">
        <v>2011</v>
      </c>
      <c r="B43" s="3">
        <v>403295687</v>
      </c>
      <c r="C43" s="3">
        <v>0</v>
      </c>
      <c r="D43" s="3">
        <v>0</v>
      </c>
      <c r="E43" s="3">
        <v>1217260</v>
      </c>
      <c r="F43" s="3">
        <v>50000</v>
      </c>
      <c r="G43" s="3">
        <v>0</v>
      </c>
      <c r="H43" s="3">
        <v>3312379</v>
      </c>
      <c r="I43" s="3">
        <v>544384</v>
      </c>
      <c r="J43" s="3">
        <v>0</v>
      </c>
      <c r="K43" s="3">
        <v>407825326</v>
      </c>
      <c r="L43" s="3">
        <v>594384</v>
      </c>
      <c r="M43" s="3">
        <v>0</v>
      </c>
      <c r="N43" s="3">
        <v>408419710</v>
      </c>
    </row>
    <row r="44" spans="1:15" x14ac:dyDescent="0.15">
      <c r="A44" s="1">
        <v>2012</v>
      </c>
      <c r="B44" s="3">
        <v>411604561</v>
      </c>
      <c r="C44" s="3">
        <v>0</v>
      </c>
      <c r="D44" s="3">
        <v>0</v>
      </c>
      <c r="E44" s="3">
        <v>74600</v>
      </c>
      <c r="F44" s="3">
        <v>50000</v>
      </c>
      <c r="G44" s="3">
        <v>0</v>
      </c>
      <c r="H44" s="3">
        <v>15884239</v>
      </c>
      <c r="I44" s="3">
        <v>3637201</v>
      </c>
      <c r="J44" s="3">
        <v>0</v>
      </c>
      <c r="K44" s="3">
        <v>427563400</v>
      </c>
      <c r="L44" s="3">
        <v>3687201</v>
      </c>
      <c r="M44" s="3">
        <v>0</v>
      </c>
      <c r="N44" s="3">
        <v>431250601</v>
      </c>
    </row>
    <row r="45" spans="1:15" x14ac:dyDescent="0.15">
      <c r="A45" s="1">
        <v>2013</v>
      </c>
      <c r="B45" s="3">
        <v>370779466</v>
      </c>
      <c r="C45" s="3">
        <v>0</v>
      </c>
      <c r="D45" s="3">
        <v>0</v>
      </c>
      <c r="E45" s="3">
        <v>79375</v>
      </c>
      <c r="F45" s="3">
        <v>50000</v>
      </c>
      <c r="G45" s="3">
        <v>0</v>
      </c>
      <c r="H45" s="3">
        <v>1049289</v>
      </c>
      <c r="I45" s="3">
        <v>0</v>
      </c>
      <c r="J45" s="3">
        <v>0</v>
      </c>
      <c r="K45" s="3">
        <v>371908130</v>
      </c>
      <c r="L45" s="3">
        <v>50000</v>
      </c>
      <c r="M45" s="3">
        <v>0</v>
      </c>
      <c r="N45" s="3">
        <v>371958130</v>
      </c>
    </row>
    <row r="46" spans="1:15" x14ac:dyDescent="0.15">
      <c r="A46" s="1">
        <v>2014</v>
      </c>
      <c r="B46" s="3">
        <v>372188695</v>
      </c>
      <c r="C46" s="3">
        <v>0</v>
      </c>
      <c r="D46" s="3">
        <v>0</v>
      </c>
      <c r="E46" s="3">
        <v>84225</v>
      </c>
      <c r="F46" s="3">
        <v>50000</v>
      </c>
      <c r="G46" s="3">
        <v>0</v>
      </c>
      <c r="H46" s="3">
        <v>1050886</v>
      </c>
      <c r="I46" s="3">
        <v>0</v>
      </c>
      <c r="J46" s="3">
        <v>0</v>
      </c>
      <c r="K46" s="3">
        <v>373323806</v>
      </c>
      <c r="L46" s="3">
        <v>50000</v>
      </c>
      <c r="M46" s="3">
        <v>0</v>
      </c>
      <c r="N46" s="3">
        <v>373373806</v>
      </c>
    </row>
    <row r="47" spans="1:15" x14ac:dyDescent="0.15">
      <c r="A47" s="1">
        <v>2015</v>
      </c>
      <c r="B47" s="3">
        <v>357158718</v>
      </c>
      <c r="C47" s="3">
        <v>0</v>
      </c>
      <c r="D47" s="3">
        <v>0</v>
      </c>
      <c r="E47" s="3">
        <v>87675</v>
      </c>
      <c r="F47" s="3">
        <v>50000</v>
      </c>
      <c r="G47" s="3">
        <v>0</v>
      </c>
      <c r="H47" s="3">
        <v>1018894</v>
      </c>
      <c r="I47" s="3">
        <v>0</v>
      </c>
      <c r="J47" s="3">
        <v>0</v>
      </c>
      <c r="K47" s="3">
        <v>358265287</v>
      </c>
      <c r="L47" s="3">
        <v>50000</v>
      </c>
      <c r="M47" s="3">
        <v>0</v>
      </c>
      <c r="N47" s="3">
        <v>358315287</v>
      </c>
    </row>
    <row r="48" spans="1:15" x14ac:dyDescent="0.15">
      <c r="A48" s="1">
        <v>2016</v>
      </c>
      <c r="B48" s="3">
        <v>319817312</v>
      </c>
      <c r="C48" s="3">
        <v>0</v>
      </c>
      <c r="D48" s="3">
        <v>0</v>
      </c>
      <c r="E48" s="3">
        <v>90575</v>
      </c>
      <c r="F48" s="3">
        <v>50000</v>
      </c>
      <c r="G48" s="3">
        <v>0</v>
      </c>
      <c r="H48" s="3">
        <v>492985</v>
      </c>
      <c r="I48" s="3">
        <v>0</v>
      </c>
      <c r="J48" s="3">
        <v>0</v>
      </c>
      <c r="K48" s="3">
        <v>320400872</v>
      </c>
      <c r="L48" s="3">
        <v>50000</v>
      </c>
      <c r="M48" s="3">
        <v>0</v>
      </c>
      <c r="N48" s="3">
        <v>320450872</v>
      </c>
    </row>
  </sheetData>
  <phoneticPr fontId="0"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2.375" style="1" customWidth="1"/>
    <col min="3" max="4" width="10.625" style="1"/>
    <col min="5" max="5" width="11.5" style="1" customWidth="1"/>
    <col min="6" max="6" width="10.625" style="1"/>
    <col min="7" max="7" width="11.625" style="1" customWidth="1"/>
    <col min="8" max="10" width="10.625" style="1"/>
    <col min="11" max="11" width="12.5" style="1" customWidth="1"/>
    <col min="12" max="12" width="10.625" style="1"/>
    <col min="13" max="13" width="12" style="1" customWidth="1"/>
    <col min="14" max="14" width="11.75" style="1" customWidth="1"/>
    <col min="15" max="16384" width="10.625" style="1"/>
  </cols>
  <sheetData>
    <row r="1" spans="1:15" x14ac:dyDescent="0.15">
      <c r="A1" s="1" t="s">
        <v>24</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7602206</v>
      </c>
      <c r="C6" s="3">
        <v>0</v>
      </c>
      <c r="D6" s="3">
        <v>0</v>
      </c>
      <c r="E6" s="3">
        <f>971958+521240</f>
        <v>1493198</v>
      </c>
      <c r="F6" s="3">
        <v>0</v>
      </c>
      <c r="G6" s="3">
        <v>0</v>
      </c>
      <c r="H6" s="3">
        <v>0</v>
      </c>
      <c r="I6" s="3">
        <v>0</v>
      </c>
      <c r="J6" s="3">
        <v>0</v>
      </c>
      <c r="K6" s="3">
        <f t="shared" ref="K6:M21" si="0">+B6+E6+H6</f>
        <v>9095404</v>
      </c>
      <c r="L6" s="3">
        <f t="shared" si="0"/>
        <v>0</v>
      </c>
      <c r="M6" s="3">
        <f t="shared" si="0"/>
        <v>0</v>
      </c>
      <c r="N6" s="3">
        <f t="shared" ref="N6:N35" si="1">+M6+L6+K6</f>
        <v>9095404</v>
      </c>
      <c r="O6" s="1" t="s">
        <v>17</v>
      </c>
    </row>
    <row r="7" spans="1:15" x14ac:dyDescent="0.15">
      <c r="A7" s="1">
        <v>1975</v>
      </c>
      <c r="B7" s="3">
        <v>8825000</v>
      </c>
      <c r="C7" s="3">
        <v>0</v>
      </c>
      <c r="D7" s="3">
        <v>0</v>
      </c>
      <c r="E7" s="3">
        <f>1367000+1323000</f>
        <v>2690000</v>
      </c>
      <c r="F7" s="3">
        <v>0</v>
      </c>
      <c r="G7" s="3">
        <v>0</v>
      </c>
      <c r="H7" s="3">
        <v>0</v>
      </c>
      <c r="I7" s="3">
        <v>0</v>
      </c>
      <c r="J7" s="3">
        <v>0</v>
      </c>
      <c r="K7" s="3">
        <f t="shared" si="0"/>
        <v>11515000</v>
      </c>
      <c r="L7" s="3">
        <f t="shared" si="0"/>
        <v>0</v>
      </c>
      <c r="M7" s="3">
        <f t="shared" si="0"/>
        <v>0</v>
      </c>
      <c r="N7" s="3">
        <f t="shared" si="1"/>
        <v>11515000</v>
      </c>
      <c r="O7" s="1" t="s">
        <v>126</v>
      </c>
    </row>
    <row r="8" spans="1:15" x14ac:dyDescent="0.15">
      <c r="A8" s="1">
        <v>1976</v>
      </c>
      <c r="B8" s="3">
        <v>11668000</v>
      </c>
      <c r="C8" s="3">
        <v>0</v>
      </c>
      <c r="D8" s="3">
        <v>0</v>
      </c>
      <c r="E8" s="3">
        <f>2058000+1649000</f>
        <v>3707000</v>
      </c>
      <c r="F8" s="3">
        <v>0</v>
      </c>
      <c r="G8" s="3">
        <v>0</v>
      </c>
      <c r="H8" s="3">
        <v>0</v>
      </c>
      <c r="I8" s="3">
        <v>0</v>
      </c>
      <c r="J8" s="3">
        <v>0</v>
      </c>
      <c r="K8" s="3">
        <f t="shared" si="0"/>
        <v>15375000</v>
      </c>
      <c r="L8" s="3">
        <f t="shared" si="0"/>
        <v>0</v>
      </c>
      <c r="M8" s="3">
        <f t="shared" si="0"/>
        <v>0</v>
      </c>
      <c r="N8" s="3">
        <f t="shared" si="1"/>
        <v>15375000</v>
      </c>
    </row>
    <row r="9" spans="1:15" x14ac:dyDescent="0.15">
      <c r="A9" s="1">
        <v>1977</v>
      </c>
      <c r="B9" s="3">
        <v>13250000</v>
      </c>
      <c r="C9" s="3">
        <v>0</v>
      </c>
      <c r="D9" s="3">
        <v>0</v>
      </c>
      <c r="E9" s="3">
        <f>2559000+2400000</f>
        <v>4959000</v>
      </c>
      <c r="F9" s="3">
        <v>0</v>
      </c>
      <c r="G9" s="3">
        <v>0</v>
      </c>
      <c r="H9" s="3">
        <v>0</v>
      </c>
      <c r="I9" s="3">
        <v>0</v>
      </c>
      <c r="J9" s="3">
        <v>0</v>
      </c>
      <c r="K9" s="3">
        <f t="shared" si="0"/>
        <v>18209000</v>
      </c>
      <c r="L9" s="3">
        <f t="shared" si="0"/>
        <v>0</v>
      </c>
      <c r="M9" s="3">
        <f t="shared" si="0"/>
        <v>0</v>
      </c>
      <c r="N9" s="3">
        <f t="shared" si="1"/>
        <v>18209000</v>
      </c>
    </row>
    <row r="10" spans="1:15" x14ac:dyDescent="0.15">
      <c r="A10" s="1">
        <v>1978</v>
      </c>
      <c r="B10" s="3">
        <v>13350000</v>
      </c>
      <c r="C10" s="3">
        <v>0</v>
      </c>
      <c r="D10" s="3">
        <v>0</v>
      </c>
      <c r="E10" s="3">
        <f>3700000+2600000</f>
        <v>6300000</v>
      </c>
      <c r="F10" s="3">
        <v>0</v>
      </c>
      <c r="G10" s="3">
        <v>0</v>
      </c>
      <c r="H10" s="3">
        <v>0</v>
      </c>
      <c r="I10" s="3">
        <v>0</v>
      </c>
      <c r="J10" s="3">
        <v>0</v>
      </c>
      <c r="K10" s="3">
        <f t="shared" si="0"/>
        <v>19650000</v>
      </c>
      <c r="L10" s="3">
        <f t="shared" si="0"/>
        <v>0</v>
      </c>
      <c r="M10" s="3">
        <f t="shared" si="0"/>
        <v>0</v>
      </c>
      <c r="N10" s="3">
        <f t="shared" si="1"/>
        <v>19650000</v>
      </c>
    </row>
    <row r="11" spans="1:15" x14ac:dyDescent="0.15">
      <c r="A11" s="1">
        <v>1979</v>
      </c>
      <c r="B11" s="3">
        <v>13500000</v>
      </c>
      <c r="C11" s="3">
        <v>0</v>
      </c>
      <c r="D11" s="3">
        <v>0</v>
      </c>
      <c r="E11" s="3">
        <f>4000000+3600000</f>
        <v>7600000</v>
      </c>
      <c r="F11" s="3">
        <v>0</v>
      </c>
      <c r="G11" s="3">
        <v>0</v>
      </c>
      <c r="H11" s="3">
        <v>0</v>
      </c>
      <c r="I11" s="3">
        <v>0</v>
      </c>
      <c r="J11" s="3">
        <v>0</v>
      </c>
      <c r="K11" s="3">
        <f t="shared" si="0"/>
        <v>21100000</v>
      </c>
      <c r="L11" s="3">
        <f t="shared" si="0"/>
        <v>0</v>
      </c>
      <c r="M11" s="3">
        <f t="shared" si="0"/>
        <v>0</v>
      </c>
      <c r="N11" s="3">
        <f t="shared" si="1"/>
        <v>21100000</v>
      </c>
    </row>
    <row r="12" spans="1:15" x14ac:dyDescent="0.15">
      <c r="A12" s="1">
        <v>1980</v>
      </c>
      <c r="B12" s="3">
        <v>14896000</v>
      </c>
      <c r="C12" s="3">
        <v>0</v>
      </c>
      <c r="D12" s="3">
        <v>0</v>
      </c>
      <c r="E12" s="3">
        <f>8084000+4694000</f>
        <v>12778000</v>
      </c>
      <c r="F12" s="3">
        <v>0</v>
      </c>
      <c r="G12" s="3">
        <v>0</v>
      </c>
      <c r="H12" s="3">
        <v>0</v>
      </c>
      <c r="I12" s="3">
        <v>0</v>
      </c>
      <c r="J12" s="3">
        <v>0</v>
      </c>
      <c r="K12" s="3">
        <f t="shared" si="0"/>
        <v>27674000</v>
      </c>
      <c r="L12" s="3">
        <f t="shared" si="0"/>
        <v>0</v>
      </c>
      <c r="M12" s="3">
        <f t="shared" si="0"/>
        <v>0</v>
      </c>
      <c r="N12" s="3">
        <f t="shared" si="1"/>
        <v>27674000</v>
      </c>
    </row>
    <row r="13" spans="1:15" x14ac:dyDescent="0.15">
      <c r="A13" s="1">
        <v>1981</v>
      </c>
      <c r="B13" s="3">
        <v>12789000</v>
      </c>
      <c r="C13" s="3">
        <v>0</v>
      </c>
      <c r="D13" s="3">
        <v>0</v>
      </c>
      <c r="E13" s="3">
        <f>6587000+3879000</f>
        <v>10466000</v>
      </c>
      <c r="F13" s="3">
        <v>0</v>
      </c>
      <c r="G13" s="3">
        <v>0</v>
      </c>
      <c r="H13" s="3">
        <v>0</v>
      </c>
      <c r="I13" s="3">
        <v>0</v>
      </c>
      <c r="J13" s="3">
        <v>0</v>
      </c>
      <c r="K13" s="3">
        <f t="shared" si="0"/>
        <v>23255000</v>
      </c>
      <c r="L13" s="3">
        <f t="shared" si="0"/>
        <v>0</v>
      </c>
      <c r="M13" s="3">
        <f t="shared" si="0"/>
        <v>0</v>
      </c>
      <c r="N13" s="3">
        <f t="shared" si="1"/>
        <v>23255000</v>
      </c>
    </row>
    <row r="14" spans="1:15" x14ac:dyDescent="0.15">
      <c r="A14" s="1">
        <v>1982</v>
      </c>
      <c r="B14" s="3">
        <v>16992000</v>
      </c>
      <c r="C14" s="3">
        <v>0</v>
      </c>
      <c r="D14" s="3">
        <v>0</v>
      </c>
      <c r="E14" s="3">
        <v>3584000</v>
      </c>
      <c r="F14" s="3">
        <v>0</v>
      </c>
      <c r="G14" s="3">
        <v>0</v>
      </c>
      <c r="H14" s="3">
        <v>10000</v>
      </c>
      <c r="I14" s="3">
        <v>0</v>
      </c>
      <c r="J14" s="3">
        <v>0</v>
      </c>
      <c r="K14" s="3">
        <f t="shared" si="0"/>
        <v>20586000</v>
      </c>
      <c r="L14" s="3">
        <f t="shared" si="0"/>
        <v>0</v>
      </c>
      <c r="M14" s="3">
        <f t="shared" si="0"/>
        <v>0</v>
      </c>
      <c r="N14" s="3">
        <f t="shared" si="1"/>
        <v>20586000</v>
      </c>
      <c r="O14" s="1" t="s">
        <v>148</v>
      </c>
    </row>
    <row r="15" spans="1:15" x14ac:dyDescent="0.15">
      <c r="A15" s="1">
        <v>1983</v>
      </c>
      <c r="B15" s="3">
        <v>22773000</v>
      </c>
      <c r="C15" s="3">
        <v>0</v>
      </c>
      <c r="D15" s="3">
        <v>0</v>
      </c>
      <c r="E15" s="3">
        <v>6677000</v>
      </c>
      <c r="F15" s="3">
        <v>0</v>
      </c>
      <c r="G15" s="3">
        <v>0</v>
      </c>
      <c r="H15" s="3">
        <v>436000</v>
      </c>
      <c r="I15" s="3">
        <v>200000</v>
      </c>
      <c r="J15" s="3">
        <v>0</v>
      </c>
      <c r="K15" s="3">
        <f t="shared" si="0"/>
        <v>29886000</v>
      </c>
      <c r="L15" s="3">
        <f t="shared" si="0"/>
        <v>200000</v>
      </c>
      <c r="M15" s="3">
        <f t="shared" si="0"/>
        <v>0</v>
      </c>
      <c r="N15" s="3">
        <f t="shared" si="1"/>
        <v>30086000</v>
      </c>
      <c r="O15" s="1" t="s">
        <v>164</v>
      </c>
    </row>
    <row r="16" spans="1:15" x14ac:dyDescent="0.15">
      <c r="A16" s="1">
        <v>1984</v>
      </c>
      <c r="B16" s="3">
        <v>16910000</v>
      </c>
      <c r="C16" s="3">
        <v>0</v>
      </c>
      <c r="D16" s="3">
        <v>0</v>
      </c>
      <c r="E16" s="3">
        <v>5719000</v>
      </c>
      <c r="F16" s="3">
        <v>0</v>
      </c>
      <c r="G16" s="3">
        <v>0</v>
      </c>
      <c r="H16" s="3">
        <v>437000</v>
      </c>
      <c r="I16" s="3">
        <v>200000</v>
      </c>
      <c r="J16" s="3">
        <v>0</v>
      </c>
      <c r="K16" s="3">
        <f t="shared" si="0"/>
        <v>23066000</v>
      </c>
      <c r="L16" s="3">
        <f t="shared" si="0"/>
        <v>200000</v>
      </c>
      <c r="M16" s="3">
        <f t="shared" si="0"/>
        <v>0</v>
      </c>
      <c r="N16" s="3">
        <f t="shared" si="1"/>
        <v>23266000</v>
      </c>
      <c r="O16" s="1" t="s">
        <v>163</v>
      </c>
    </row>
    <row r="17" spans="1:15" x14ac:dyDescent="0.15">
      <c r="A17" s="1">
        <v>1985</v>
      </c>
      <c r="B17" s="3">
        <v>25222000</v>
      </c>
      <c r="C17" s="3">
        <v>0</v>
      </c>
      <c r="D17" s="3">
        <v>0</v>
      </c>
      <c r="E17" s="3">
        <v>7475000</v>
      </c>
      <c r="F17" s="3">
        <v>0</v>
      </c>
      <c r="G17" s="3">
        <v>0</v>
      </c>
      <c r="H17" s="3">
        <v>437000</v>
      </c>
      <c r="I17" s="3">
        <v>200000</v>
      </c>
      <c r="J17" s="3">
        <v>0</v>
      </c>
      <c r="K17" s="3">
        <f t="shared" si="0"/>
        <v>33134000</v>
      </c>
      <c r="L17" s="3">
        <f t="shared" si="0"/>
        <v>200000</v>
      </c>
      <c r="M17" s="3">
        <f t="shared" si="0"/>
        <v>0</v>
      </c>
      <c r="N17" s="3">
        <f t="shared" si="1"/>
        <v>33334000</v>
      </c>
    </row>
    <row r="18" spans="1:15" x14ac:dyDescent="0.15">
      <c r="A18" s="1">
        <v>1986</v>
      </c>
      <c r="B18" s="3">
        <v>25719000</v>
      </c>
      <c r="C18" s="3">
        <v>0</v>
      </c>
      <c r="D18" s="3">
        <v>0</v>
      </c>
      <c r="E18" s="3">
        <v>8942000</v>
      </c>
      <c r="F18" s="3">
        <v>0</v>
      </c>
      <c r="G18" s="3">
        <v>0</v>
      </c>
      <c r="H18" s="3">
        <v>404000</v>
      </c>
      <c r="I18" s="3">
        <v>250000</v>
      </c>
      <c r="J18" s="3">
        <v>0</v>
      </c>
      <c r="K18" s="3">
        <f t="shared" si="0"/>
        <v>35065000</v>
      </c>
      <c r="L18" s="3">
        <f t="shared" si="0"/>
        <v>250000</v>
      </c>
      <c r="M18" s="3">
        <f t="shared" si="0"/>
        <v>0</v>
      </c>
      <c r="N18" s="3">
        <f t="shared" si="1"/>
        <v>35315000</v>
      </c>
    </row>
    <row r="19" spans="1:15" x14ac:dyDescent="0.15">
      <c r="A19" s="1">
        <v>1987</v>
      </c>
      <c r="B19" s="3">
        <v>29708000</v>
      </c>
      <c r="C19" s="3">
        <v>0</v>
      </c>
      <c r="D19" s="3">
        <v>0</v>
      </c>
      <c r="E19" s="3">
        <v>10784000</v>
      </c>
      <c r="F19" s="3">
        <v>0</v>
      </c>
      <c r="G19" s="3">
        <v>0</v>
      </c>
      <c r="H19" s="3">
        <v>410000</v>
      </c>
      <c r="I19" s="3">
        <v>150000</v>
      </c>
      <c r="J19" s="3">
        <v>0</v>
      </c>
      <c r="K19" s="3">
        <f t="shared" si="0"/>
        <v>40902000</v>
      </c>
      <c r="L19" s="3">
        <f t="shared" si="0"/>
        <v>150000</v>
      </c>
      <c r="M19" s="3">
        <f t="shared" si="0"/>
        <v>0</v>
      </c>
      <c r="N19" s="3">
        <f t="shared" si="1"/>
        <v>41052000</v>
      </c>
    </row>
    <row r="20" spans="1:15" x14ac:dyDescent="0.15">
      <c r="A20" s="1">
        <v>1988</v>
      </c>
      <c r="B20" s="3">
        <v>45408000</v>
      </c>
      <c r="C20" s="3">
        <v>0</v>
      </c>
      <c r="D20" s="3">
        <v>0</v>
      </c>
      <c r="E20" s="3">
        <v>0</v>
      </c>
      <c r="F20" s="3">
        <v>0</v>
      </c>
      <c r="G20" s="3">
        <v>0</v>
      </c>
      <c r="H20" s="3">
        <v>408000</v>
      </c>
      <c r="I20" s="3">
        <v>0</v>
      </c>
      <c r="J20" s="3">
        <v>0</v>
      </c>
      <c r="K20" s="3">
        <f t="shared" si="0"/>
        <v>45816000</v>
      </c>
      <c r="L20" s="3">
        <f t="shared" si="0"/>
        <v>0</v>
      </c>
      <c r="M20" s="3">
        <f t="shared" si="0"/>
        <v>0</v>
      </c>
      <c r="N20" s="3">
        <f t="shared" si="1"/>
        <v>45816000</v>
      </c>
      <c r="O20" s="1" t="s">
        <v>169</v>
      </c>
    </row>
    <row r="21" spans="1:15" x14ac:dyDescent="0.15">
      <c r="A21" s="1">
        <v>1989</v>
      </c>
      <c r="B21" s="3">
        <v>51654000</v>
      </c>
      <c r="C21" s="3">
        <v>0</v>
      </c>
      <c r="D21" s="3">
        <v>0</v>
      </c>
      <c r="E21" s="3">
        <v>0</v>
      </c>
      <c r="F21" s="3">
        <v>0</v>
      </c>
      <c r="G21" s="3">
        <v>0</v>
      </c>
      <c r="H21" s="3">
        <v>408000</v>
      </c>
      <c r="I21" s="3">
        <v>0</v>
      </c>
      <c r="J21" s="3">
        <v>0</v>
      </c>
      <c r="K21" s="3">
        <f t="shared" si="0"/>
        <v>52062000</v>
      </c>
      <c r="L21" s="3">
        <f t="shared" si="0"/>
        <v>0</v>
      </c>
      <c r="M21" s="3">
        <f t="shared" si="0"/>
        <v>0</v>
      </c>
      <c r="N21" s="3">
        <f t="shared" si="1"/>
        <v>52062000</v>
      </c>
    </row>
    <row r="22" spans="1:15" x14ac:dyDescent="0.15">
      <c r="A22" s="1">
        <v>1990</v>
      </c>
      <c r="B22" s="3">
        <v>43096000</v>
      </c>
      <c r="C22" s="3">
        <v>0</v>
      </c>
      <c r="D22" s="3">
        <v>0</v>
      </c>
      <c r="E22" s="3">
        <v>15299000</v>
      </c>
      <c r="F22" s="3">
        <v>0</v>
      </c>
      <c r="G22" s="3">
        <v>0</v>
      </c>
      <c r="H22" s="3">
        <v>920000</v>
      </c>
      <c r="I22" s="3">
        <v>0</v>
      </c>
      <c r="J22" s="3">
        <v>0</v>
      </c>
      <c r="K22" s="3">
        <f t="shared" ref="K22:M35" si="2">+B22+E22+H22</f>
        <v>59315000</v>
      </c>
      <c r="L22" s="3">
        <f t="shared" si="2"/>
        <v>0</v>
      </c>
      <c r="M22" s="3">
        <f t="shared" si="2"/>
        <v>0</v>
      </c>
      <c r="N22" s="3">
        <f t="shared" si="1"/>
        <v>59315000</v>
      </c>
    </row>
    <row r="23" spans="1:15" x14ac:dyDescent="0.15">
      <c r="A23" s="1">
        <v>1991</v>
      </c>
      <c r="B23" s="3">
        <v>46488000</v>
      </c>
      <c r="C23" s="3">
        <v>0</v>
      </c>
      <c r="D23" s="3">
        <v>0</v>
      </c>
      <c r="E23" s="3">
        <v>0</v>
      </c>
      <c r="F23" s="3">
        <v>0</v>
      </c>
      <c r="G23" s="3">
        <v>0</v>
      </c>
      <c r="H23" s="3">
        <v>966000</v>
      </c>
      <c r="I23" s="3">
        <v>0</v>
      </c>
      <c r="J23" s="3">
        <v>0</v>
      </c>
      <c r="K23" s="3">
        <f t="shared" si="2"/>
        <v>47454000</v>
      </c>
      <c r="L23" s="3">
        <f t="shared" si="2"/>
        <v>0</v>
      </c>
      <c r="M23" s="3">
        <f t="shared" si="2"/>
        <v>0</v>
      </c>
      <c r="N23" s="3">
        <f t="shared" si="1"/>
        <v>47454000</v>
      </c>
      <c r="O23" s="1" t="s">
        <v>182</v>
      </c>
    </row>
    <row r="24" spans="1:15" x14ac:dyDescent="0.15">
      <c r="A24" s="1">
        <v>1992</v>
      </c>
      <c r="B24" s="3">
        <v>50054000</v>
      </c>
      <c r="C24" s="3">
        <v>0</v>
      </c>
      <c r="D24" s="3">
        <v>0</v>
      </c>
      <c r="E24" s="3">
        <v>0</v>
      </c>
      <c r="F24" s="3">
        <v>0</v>
      </c>
      <c r="G24" s="3">
        <v>0</v>
      </c>
      <c r="H24" s="3">
        <v>909000</v>
      </c>
      <c r="I24" s="3">
        <v>0</v>
      </c>
      <c r="J24" s="3">
        <v>0</v>
      </c>
      <c r="K24" s="3">
        <f t="shared" si="2"/>
        <v>50963000</v>
      </c>
      <c r="L24" s="3">
        <f t="shared" si="2"/>
        <v>0</v>
      </c>
      <c r="M24" s="3">
        <f t="shared" si="2"/>
        <v>0</v>
      </c>
      <c r="N24" s="3">
        <f t="shared" si="1"/>
        <v>50963000</v>
      </c>
    </row>
    <row r="25" spans="1:15" x14ac:dyDescent="0.15">
      <c r="A25" s="1">
        <v>1993</v>
      </c>
      <c r="B25" s="3">
        <v>55414000</v>
      </c>
      <c r="C25" s="3">
        <v>0</v>
      </c>
      <c r="D25" s="3">
        <v>0</v>
      </c>
      <c r="E25" s="3">
        <v>400000</v>
      </c>
      <c r="F25" s="3">
        <v>0</v>
      </c>
      <c r="G25" s="3">
        <v>0</v>
      </c>
      <c r="H25" s="3">
        <v>377000</v>
      </c>
      <c r="I25" s="3">
        <v>0</v>
      </c>
      <c r="J25" s="3">
        <v>0</v>
      </c>
      <c r="K25" s="3">
        <f t="shared" si="2"/>
        <v>56191000</v>
      </c>
      <c r="L25" s="3">
        <f t="shared" si="2"/>
        <v>0</v>
      </c>
      <c r="M25" s="3">
        <f t="shared" si="2"/>
        <v>0</v>
      </c>
      <c r="N25" s="3">
        <f t="shared" si="1"/>
        <v>56191000</v>
      </c>
    </row>
    <row r="26" spans="1:15" x14ac:dyDescent="0.15">
      <c r="A26" s="1">
        <v>1994</v>
      </c>
      <c r="B26" s="3">
        <v>55414000</v>
      </c>
      <c r="C26" s="3">
        <v>0</v>
      </c>
      <c r="D26" s="3">
        <v>0</v>
      </c>
      <c r="E26" s="3">
        <v>400000</v>
      </c>
      <c r="F26" s="3">
        <v>0</v>
      </c>
      <c r="G26" s="3">
        <v>0</v>
      </c>
      <c r="H26" s="3">
        <v>377000</v>
      </c>
      <c r="I26" s="3">
        <v>0</v>
      </c>
      <c r="J26" s="3">
        <v>0</v>
      </c>
      <c r="K26" s="3">
        <f t="shared" si="2"/>
        <v>56191000</v>
      </c>
      <c r="L26" s="3">
        <f t="shared" si="2"/>
        <v>0</v>
      </c>
      <c r="M26" s="3">
        <f t="shared" si="2"/>
        <v>0</v>
      </c>
      <c r="N26" s="3">
        <f t="shared" si="1"/>
        <v>56191000</v>
      </c>
      <c r="O26" s="1" t="s">
        <v>192</v>
      </c>
    </row>
    <row r="27" spans="1:15" x14ac:dyDescent="0.15">
      <c r="A27" s="1">
        <v>1995</v>
      </c>
      <c r="B27" s="3">
        <v>57244426</v>
      </c>
      <c r="C27" s="3">
        <v>0</v>
      </c>
      <c r="D27" s="3">
        <v>0</v>
      </c>
      <c r="E27" s="3">
        <f>67742000-B27</f>
        <v>10497574</v>
      </c>
      <c r="F27" s="3">
        <v>0</v>
      </c>
      <c r="G27" s="3">
        <v>0</v>
      </c>
      <c r="H27" s="3">
        <v>420000</v>
      </c>
      <c r="I27" s="3">
        <v>0</v>
      </c>
      <c r="J27" s="3">
        <v>0</v>
      </c>
      <c r="K27" s="3">
        <f t="shared" si="2"/>
        <v>68162000</v>
      </c>
      <c r="L27" s="3">
        <f t="shared" si="2"/>
        <v>0</v>
      </c>
      <c r="M27" s="3">
        <f t="shared" si="2"/>
        <v>0</v>
      </c>
      <c r="N27" s="3">
        <f t="shared" si="1"/>
        <v>68162000</v>
      </c>
    </row>
    <row r="28" spans="1:15" x14ac:dyDescent="0.15">
      <c r="A28" s="1">
        <v>1996</v>
      </c>
      <c r="B28" s="3">
        <v>66094870</v>
      </c>
      <c r="C28" s="3">
        <v>0</v>
      </c>
      <c r="D28" s="3">
        <v>0</v>
      </c>
      <c r="E28" s="3">
        <f>68340000-B28</f>
        <v>2245130</v>
      </c>
      <c r="F28" s="3">
        <v>0</v>
      </c>
      <c r="G28" s="3">
        <v>0</v>
      </c>
      <c r="H28" s="3">
        <v>1259000</v>
      </c>
      <c r="I28" s="3">
        <v>0</v>
      </c>
      <c r="J28" s="3">
        <v>0</v>
      </c>
      <c r="K28" s="3">
        <f t="shared" si="2"/>
        <v>69599000</v>
      </c>
      <c r="L28" s="3">
        <f t="shared" si="2"/>
        <v>0</v>
      </c>
      <c r="M28" s="3">
        <f t="shared" si="2"/>
        <v>0</v>
      </c>
      <c r="N28" s="3">
        <f t="shared" si="1"/>
        <v>69599000</v>
      </c>
    </row>
    <row r="29" spans="1:15" x14ac:dyDescent="0.15">
      <c r="A29" s="1">
        <v>1997</v>
      </c>
      <c r="B29" s="3">
        <v>72555066</v>
      </c>
      <c r="C29" s="3">
        <v>0</v>
      </c>
      <c r="D29" s="3">
        <v>0</v>
      </c>
      <c r="E29" s="3">
        <f>77834000-B29</f>
        <v>5278934</v>
      </c>
      <c r="F29" s="3">
        <v>0</v>
      </c>
      <c r="G29" s="3">
        <v>0</v>
      </c>
      <c r="H29" s="3">
        <v>1315000</v>
      </c>
      <c r="I29" s="3">
        <v>0</v>
      </c>
      <c r="J29" s="3">
        <v>0</v>
      </c>
      <c r="K29" s="3">
        <f t="shared" si="2"/>
        <v>79149000</v>
      </c>
      <c r="L29" s="3">
        <f t="shared" si="2"/>
        <v>0</v>
      </c>
      <c r="M29" s="3">
        <f t="shared" si="2"/>
        <v>0</v>
      </c>
      <c r="N29" s="3">
        <f t="shared" si="1"/>
        <v>79149000</v>
      </c>
    </row>
    <row r="30" spans="1:15" x14ac:dyDescent="0.15">
      <c r="A30" s="1">
        <v>1998</v>
      </c>
      <c r="B30" s="3">
        <f>41522638+35712568+23240</f>
        <v>77258446</v>
      </c>
      <c r="C30" s="3">
        <v>0</v>
      </c>
      <c r="D30" s="3">
        <v>0</v>
      </c>
      <c r="E30" s="3">
        <f>85035000-B30</f>
        <v>7776554</v>
      </c>
      <c r="F30" s="3">
        <v>0</v>
      </c>
      <c r="G30" s="3">
        <v>0</v>
      </c>
      <c r="H30" s="3">
        <v>1404000</v>
      </c>
      <c r="I30" s="3">
        <v>0</v>
      </c>
      <c r="J30" s="3">
        <v>0</v>
      </c>
      <c r="K30" s="3">
        <f t="shared" si="2"/>
        <v>86439000</v>
      </c>
      <c r="L30" s="3">
        <f t="shared" si="2"/>
        <v>0</v>
      </c>
      <c r="M30" s="3">
        <f t="shared" si="2"/>
        <v>0</v>
      </c>
      <c r="N30" s="3">
        <f t="shared" si="1"/>
        <v>86439000</v>
      </c>
    </row>
    <row r="31" spans="1:15" x14ac:dyDescent="0.15">
      <c r="A31" s="1">
        <v>1999</v>
      </c>
      <c r="B31" s="3">
        <v>88979146</v>
      </c>
      <c r="C31" s="3">
        <v>0</v>
      </c>
      <c r="D31" s="3">
        <v>0</v>
      </c>
      <c r="E31" s="3">
        <f>99490000-B31</f>
        <v>10510854</v>
      </c>
      <c r="F31" s="3">
        <v>0</v>
      </c>
      <c r="G31" s="3">
        <v>0</v>
      </c>
      <c r="H31" s="3">
        <v>1334000</v>
      </c>
      <c r="I31" s="3">
        <v>0</v>
      </c>
      <c r="J31" s="3">
        <v>0</v>
      </c>
      <c r="K31" s="3">
        <f t="shared" si="2"/>
        <v>100824000</v>
      </c>
      <c r="L31" s="3">
        <f t="shared" si="2"/>
        <v>0</v>
      </c>
      <c r="M31" s="3">
        <f t="shared" si="2"/>
        <v>0</v>
      </c>
      <c r="N31" s="3">
        <f t="shared" si="1"/>
        <v>100824000</v>
      </c>
    </row>
    <row r="32" spans="1:15" x14ac:dyDescent="0.15">
      <c r="A32" s="1">
        <v>2000</v>
      </c>
      <c r="B32" s="3">
        <v>92218210</v>
      </c>
      <c r="C32" s="3">
        <v>0</v>
      </c>
      <c r="D32" s="3">
        <v>0</v>
      </c>
      <c r="E32" s="3">
        <f>104737000-B32</f>
        <v>12518790</v>
      </c>
      <c r="F32" s="3">
        <v>0</v>
      </c>
      <c r="G32" s="3">
        <v>0</v>
      </c>
      <c r="H32" s="3">
        <v>1432000</v>
      </c>
      <c r="I32" s="3">
        <v>0</v>
      </c>
      <c r="J32" s="3">
        <v>0</v>
      </c>
      <c r="K32" s="3">
        <f t="shared" si="2"/>
        <v>106169000</v>
      </c>
      <c r="L32" s="3">
        <f t="shared" si="2"/>
        <v>0</v>
      </c>
      <c r="M32" s="3">
        <f t="shared" si="2"/>
        <v>0</v>
      </c>
      <c r="N32" s="3">
        <f t="shared" si="1"/>
        <v>106169000</v>
      </c>
    </row>
    <row r="33" spans="1:15" x14ac:dyDescent="0.15">
      <c r="A33" s="1">
        <v>2001</v>
      </c>
      <c r="B33" s="3">
        <f>48233529+47819549+221431</f>
        <v>96274509</v>
      </c>
      <c r="C33" s="3">
        <v>0</v>
      </c>
      <c r="D33" s="3">
        <v>0</v>
      </c>
      <c r="E33" s="3">
        <f>110147000-B33</f>
        <v>13872491</v>
      </c>
      <c r="F33" s="3">
        <v>25000</v>
      </c>
      <c r="G33" s="3">
        <v>0</v>
      </c>
      <c r="H33" s="3">
        <v>1471000</v>
      </c>
      <c r="I33" s="3">
        <v>0</v>
      </c>
      <c r="J33" s="3">
        <v>0</v>
      </c>
      <c r="K33" s="3">
        <f t="shared" si="2"/>
        <v>111618000</v>
      </c>
      <c r="L33" s="3">
        <f t="shared" si="2"/>
        <v>25000</v>
      </c>
      <c r="M33" s="3">
        <f t="shared" si="2"/>
        <v>0</v>
      </c>
      <c r="N33" s="3">
        <f t="shared" si="1"/>
        <v>111643000</v>
      </c>
    </row>
    <row r="34" spans="1:15" x14ac:dyDescent="0.15">
      <c r="A34" s="1">
        <v>2002</v>
      </c>
      <c r="B34" s="3">
        <v>99598793</v>
      </c>
      <c r="C34" s="3">
        <v>0</v>
      </c>
      <c r="D34" s="3">
        <v>0</v>
      </c>
      <c r="E34" s="3">
        <f>114708000-B34</f>
        <v>15109207</v>
      </c>
      <c r="F34" s="3">
        <v>25000</v>
      </c>
      <c r="G34" s="3">
        <v>0</v>
      </c>
      <c r="H34" s="3">
        <v>11682000</v>
      </c>
      <c r="I34" s="3">
        <v>711000</v>
      </c>
      <c r="J34" s="3">
        <v>0</v>
      </c>
      <c r="K34" s="3">
        <f t="shared" si="2"/>
        <v>126390000</v>
      </c>
      <c r="L34" s="3">
        <f t="shared" si="2"/>
        <v>736000</v>
      </c>
      <c r="M34" s="3">
        <f t="shared" si="2"/>
        <v>0</v>
      </c>
      <c r="N34" s="3">
        <f t="shared" si="1"/>
        <v>127126000</v>
      </c>
    </row>
    <row r="35" spans="1:15" x14ac:dyDescent="0.15">
      <c r="A35" s="1">
        <v>2003</v>
      </c>
      <c r="B35" s="3">
        <v>116350717</v>
      </c>
      <c r="C35" s="3">
        <v>0</v>
      </c>
      <c r="D35" s="3">
        <v>0</v>
      </c>
      <c r="E35" s="3">
        <v>19541454</v>
      </c>
      <c r="F35" s="3">
        <v>0</v>
      </c>
      <c r="G35" s="3">
        <v>71319623</v>
      </c>
      <c r="H35" s="3">
        <v>840886</v>
      </c>
      <c r="I35" s="3">
        <v>0</v>
      </c>
      <c r="J35" s="3">
        <v>10489385</v>
      </c>
      <c r="K35" s="3">
        <f t="shared" si="2"/>
        <v>136733057</v>
      </c>
      <c r="L35" s="3">
        <f t="shared" si="2"/>
        <v>0</v>
      </c>
      <c r="M35" s="3">
        <f t="shared" si="2"/>
        <v>81809008</v>
      </c>
      <c r="N35" s="3">
        <f t="shared" si="1"/>
        <v>218542065</v>
      </c>
    </row>
    <row r="36" spans="1:15" x14ac:dyDescent="0.15">
      <c r="A36" s="1">
        <v>2004</v>
      </c>
      <c r="B36" s="3">
        <v>128564543</v>
      </c>
      <c r="C36" s="3">
        <v>0</v>
      </c>
      <c r="D36" s="3">
        <v>0</v>
      </c>
      <c r="E36" s="3">
        <v>22140554</v>
      </c>
      <c r="F36" s="3">
        <v>0</v>
      </c>
      <c r="G36" s="3">
        <v>0</v>
      </c>
      <c r="H36" s="3">
        <v>10557617</v>
      </c>
      <c r="I36" s="3">
        <v>0</v>
      </c>
      <c r="J36" s="3">
        <v>84437317</v>
      </c>
      <c r="K36" s="3">
        <v>161262714</v>
      </c>
      <c r="L36" s="3">
        <v>0</v>
      </c>
      <c r="M36" s="3">
        <v>84437317</v>
      </c>
      <c r="N36" s="3">
        <v>245700031</v>
      </c>
    </row>
    <row r="37" spans="1:15" x14ac:dyDescent="0.15">
      <c r="A37" s="1">
        <v>2005</v>
      </c>
      <c r="B37" s="3">
        <v>135959965</v>
      </c>
      <c r="C37" s="3">
        <v>0</v>
      </c>
      <c r="D37" s="3">
        <v>0</v>
      </c>
      <c r="E37" s="3">
        <v>24852697</v>
      </c>
      <c r="F37" s="3">
        <v>0</v>
      </c>
      <c r="G37" s="3">
        <v>104702584</v>
      </c>
      <c r="H37" s="3">
        <v>11374801</v>
      </c>
      <c r="I37" s="3">
        <v>0</v>
      </c>
      <c r="J37" s="3">
        <v>0</v>
      </c>
      <c r="K37" s="3">
        <v>172187463</v>
      </c>
      <c r="L37" s="3">
        <v>0</v>
      </c>
      <c r="M37" s="3">
        <v>104702584</v>
      </c>
      <c r="N37" s="3">
        <v>276890047</v>
      </c>
      <c r="O37" s="1" t="s">
        <v>268</v>
      </c>
    </row>
    <row r="38" spans="1:15" x14ac:dyDescent="0.15">
      <c r="A38" s="1">
        <v>2006</v>
      </c>
      <c r="B38" s="3">
        <v>145431827</v>
      </c>
      <c r="C38" s="3">
        <v>0</v>
      </c>
      <c r="D38" s="3">
        <v>0</v>
      </c>
      <c r="E38" s="3">
        <v>30934672</v>
      </c>
      <c r="F38" s="3">
        <v>0</v>
      </c>
      <c r="G38" s="3">
        <v>104702584</v>
      </c>
      <c r="H38" s="3">
        <v>5914646</v>
      </c>
      <c r="I38" s="3">
        <v>0</v>
      </c>
      <c r="J38" s="3">
        <v>0</v>
      </c>
      <c r="K38" s="3">
        <v>182281145</v>
      </c>
      <c r="L38" s="3">
        <v>0</v>
      </c>
      <c r="M38" s="3">
        <v>104702584</v>
      </c>
      <c r="N38" s="3">
        <v>286983729</v>
      </c>
      <c r="O38" s="1" t="s">
        <v>269</v>
      </c>
    </row>
    <row r="39" spans="1:15" x14ac:dyDescent="0.15">
      <c r="A39" s="1">
        <v>2007</v>
      </c>
      <c r="B39" s="3">
        <v>163393673</v>
      </c>
      <c r="C39" s="3">
        <v>0</v>
      </c>
      <c r="D39" s="3">
        <v>0</v>
      </c>
      <c r="E39" s="3">
        <v>27979038</v>
      </c>
      <c r="F39" s="3">
        <v>0</v>
      </c>
      <c r="G39" s="3">
        <v>131567296</v>
      </c>
      <c r="H39" s="3">
        <v>8864125</v>
      </c>
      <c r="I39" s="3">
        <v>0</v>
      </c>
      <c r="J39" s="3">
        <v>0</v>
      </c>
      <c r="K39" s="3">
        <v>200236836</v>
      </c>
      <c r="L39" s="3">
        <v>0</v>
      </c>
      <c r="M39" s="3">
        <v>131567296</v>
      </c>
      <c r="N39" s="3">
        <v>331804132</v>
      </c>
    </row>
    <row r="40" spans="1:15" x14ac:dyDescent="0.15">
      <c r="A40" s="1">
        <v>2008</v>
      </c>
      <c r="B40" s="3">
        <v>183407273</v>
      </c>
      <c r="C40" s="3">
        <v>0</v>
      </c>
      <c r="D40" s="3">
        <v>0</v>
      </c>
      <c r="E40" s="3">
        <v>30219780</v>
      </c>
      <c r="F40" s="3">
        <v>0</v>
      </c>
      <c r="G40" s="3">
        <v>0</v>
      </c>
      <c r="H40" s="3">
        <v>10049432</v>
      </c>
      <c r="I40" s="3">
        <v>0</v>
      </c>
      <c r="J40" s="3">
        <v>0</v>
      </c>
      <c r="K40" s="3">
        <v>223676485</v>
      </c>
      <c r="L40" s="3">
        <v>0</v>
      </c>
      <c r="M40" s="3">
        <v>0</v>
      </c>
      <c r="N40" s="3">
        <v>223676485</v>
      </c>
    </row>
    <row r="41" spans="1:15" x14ac:dyDescent="0.15">
      <c r="A41" s="1">
        <v>2009</v>
      </c>
      <c r="B41" s="3">
        <v>196838902</v>
      </c>
      <c r="C41" s="3">
        <v>0</v>
      </c>
      <c r="D41" s="3">
        <v>0</v>
      </c>
      <c r="E41" s="3">
        <v>36247931</v>
      </c>
      <c r="F41" s="3">
        <v>0</v>
      </c>
      <c r="G41" s="3">
        <v>0</v>
      </c>
      <c r="H41" s="3">
        <v>10913126</v>
      </c>
      <c r="I41" s="3">
        <v>0</v>
      </c>
      <c r="J41" s="3">
        <v>0</v>
      </c>
      <c r="K41" s="3">
        <v>243999959</v>
      </c>
      <c r="L41" s="3">
        <v>0</v>
      </c>
      <c r="M41" s="3">
        <v>0</v>
      </c>
      <c r="N41" s="3">
        <v>243999959</v>
      </c>
    </row>
    <row r="42" spans="1:15" x14ac:dyDescent="0.15">
      <c r="A42" s="1">
        <v>2010</v>
      </c>
      <c r="B42" s="3">
        <v>170202947</v>
      </c>
      <c r="C42" s="3">
        <v>0</v>
      </c>
      <c r="D42" s="3">
        <v>0</v>
      </c>
      <c r="E42" s="3">
        <v>47891852</v>
      </c>
      <c r="F42" s="3">
        <v>0</v>
      </c>
      <c r="G42" s="3">
        <v>0</v>
      </c>
      <c r="H42" s="3">
        <v>11725719</v>
      </c>
      <c r="I42" s="3">
        <v>0</v>
      </c>
      <c r="J42" s="3">
        <v>0</v>
      </c>
      <c r="K42" s="3">
        <v>229820518</v>
      </c>
      <c r="L42" s="3">
        <v>0</v>
      </c>
      <c r="M42" s="3">
        <v>0</v>
      </c>
      <c r="N42" s="3">
        <v>229820518</v>
      </c>
    </row>
    <row r="43" spans="1:15" x14ac:dyDescent="0.15">
      <c r="A43" s="1">
        <v>2011</v>
      </c>
      <c r="B43" s="3">
        <v>185569958</v>
      </c>
      <c r="C43" s="3">
        <v>0</v>
      </c>
      <c r="D43" s="3">
        <v>0</v>
      </c>
      <c r="E43" s="3">
        <v>53202318</v>
      </c>
      <c r="F43" s="3">
        <v>0</v>
      </c>
      <c r="G43" s="3">
        <v>0</v>
      </c>
      <c r="H43" s="3">
        <v>12482193</v>
      </c>
      <c r="I43" s="3">
        <v>0</v>
      </c>
      <c r="J43" s="3">
        <v>0</v>
      </c>
      <c r="K43" s="3">
        <v>251254469</v>
      </c>
      <c r="L43" s="3">
        <v>0</v>
      </c>
      <c r="M43" s="3">
        <v>0</v>
      </c>
      <c r="N43" s="3">
        <v>251254469</v>
      </c>
    </row>
    <row r="44" spans="1:15" x14ac:dyDescent="0.15">
      <c r="A44" s="1">
        <v>2012</v>
      </c>
      <c r="B44" s="3">
        <v>186157474</v>
      </c>
      <c r="C44" s="3">
        <v>0</v>
      </c>
      <c r="D44" s="3">
        <v>0</v>
      </c>
      <c r="E44" s="3">
        <v>64169835</v>
      </c>
      <c r="F44" s="3">
        <v>0</v>
      </c>
      <c r="G44" s="3">
        <v>0</v>
      </c>
      <c r="H44" s="3">
        <v>68000</v>
      </c>
      <c r="I44" s="3">
        <v>0</v>
      </c>
      <c r="J44" s="3">
        <v>8516839</v>
      </c>
      <c r="K44" s="3">
        <v>250395309</v>
      </c>
      <c r="L44" s="3">
        <v>0</v>
      </c>
      <c r="M44" s="3">
        <v>8516839</v>
      </c>
      <c r="N44" s="3">
        <v>258912148</v>
      </c>
    </row>
    <row r="45" spans="1:15" x14ac:dyDescent="0.15">
      <c r="A45" s="1">
        <v>2013</v>
      </c>
      <c r="B45" s="3">
        <v>180468810</v>
      </c>
      <c r="C45" s="3">
        <v>0</v>
      </c>
      <c r="D45" s="3">
        <v>0</v>
      </c>
      <c r="E45" s="3">
        <v>72125878</v>
      </c>
      <c r="F45" s="3">
        <v>0</v>
      </c>
      <c r="G45" s="3">
        <v>0</v>
      </c>
      <c r="H45" s="3">
        <v>6912650</v>
      </c>
      <c r="I45" s="3">
        <v>0</v>
      </c>
      <c r="J45" s="3">
        <v>0</v>
      </c>
      <c r="K45" s="3">
        <v>259507338</v>
      </c>
      <c r="L45" s="3">
        <v>0</v>
      </c>
      <c r="M45" s="3">
        <v>0</v>
      </c>
      <c r="N45" s="3">
        <v>259507338</v>
      </c>
    </row>
    <row r="46" spans="1:15" x14ac:dyDescent="0.15">
      <c r="A46" s="1">
        <v>2014</v>
      </c>
      <c r="B46" s="3">
        <v>139775372</v>
      </c>
      <c r="C46" s="3">
        <v>0</v>
      </c>
      <c r="D46" s="3">
        <v>0</v>
      </c>
      <c r="E46" s="3">
        <v>129620529</v>
      </c>
      <c r="F46" s="3">
        <v>0</v>
      </c>
      <c r="G46" s="3">
        <v>0</v>
      </c>
      <c r="H46" s="3">
        <v>6143827</v>
      </c>
      <c r="I46" s="3">
        <v>0</v>
      </c>
      <c r="J46" s="3">
        <v>0</v>
      </c>
      <c r="K46" s="3">
        <v>275539728</v>
      </c>
      <c r="L46" s="3">
        <v>0</v>
      </c>
      <c r="M46" s="3">
        <v>0</v>
      </c>
      <c r="N46" s="3">
        <v>275539728</v>
      </c>
      <c r="O46" s="1" t="s">
        <v>270</v>
      </c>
    </row>
    <row r="47" spans="1:15" x14ac:dyDescent="0.15">
      <c r="A47" s="1">
        <v>2015</v>
      </c>
      <c r="B47" s="3">
        <v>149784055</v>
      </c>
      <c r="C47" s="3">
        <v>0</v>
      </c>
      <c r="D47" s="3">
        <v>0</v>
      </c>
      <c r="E47" s="3">
        <v>138850709</v>
      </c>
      <c r="F47" s="3">
        <v>0</v>
      </c>
      <c r="G47" s="3">
        <v>0</v>
      </c>
      <c r="H47" s="3">
        <v>6267198</v>
      </c>
      <c r="I47" s="3">
        <v>0</v>
      </c>
      <c r="J47" s="3">
        <v>0</v>
      </c>
      <c r="K47" s="3">
        <v>294901962</v>
      </c>
      <c r="L47" s="3">
        <v>0</v>
      </c>
      <c r="M47" s="3">
        <v>0</v>
      </c>
      <c r="N47" s="3">
        <v>294901962</v>
      </c>
    </row>
    <row r="48" spans="1:15" x14ac:dyDescent="0.15">
      <c r="A48" s="1">
        <v>2016</v>
      </c>
      <c r="B48" s="3">
        <v>134538043</v>
      </c>
      <c r="C48" s="3">
        <v>0</v>
      </c>
      <c r="D48" s="3">
        <v>0</v>
      </c>
      <c r="E48" s="3">
        <v>156205260</v>
      </c>
      <c r="F48" s="3">
        <v>0</v>
      </c>
      <c r="G48" s="3">
        <v>0</v>
      </c>
      <c r="H48" s="3">
        <v>6187618</v>
      </c>
      <c r="I48" s="3">
        <v>0</v>
      </c>
      <c r="J48" s="3">
        <v>0</v>
      </c>
      <c r="K48" s="3">
        <v>296930921</v>
      </c>
      <c r="L48" s="3">
        <v>0</v>
      </c>
      <c r="M48" s="3">
        <v>0</v>
      </c>
      <c r="N48" s="3">
        <v>296930921</v>
      </c>
    </row>
  </sheetData>
  <phoneticPr fontId="0"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zoomScaleNormal="85" workbookViewId="0"/>
  </sheetViews>
  <sheetFormatPr defaultColWidth="10.625" defaultRowHeight="11.25" x14ac:dyDescent="0.15"/>
  <cols>
    <col min="1" max="16384" width="10.625" style="1"/>
  </cols>
  <sheetData>
    <row r="1" spans="1:15" x14ac:dyDescent="0.15">
      <c r="A1" s="1" t="s">
        <v>23</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5893083</v>
      </c>
      <c r="C6" s="3">
        <v>0</v>
      </c>
      <c r="D6" s="3">
        <v>0</v>
      </c>
      <c r="E6" s="3">
        <v>321587</v>
      </c>
      <c r="F6" s="3">
        <v>0</v>
      </c>
      <c r="G6" s="3">
        <v>0</v>
      </c>
      <c r="H6" s="3">
        <v>0</v>
      </c>
      <c r="I6" s="3">
        <v>0</v>
      </c>
      <c r="J6" s="3">
        <v>0</v>
      </c>
      <c r="K6" s="3">
        <f t="shared" ref="K6:M21" si="0">+B6+E6+H6</f>
        <v>6214670</v>
      </c>
      <c r="L6" s="3">
        <f t="shared" si="0"/>
        <v>0</v>
      </c>
      <c r="M6" s="3">
        <f t="shared" si="0"/>
        <v>0</v>
      </c>
      <c r="N6" s="3">
        <f t="shared" ref="N6:N35" si="1">+M6+L6+K6</f>
        <v>6214670</v>
      </c>
      <c r="O6" s="1" t="s">
        <v>40</v>
      </c>
    </row>
    <row r="7" spans="1:15" x14ac:dyDescent="0.15">
      <c r="A7" s="1">
        <v>1975</v>
      </c>
      <c r="B7" s="3">
        <v>6013000</v>
      </c>
      <c r="C7" s="3">
        <v>0</v>
      </c>
      <c r="D7" s="3">
        <v>0</v>
      </c>
      <c r="E7" s="3">
        <f>529000+39000</f>
        <v>568000</v>
      </c>
      <c r="F7" s="3">
        <v>0</v>
      </c>
      <c r="G7" s="3">
        <v>0</v>
      </c>
      <c r="H7" s="3">
        <v>0</v>
      </c>
      <c r="I7" s="3">
        <v>0</v>
      </c>
      <c r="J7" s="3">
        <v>0</v>
      </c>
      <c r="K7" s="3">
        <f t="shared" si="0"/>
        <v>6581000</v>
      </c>
      <c r="L7" s="3">
        <f t="shared" si="0"/>
        <v>0</v>
      </c>
      <c r="M7" s="3">
        <f t="shared" si="0"/>
        <v>0</v>
      </c>
      <c r="N7" s="3">
        <f t="shared" si="1"/>
        <v>6581000</v>
      </c>
    </row>
    <row r="8" spans="1:15" x14ac:dyDescent="0.15">
      <c r="A8" s="1">
        <v>1976</v>
      </c>
      <c r="B8" s="3">
        <v>8991000</v>
      </c>
      <c r="C8" s="3">
        <v>0</v>
      </c>
      <c r="D8" s="3">
        <v>0</v>
      </c>
      <c r="E8" s="3">
        <f>556000+71000</f>
        <v>627000</v>
      </c>
      <c r="F8" s="3">
        <v>0</v>
      </c>
      <c r="G8" s="3">
        <v>0</v>
      </c>
      <c r="H8" s="3">
        <v>0</v>
      </c>
      <c r="I8" s="3">
        <v>0</v>
      </c>
      <c r="J8" s="3">
        <v>0</v>
      </c>
      <c r="K8" s="3">
        <f t="shared" si="0"/>
        <v>9618000</v>
      </c>
      <c r="L8" s="3">
        <f t="shared" si="0"/>
        <v>0</v>
      </c>
      <c r="M8" s="3">
        <f t="shared" si="0"/>
        <v>0</v>
      </c>
      <c r="N8" s="3">
        <f t="shared" si="1"/>
        <v>9618000</v>
      </c>
    </row>
    <row r="9" spans="1:15" x14ac:dyDescent="0.15">
      <c r="A9" s="1">
        <v>1977</v>
      </c>
      <c r="B9" s="3">
        <v>9219000</v>
      </c>
      <c r="C9" s="3">
        <v>0</v>
      </c>
      <c r="D9" s="3">
        <v>0</v>
      </c>
      <c r="E9" s="3">
        <f>670000+273000</f>
        <v>943000</v>
      </c>
      <c r="F9" s="3">
        <v>0</v>
      </c>
      <c r="G9" s="3">
        <v>0</v>
      </c>
      <c r="H9" s="3">
        <v>0</v>
      </c>
      <c r="I9" s="3">
        <v>0</v>
      </c>
      <c r="J9" s="3">
        <v>0</v>
      </c>
      <c r="K9" s="3">
        <f t="shared" si="0"/>
        <v>10162000</v>
      </c>
      <c r="L9" s="3">
        <f t="shared" si="0"/>
        <v>0</v>
      </c>
      <c r="M9" s="3">
        <f t="shared" si="0"/>
        <v>0</v>
      </c>
      <c r="N9" s="3">
        <f t="shared" si="1"/>
        <v>10162000</v>
      </c>
    </row>
    <row r="10" spans="1:15" x14ac:dyDescent="0.15">
      <c r="A10" s="1">
        <v>1978</v>
      </c>
      <c r="B10" s="3">
        <v>10631000</v>
      </c>
      <c r="C10" s="3">
        <v>0</v>
      </c>
      <c r="D10" s="3">
        <v>0</v>
      </c>
      <c r="E10" s="3">
        <f>599000+295000</f>
        <v>894000</v>
      </c>
      <c r="F10" s="3">
        <v>0</v>
      </c>
      <c r="G10" s="3">
        <v>0</v>
      </c>
      <c r="H10" s="3">
        <v>0</v>
      </c>
      <c r="I10" s="3">
        <v>0</v>
      </c>
      <c r="J10" s="3">
        <v>0</v>
      </c>
      <c r="K10" s="3">
        <f t="shared" si="0"/>
        <v>11525000</v>
      </c>
      <c r="L10" s="3">
        <f t="shared" si="0"/>
        <v>0</v>
      </c>
      <c r="M10" s="3">
        <f t="shared" si="0"/>
        <v>0</v>
      </c>
      <c r="N10" s="3">
        <f t="shared" si="1"/>
        <v>11525000</v>
      </c>
    </row>
    <row r="11" spans="1:15" x14ac:dyDescent="0.15">
      <c r="A11" s="1">
        <v>1979</v>
      </c>
      <c r="B11" s="3">
        <v>12180000</v>
      </c>
      <c r="C11" s="3">
        <v>0</v>
      </c>
      <c r="D11" s="3">
        <v>0</v>
      </c>
      <c r="E11" s="3">
        <f>661000+700000</f>
        <v>1361000</v>
      </c>
      <c r="F11" s="3">
        <v>0</v>
      </c>
      <c r="G11" s="3">
        <v>0</v>
      </c>
      <c r="H11" s="3">
        <v>0</v>
      </c>
      <c r="I11" s="3">
        <v>0</v>
      </c>
      <c r="J11" s="3">
        <v>0</v>
      </c>
      <c r="K11" s="3">
        <f t="shared" si="0"/>
        <v>13541000</v>
      </c>
      <c r="L11" s="3">
        <f t="shared" si="0"/>
        <v>0</v>
      </c>
      <c r="M11" s="3">
        <f t="shared" si="0"/>
        <v>0</v>
      </c>
      <c r="N11" s="3">
        <f t="shared" si="1"/>
        <v>13541000</v>
      </c>
    </row>
    <row r="12" spans="1:15" x14ac:dyDescent="0.15">
      <c r="A12" s="1">
        <v>1980</v>
      </c>
      <c r="B12" s="3">
        <v>13744000</v>
      </c>
      <c r="C12" s="3">
        <v>0</v>
      </c>
      <c r="D12" s="3">
        <v>0</v>
      </c>
      <c r="E12" s="3">
        <f>664000+788000</f>
        <v>1452000</v>
      </c>
      <c r="F12" s="3">
        <v>0</v>
      </c>
      <c r="G12" s="3">
        <v>0</v>
      </c>
      <c r="H12" s="3">
        <v>0</v>
      </c>
      <c r="I12" s="3">
        <v>0</v>
      </c>
      <c r="J12" s="3">
        <v>0</v>
      </c>
      <c r="K12" s="3">
        <f t="shared" si="0"/>
        <v>15196000</v>
      </c>
      <c r="L12" s="3">
        <f t="shared" si="0"/>
        <v>0</v>
      </c>
      <c r="M12" s="3">
        <f t="shared" si="0"/>
        <v>0</v>
      </c>
      <c r="N12" s="3">
        <f t="shared" si="1"/>
        <v>15196000</v>
      </c>
    </row>
    <row r="13" spans="1:15" x14ac:dyDescent="0.15">
      <c r="A13" s="1">
        <v>1981</v>
      </c>
      <c r="B13" s="3">
        <v>14035000</v>
      </c>
      <c r="C13" s="3">
        <v>0</v>
      </c>
      <c r="D13" s="3">
        <v>0</v>
      </c>
      <c r="E13" s="3">
        <f>684000+825000</f>
        <v>1509000</v>
      </c>
      <c r="F13" s="3">
        <v>0</v>
      </c>
      <c r="G13" s="3">
        <v>0</v>
      </c>
      <c r="H13" s="3">
        <v>0</v>
      </c>
      <c r="I13" s="3">
        <v>0</v>
      </c>
      <c r="J13" s="3">
        <v>0</v>
      </c>
      <c r="K13" s="3">
        <f t="shared" si="0"/>
        <v>15544000</v>
      </c>
      <c r="L13" s="3">
        <f t="shared" si="0"/>
        <v>0</v>
      </c>
      <c r="M13" s="3">
        <f t="shared" si="0"/>
        <v>0</v>
      </c>
      <c r="N13" s="3">
        <f t="shared" si="1"/>
        <v>15544000</v>
      </c>
    </row>
    <row r="14" spans="1:15" x14ac:dyDescent="0.15">
      <c r="A14" s="1">
        <v>1982</v>
      </c>
      <c r="B14" s="3">
        <v>14124000</v>
      </c>
      <c r="C14" s="3">
        <v>0</v>
      </c>
      <c r="D14" s="3">
        <v>0</v>
      </c>
      <c r="E14" s="3">
        <f>673000+832000</f>
        <v>1505000</v>
      </c>
      <c r="F14" s="3">
        <v>0</v>
      </c>
      <c r="G14" s="3">
        <v>0</v>
      </c>
      <c r="H14" s="3">
        <v>0</v>
      </c>
      <c r="I14" s="3">
        <v>0</v>
      </c>
      <c r="J14" s="3">
        <v>0</v>
      </c>
      <c r="K14" s="3">
        <f t="shared" si="0"/>
        <v>15629000</v>
      </c>
      <c r="L14" s="3">
        <f t="shared" si="0"/>
        <v>0</v>
      </c>
      <c r="M14" s="3">
        <f t="shared" si="0"/>
        <v>0</v>
      </c>
      <c r="N14" s="3">
        <f t="shared" si="1"/>
        <v>15629000</v>
      </c>
    </row>
    <row r="15" spans="1:15" x14ac:dyDescent="0.15">
      <c r="A15" s="1">
        <v>1983</v>
      </c>
      <c r="B15" s="3">
        <v>15600000</v>
      </c>
      <c r="C15" s="3">
        <v>0</v>
      </c>
      <c r="D15" s="3">
        <v>0</v>
      </c>
      <c r="E15" s="3">
        <f>700000+992000</f>
        <v>1692000</v>
      </c>
      <c r="F15" s="3">
        <v>0</v>
      </c>
      <c r="G15" s="3">
        <v>0</v>
      </c>
      <c r="H15" s="3">
        <v>0</v>
      </c>
      <c r="I15" s="3">
        <v>0</v>
      </c>
      <c r="J15" s="3">
        <v>0</v>
      </c>
      <c r="K15" s="3">
        <f t="shared" si="0"/>
        <v>17292000</v>
      </c>
      <c r="L15" s="3">
        <f t="shared" si="0"/>
        <v>0</v>
      </c>
      <c r="M15" s="3">
        <f t="shared" si="0"/>
        <v>0</v>
      </c>
      <c r="N15" s="3">
        <f t="shared" si="1"/>
        <v>17292000</v>
      </c>
    </row>
    <row r="16" spans="1:15" x14ac:dyDescent="0.15">
      <c r="A16" s="1">
        <v>1984</v>
      </c>
      <c r="B16" s="3">
        <v>18630000</v>
      </c>
      <c r="C16" s="3">
        <v>0</v>
      </c>
      <c r="D16" s="3">
        <v>0</v>
      </c>
      <c r="E16" s="3">
        <f>680000+958000</f>
        <v>1638000</v>
      </c>
      <c r="F16" s="3">
        <v>0</v>
      </c>
      <c r="G16" s="3">
        <v>0</v>
      </c>
      <c r="H16" s="3">
        <v>0</v>
      </c>
      <c r="I16" s="3">
        <v>0</v>
      </c>
      <c r="J16" s="3">
        <v>0</v>
      </c>
      <c r="K16" s="3">
        <f t="shared" si="0"/>
        <v>20268000</v>
      </c>
      <c r="L16" s="3">
        <f t="shared" si="0"/>
        <v>0</v>
      </c>
      <c r="M16" s="3">
        <f t="shared" si="0"/>
        <v>0</v>
      </c>
      <c r="N16" s="3">
        <f t="shared" si="1"/>
        <v>20268000</v>
      </c>
    </row>
    <row r="17" spans="1:14" x14ac:dyDescent="0.15">
      <c r="A17" s="1">
        <v>1985</v>
      </c>
      <c r="B17" s="3">
        <v>20584000</v>
      </c>
      <c r="C17" s="3">
        <v>0</v>
      </c>
      <c r="D17" s="3">
        <v>0</v>
      </c>
      <c r="E17" s="3">
        <f>700000+1139000</f>
        <v>1839000</v>
      </c>
      <c r="F17" s="3">
        <v>0</v>
      </c>
      <c r="G17" s="3">
        <v>0</v>
      </c>
      <c r="H17" s="3">
        <v>1524000</v>
      </c>
      <c r="I17" s="3">
        <v>0</v>
      </c>
      <c r="J17" s="3">
        <v>0</v>
      </c>
      <c r="K17" s="3">
        <f t="shared" si="0"/>
        <v>23947000</v>
      </c>
      <c r="L17" s="3">
        <f t="shared" si="0"/>
        <v>0</v>
      </c>
      <c r="M17" s="3">
        <f t="shared" si="0"/>
        <v>0</v>
      </c>
      <c r="N17" s="3">
        <f t="shared" si="1"/>
        <v>23947000</v>
      </c>
    </row>
    <row r="18" spans="1:14" x14ac:dyDescent="0.15">
      <c r="A18" s="1">
        <v>1986</v>
      </c>
      <c r="B18" s="3">
        <v>20733000</v>
      </c>
      <c r="C18" s="3">
        <v>0</v>
      </c>
      <c r="D18" s="3">
        <v>0</v>
      </c>
      <c r="E18" s="3">
        <f>673000+1127000</f>
        <v>1800000</v>
      </c>
      <c r="F18" s="3">
        <v>0</v>
      </c>
      <c r="G18" s="3">
        <v>0</v>
      </c>
      <c r="H18" s="3">
        <v>983000</v>
      </c>
      <c r="I18" s="3">
        <v>0</v>
      </c>
      <c r="J18" s="3">
        <v>0</v>
      </c>
      <c r="K18" s="3">
        <f t="shared" si="0"/>
        <v>23516000</v>
      </c>
      <c r="L18" s="3">
        <f t="shared" si="0"/>
        <v>0</v>
      </c>
      <c r="M18" s="3">
        <f t="shared" si="0"/>
        <v>0</v>
      </c>
      <c r="N18" s="3">
        <f t="shared" si="1"/>
        <v>23516000</v>
      </c>
    </row>
    <row r="19" spans="1:14" x14ac:dyDescent="0.15">
      <c r="A19" s="1">
        <v>1987</v>
      </c>
      <c r="B19" s="3">
        <v>20733000</v>
      </c>
      <c r="C19" s="3">
        <v>0</v>
      </c>
      <c r="D19" s="3">
        <v>0</v>
      </c>
      <c r="E19" s="3">
        <f>673000+1092000</f>
        <v>1765000</v>
      </c>
      <c r="F19" s="3">
        <v>0</v>
      </c>
      <c r="G19" s="3">
        <v>0</v>
      </c>
      <c r="H19" s="3">
        <v>900000</v>
      </c>
      <c r="I19" s="3">
        <v>0</v>
      </c>
      <c r="J19" s="3">
        <v>0</v>
      </c>
      <c r="K19" s="3">
        <f t="shared" si="0"/>
        <v>23398000</v>
      </c>
      <c r="L19" s="3">
        <f t="shared" si="0"/>
        <v>0</v>
      </c>
      <c r="M19" s="3">
        <f t="shared" si="0"/>
        <v>0</v>
      </c>
      <c r="N19" s="3">
        <f t="shared" si="1"/>
        <v>23398000</v>
      </c>
    </row>
    <row r="20" spans="1:14" x14ac:dyDescent="0.15">
      <c r="A20" s="1">
        <v>1988</v>
      </c>
      <c r="B20" s="3">
        <v>24295000</v>
      </c>
      <c r="C20" s="3">
        <v>0</v>
      </c>
      <c r="D20" s="3">
        <v>0</v>
      </c>
      <c r="E20" s="3">
        <f>771000+1091000</f>
        <v>1862000</v>
      </c>
      <c r="F20" s="3">
        <v>0</v>
      </c>
      <c r="G20" s="3">
        <v>0</v>
      </c>
      <c r="H20" s="3">
        <v>799000</v>
      </c>
      <c r="I20" s="3">
        <v>1525000</v>
      </c>
      <c r="J20" s="3">
        <v>0</v>
      </c>
      <c r="K20" s="3">
        <f t="shared" si="0"/>
        <v>26956000</v>
      </c>
      <c r="L20" s="3">
        <f t="shared" si="0"/>
        <v>1525000</v>
      </c>
      <c r="M20" s="3">
        <f t="shared" si="0"/>
        <v>0</v>
      </c>
      <c r="N20" s="3">
        <f t="shared" si="1"/>
        <v>28481000</v>
      </c>
    </row>
    <row r="21" spans="1:14" x14ac:dyDescent="0.15">
      <c r="A21" s="1">
        <v>1989</v>
      </c>
      <c r="B21" s="3">
        <v>28895000</v>
      </c>
      <c r="C21" s="3">
        <v>0</v>
      </c>
      <c r="D21" s="3">
        <v>0</v>
      </c>
      <c r="E21" s="3">
        <f>750000+1270000</f>
        <v>2020000</v>
      </c>
      <c r="F21" s="3">
        <v>0</v>
      </c>
      <c r="G21" s="3">
        <v>0</v>
      </c>
      <c r="H21" s="3">
        <v>450000</v>
      </c>
      <c r="I21" s="3">
        <v>0</v>
      </c>
      <c r="J21" s="3">
        <v>0</v>
      </c>
      <c r="K21" s="3">
        <f t="shared" si="0"/>
        <v>31365000</v>
      </c>
      <c r="L21" s="3">
        <f t="shared" si="0"/>
        <v>0</v>
      </c>
      <c r="M21" s="3">
        <f t="shared" si="0"/>
        <v>0</v>
      </c>
      <c r="N21" s="3">
        <f t="shared" si="1"/>
        <v>31365000</v>
      </c>
    </row>
    <row r="22" spans="1:14" x14ac:dyDescent="0.15">
      <c r="A22" s="1">
        <v>1990</v>
      </c>
      <c r="B22" s="3">
        <v>30683000</v>
      </c>
      <c r="C22" s="3">
        <v>0</v>
      </c>
      <c r="D22" s="3">
        <v>0</v>
      </c>
      <c r="E22" s="3">
        <f>50000+1368000</f>
        <v>1418000</v>
      </c>
      <c r="F22" s="3">
        <v>0</v>
      </c>
      <c r="G22" s="3">
        <v>0</v>
      </c>
      <c r="H22" s="3">
        <v>800000</v>
      </c>
      <c r="I22" s="3">
        <v>396000</v>
      </c>
      <c r="J22" s="3">
        <v>0</v>
      </c>
      <c r="K22" s="3">
        <f t="shared" ref="K22:M35" si="2">+B22+E22+H22</f>
        <v>32901000</v>
      </c>
      <c r="L22" s="3">
        <f t="shared" si="2"/>
        <v>396000</v>
      </c>
      <c r="M22" s="3">
        <f t="shared" si="2"/>
        <v>0</v>
      </c>
      <c r="N22" s="3">
        <f t="shared" si="1"/>
        <v>33297000</v>
      </c>
    </row>
    <row r="23" spans="1:14" x14ac:dyDescent="0.15">
      <c r="A23" s="1">
        <v>1991</v>
      </c>
      <c r="B23" s="3">
        <v>32513000</v>
      </c>
      <c r="C23" s="3">
        <v>0</v>
      </c>
      <c r="D23" s="3">
        <v>0</v>
      </c>
      <c r="E23" s="3">
        <f>400000+1839000+1350000+500000+500000+546000</f>
        <v>5135000</v>
      </c>
      <c r="F23" s="3">
        <v>100000</v>
      </c>
      <c r="G23" s="3">
        <v>0</v>
      </c>
      <c r="H23" s="3">
        <v>478000</v>
      </c>
      <c r="I23" s="3">
        <v>426000</v>
      </c>
      <c r="J23" s="3">
        <v>0</v>
      </c>
      <c r="K23" s="3">
        <f t="shared" si="2"/>
        <v>38126000</v>
      </c>
      <c r="L23" s="3">
        <f t="shared" si="2"/>
        <v>526000</v>
      </c>
      <c r="M23" s="3">
        <f t="shared" si="2"/>
        <v>0</v>
      </c>
      <c r="N23" s="3">
        <f t="shared" si="1"/>
        <v>38652000</v>
      </c>
    </row>
    <row r="24" spans="1:14" x14ac:dyDescent="0.15">
      <c r="A24" s="1">
        <v>1992</v>
      </c>
      <c r="B24" s="3">
        <v>31424000</v>
      </c>
      <c r="C24" s="3">
        <v>0</v>
      </c>
      <c r="D24" s="3">
        <v>0</v>
      </c>
      <c r="E24" s="3">
        <f>1590000+1426000+433000</f>
        <v>3449000</v>
      </c>
      <c r="F24" s="3">
        <v>0</v>
      </c>
      <c r="G24" s="3">
        <v>0</v>
      </c>
      <c r="H24" s="3">
        <v>354000</v>
      </c>
      <c r="I24" s="3">
        <v>275000</v>
      </c>
      <c r="J24" s="3">
        <v>0</v>
      </c>
      <c r="K24" s="3">
        <f t="shared" si="2"/>
        <v>35227000</v>
      </c>
      <c r="L24" s="3">
        <f t="shared" si="2"/>
        <v>275000</v>
      </c>
      <c r="M24" s="3">
        <f t="shared" si="2"/>
        <v>0</v>
      </c>
      <c r="N24" s="3">
        <f t="shared" si="1"/>
        <v>35502000</v>
      </c>
    </row>
    <row r="25" spans="1:14" x14ac:dyDescent="0.15">
      <c r="A25" s="1">
        <v>1993</v>
      </c>
      <c r="B25" s="3">
        <v>30524000</v>
      </c>
      <c r="C25" s="3">
        <v>0</v>
      </c>
      <c r="D25" s="3">
        <v>0</v>
      </c>
      <c r="E25" s="3">
        <f>1647000+1547000+349000</f>
        <v>3543000</v>
      </c>
      <c r="F25" s="3">
        <v>0</v>
      </c>
      <c r="G25" s="3">
        <v>0</v>
      </c>
      <c r="H25" s="3">
        <v>427000</v>
      </c>
      <c r="I25" s="3">
        <v>365000</v>
      </c>
      <c r="J25" s="3">
        <v>0</v>
      </c>
      <c r="K25" s="3">
        <f t="shared" si="2"/>
        <v>34494000</v>
      </c>
      <c r="L25" s="3">
        <f t="shared" si="2"/>
        <v>365000</v>
      </c>
      <c r="M25" s="3">
        <f t="shared" si="2"/>
        <v>0</v>
      </c>
      <c r="N25" s="3">
        <f t="shared" si="1"/>
        <v>34859000</v>
      </c>
    </row>
    <row r="26" spans="1:14" x14ac:dyDescent="0.15">
      <c r="A26" s="1">
        <v>1994</v>
      </c>
      <c r="B26" s="3">
        <v>31524000</v>
      </c>
      <c r="C26" s="3">
        <v>0</v>
      </c>
      <c r="D26" s="3">
        <v>0</v>
      </c>
      <c r="E26" s="3">
        <f>1796000+1398000</f>
        <v>3194000</v>
      </c>
      <c r="F26" s="3">
        <v>0</v>
      </c>
      <c r="G26" s="3">
        <v>0</v>
      </c>
      <c r="H26" s="3">
        <v>475000</v>
      </c>
      <c r="I26" s="3">
        <v>72000</v>
      </c>
      <c r="J26" s="3">
        <v>0</v>
      </c>
      <c r="K26" s="3">
        <f t="shared" si="2"/>
        <v>35193000</v>
      </c>
      <c r="L26" s="3">
        <f t="shared" si="2"/>
        <v>72000</v>
      </c>
      <c r="M26" s="3">
        <f t="shared" si="2"/>
        <v>0</v>
      </c>
      <c r="N26" s="3">
        <f t="shared" si="1"/>
        <v>35265000</v>
      </c>
    </row>
    <row r="27" spans="1:14" x14ac:dyDescent="0.15">
      <c r="A27" s="1">
        <v>1995</v>
      </c>
      <c r="B27" s="3">
        <v>32293991</v>
      </c>
      <c r="C27" s="3">
        <v>0</v>
      </c>
      <c r="D27" s="3">
        <v>0</v>
      </c>
      <c r="E27" s="3">
        <f>35642000-B27</f>
        <v>3348009</v>
      </c>
      <c r="F27" s="3">
        <v>0</v>
      </c>
      <c r="G27" s="3">
        <v>0</v>
      </c>
      <c r="H27" s="3">
        <v>469000</v>
      </c>
      <c r="I27" s="3">
        <v>72000</v>
      </c>
      <c r="J27" s="3">
        <v>0</v>
      </c>
      <c r="K27" s="3">
        <f t="shared" si="2"/>
        <v>36111000</v>
      </c>
      <c r="L27" s="3">
        <f t="shared" si="2"/>
        <v>72000</v>
      </c>
      <c r="M27" s="3">
        <f t="shared" si="2"/>
        <v>0</v>
      </c>
      <c r="N27" s="3">
        <f t="shared" si="1"/>
        <v>36183000</v>
      </c>
    </row>
    <row r="28" spans="1:14" x14ac:dyDescent="0.15">
      <c r="A28" s="1">
        <v>1996</v>
      </c>
      <c r="B28" s="3">
        <v>35642470</v>
      </c>
      <c r="C28" s="3">
        <v>0</v>
      </c>
      <c r="D28" s="3">
        <v>0</v>
      </c>
      <c r="E28" s="3">
        <f>38953000-B28</f>
        <v>3310530</v>
      </c>
      <c r="F28" s="3">
        <v>0</v>
      </c>
      <c r="G28" s="3">
        <v>0</v>
      </c>
      <c r="H28" s="3">
        <v>478000</v>
      </c>
      <c r="I28" s="3">
        <v>72000</v>
      </c>
      <c r="J28" s="3">
        <v>0</v>
      </c>
      <c r="K28" s="3">
        <f t="shared" si="2"/>
        <v>39431000</v>
      </c>
      <c r="L28" s="3">
        <f t="shared" si="2"/>
        <v>72000</v>
      </c>
      <c r="M28" s="3">
        <f t="shared" si="2"/>
        <v>0</v>
      </c>
      <c r="N28" s="3">
        <f t="shared" si="1"/>
        <v>39503000</v>
      </c>
    </row>
    <row r="29" spans="1:14" x14ac:dyDescent="0.15">
      <c r="A29" s="1">
        <v>1997</v>
      </c>
      <c r="B29" s="3">
        <v>38628477</v>
      </c>
      <c r="C29" s="3">
        <v>0</v>
      </c>
      <c r="D29" s="3">
        <v>0</v>
      </c>
      <c r="E29" s="3">
        <f>41938000-B29</f>
        <v>3309523</v>
      </c>
      <c r="F29" s="3">
        <v>0</v>
      </c>
      <c r="G29" s="3">
        <v>0</v>
      </c>
      <c r="H29" s="3">
        <v>473000</v>
      </c>
      <c r="I29" s="3">
        <v>0</v>
      </c>
      <c r="J29" s="3">
        <v>0</v>
      </c>
      <c r="K29" s="3">
        <f t="shared" si="2"/>
        <v>42411000</v>
      </c>
      <c r="L29" s="3">
        <f t="shared" si="2"/>
        <v>0</v>
      </c>
      <c r="M29" s="3">
        <f t="shared" si="2"/>
        <v>0</v>
      </c>
      <c r="N29" s="3">
        <f t="shared" si="1"/>
        <v>42411000</v>
      </c>
    </row>
    <row r="30" spans="1:14" x14ac:dyDescent="0.15">
      <c r="A30" s="1">
        <v>1998</v>
      </c>
      <c r="B30" s="3">
        <v>41376800</v>
      </c>
      <c r="C30" s="3">
        <v>0</v>
      </c>
      <c r="D30" s="3">
        <v>0</v>
      </c>
      <c r="E30" s="3">
        <f>44897000-B30</f>
        <v>3520200</v>
      </c>
      <c r="F30" s="3">
        <v>0</v>
      </c>
      <c r="G30" s="3">
        <v>0</v>
      </c>
      <c r="H30" s="3">
        <v>488000</v>
      </c>
      <c r="I30" s="3">
        <v>0</v>
      </c>
      <c r="J30" s="3">
        <v>0</v>
      </c>
      <c r="K30" s="3">
        <f t="shared" si="2"/>
        <v>45385000</v>
      </c>
      <c r="L30" s="3">
        <f t="shared" si="2"/>
        <v>0</v>
      </c>
      <c r="M30" s="3">
        <f t="shared" si="2"/>
        <v>0</v>
      </c>
      <c r="N30" s="3">
        <f t="shared" si="1"/>
        <v>45385000</v>
      </c>
    </row>
    <row r="31" spans="1:14" x14ac:dyDescent="0.15">
      <c r="A31" s="1">
        <v>1999</v>
      </c>
      <c r="B31" s="3">
        <v>44580055</v>
      </c>
      <c r="C31" s="3">
        <v>0</v>
      </c>
      <c r="D31" s="3">
        <v>0</v>
      </c>
      <c r="E31" s="3">
        <f>48242000-B31</f>
        <v>3661945</v>
      </c>
      <c r="F31" s="3">
        <v>0</v>
      </c>
      <c r="G31" s="3">
        <v>0</v>
      </c>
      <c r="H31" s="3">
        <v>477000</v>
      </c>
      <c r="I31" s="3">
        <v>0</v>
      </c>
      <c r="J31" s="3">
        <v>0</v>
      </c>
      <c r="K31" s="3">
        <f t="shared" si="2"/>
        <v>48719000</v>
      </c>
      <c r="L31" s="3">
        <f t="shared" si="2"/>
        <v>0</v>
      </c>
      <c r="M31" s="3">
        <f t="shared" si="2"/>
        <v>0</v>
      </c>
      <c r="N31" s="3">
        <f t="shared" si="1"/>
        <v>48719000</v>
      </c>
    </row>
    <row r="32" spans="1:14" x14ac:dyDescent="0.15">
      <c r="A32" s="1">
        <v>2000</v>
      </c>
      <c r="B32" s="3">
        <v>47583660</v>
      </c>
      <c r="C32" s="3">
        <v>0</v>
      </c>
      <c r="D32" s="3">
        <v>0</v>
      </c>
      <c r="E32" s="3">
        <v>3767223</v>
      </c>
      <c r="F32" s="3">
        <v>0</v>
      </c>
      <c r="G32" s="3">
        <v>0</v>
      </c>
      <c r="H32" s="3">
        <v>472000</v>
      </c>
      <c r="I32" s="3">
        <v>0</v>
      </c>
      <c r="J32" s="3">
        <v>0</v>
      </c>
      <c r="K32" s="3">
        <f t="shared" si="2"/>
        <v>51822883</v>
      </c>
      <c r="L32" s="3">
        <f t="shared" si="2"/>
        <v>0</v>
      </c>
      <c r="M32" s="3">
        <f t="shared" si="2"/>
        <v>0</v>
      </c>
      <c r="N32" s="3">
        <f t="shared" si="1"/>
        <v>51822883</v>
      </c>
    </row>
    <row r="33" spans="1:15" x14ac:dyDescent="0.15">
      <c r="A33" s="1">
        <v>2001</v>
      </c>
      <c r="B33" s="3">
        <v>48655731</v>
      </c>
      <c r="C33" s="3">
        <v>0</v>
      </c>
      <c r="D33" s="3">
        <v>0</v>
      </c>
      <c r="E33" s="3">
        <v>3975964</v>
      </c>
      <c r="F33" s="3">
        <v>0</v>
      </c>
      <c r="G33" s="3">
        <v>0</v>
      </c>
      <c r="H33" s="3">
        <v>468000</v>
      </c>
      <c r="I33" s="3">
        <v>0</v>
      </c>
      <c r="J33" s="3">
        <v>0</v>
      </c>
      <c r="K33" s="3">
        <f t="shared" si="2"/>
        <v>53099695</v>
      </c>
      <c r="L33" s="3">
        <f t="shared" si="2"/>
        <v>0</v>
      </c>
      <c r="M33" s="3">
        <f t="shared" si="2"/>
        <v>0</v>
      </c>
      <c r="N33" s="3">
        <f t="shared" si="1"/>
        <v>53099695</v>
      </c>
    </row>
    <row r="34" spans="1:15" x14ac:dyDescent="0.15">
      <c r="A34" s="1">
        <v>2002</v>
      </c>
      <c r="B34" s="3">
        <v>47378344</v>
      </c>
      <c r="C34" s="3">
        <v>0</v>
      </c>
      <c r="D34" s="3">
        <v>0</v>
      </c>
      <c r="E34" s="3">
        <v>3812677</v>
      </c>
      <c r="F34" s="3">
        <v>0</v>
      </c>
      <c r="G34" s="3">
        <v>0</v>
      </c>
      <c r="H34" s="3">
        <v>477000</v>
      </c>
      <c r="I34" s="3">
        <v>0</v>
      </c>
      <c r="J34" s="3">
        <v>0</v>
      </c>
      <c r="K34" s="3">
        <f t="shared" si="2"/>
        <v>51668021</v>
      </c>
      <c r="L34" s="3">
        <f t="shared" si="2"/>
        <v>0</v>
      </c>
      <c r="M34" s="3">
        <f t="shared" si="2"/>
        <v>0</v>
      </c>
      <c r="N34" s="3">
        <f t="shared" si="1"/>
        <v>51668021</v>
      </c>
    </row>
    <row r="35" spans="1:15" x14ac:dyDescent="0.15">
      <c r="A35" s="1">
        <v>2003</v>
      </c>
      <c r="B35" s="3">
        <v>45737256</v>
      </c>
      <c r="C35" s="3">
        <v>0</v>
      </c>
      <c r="D35" s="3">
        <v>0</v>
      </c>
      <c r="E35" s="3">
        <v>3882626</v>
      </c>
      <c r="F35" s="3">
        <v>0</v>
      </c>
      <c r="G35" s="3">
        <v>0</v>
      </c>
      <c r="H35" s="3">
        <v>445010</v>
      </c>
      <c r="I35" s="3">
        <v>0</v>
      </c>
      <c r="J35" s="3">
        <v>2267691</v>
      </c>
      <c r="K35" s="3">
        <f t="shared" si="2"/>
        <v>50064892</v>
      </c>
      <c r="L35" s="3">
        <f t="shared" si="2"/>
        <v>0</v>
      </c>
      <c r="M35" s="3">
        <f t="shared" si="2"/>
        <v>2267691</v>
      </c>
      <c r="N35" s="3">
        <f t="shared" si="1"/>
        <v>52332583</v>
      </c>
    </row>
    <row r="36" spans="1:15" x14ac:dyDescent="0.15">
      <c r="A36" s="1">
        <v>2004</v>
      </c>
      <c r="B36" s="3">
        <v>45199928</v>
      </c>
      <c r="C36" s="3">
        <v>0</v>
      </c>
      <c r="D36" s="3">
        <v>0</v>
      </c>
      <c r="E36" s="3">
        <v>3638052</v>
      </c>
      <c r="F36" s="3">
        <v>0</v>
      </c>
      <c r="G36" s="3">
        <v>0</v>
      </c>
      <c r="H36" s="3">
        <v>446986</v>
      </c>
      <c r="I36" s="3">
        <v>0</v>
      </c>
      <c r="J36" s="3">
        <v>0</v>
      </c>
      <c r="K36" s="3">
        <v>49284966</v>
      </c>
      <c r="L36" s="3">
        <v>0</v>
      </c>
      <c r="M36" s="3">
        <v>0</v>
      </c>
      <c r="N36" s="3">
        <v>49284966</v>
      </c>
    </row>
    <row r="37" spans="1:15" x14ac:dyDescent="0.15">
      <c r="A37" s="1">
        <v>2005</v>
      </c>
      <c r="B37" s="3">
        <v>46938709</v>
      </c>
      <c r="C37" s="3">
        <v>0</v>
      </c>
      <c r="D37" s="3">
        <v>0</v>
      </c>
      <c r="E37" s="3">
        <v>3908194</v>
      </c>
      <c r="F37" s="3">
        <v>0</v>
      </c>
      <c r="G37" s="3">
        <v>0</v>
      </c>
      <c r="H37" s="3">
        <v>405353</v>
      </c>
      <c r="I37" s="3">
        <v>0</v>
      </c>
      <c r="J37" s="3">
        <v>0</v>
      </c>
      <c r="K37" s="3">
        <v>51252256</v>
      </c>
      <c r="L37" s="3">
        <v>0</v>
      </c>
      <c r="M37" s="3">
        <v>0</v>
      </c>
      <c r="N37" s="3">
        <v>51252256</v>
      </c>
    </row>
    <row r="38" spans="1:15" x14ac:dyDescent="0.15">
      <c r="A38" s="1">
        <v>2006</v>
      </c>
      <c r="B38" s="3">
        <v>49561258</v>
      </c>
      <c r="C38" s="3">
        <v>0</v>
      </c>
      <c r="D38" s="3">
        <v>0</v>
      </c>
      <c r="E38" s="3">
        <v>3885207</v>
      </c>
      <c r="F38" s="3">
        <v>0</v>
      </c>
      <c r="G38" s="3">
        <v>0</v>
      </c>
      <c r="H38" s="3">
        <v>368156</v>
      </c>
      <c r="I38" s="3">
        <v>0</v>
      </c>
      <c r="J38" s="3">
        <v>0</v>
      </c>
      <c r="K38" s="3">
        <v>53814621</v>
      </c>
      <c r="L38" s="3">
        <v>0</v>
      </c>
      <c r="M38" s="3">
        <v>0</v>
      </c>
      <c r="N38" s="3">
        <v>53814621</v>
      </c>
      <c r="O38" s="1" t="s">
        <v>271</v>
      </c>
    </row>
    <row r="39" spans="1:15" x14ac:dyDescent="0.15">
      <c r="A39" s="1">
        <v>2007</v>
      </c>
      <c r="B39" s="3">
        <v>51652113</v>
      </c>
      <c r="C39" s="3">
        <v>0</v>
      </c>
      <c r="D39" s="3">
        <v>0</v>
      </c>
      <c r="E39" s="3">
        <v>3882685</v>
      </c>
      <c r="F39" s="3">
        <v>0</v>
      </c>
      <c r="G39" s="3">
        <v>0</v>
      </c>
      <c r="H39" s="3">
        <v>0</v>
      </c>
      <c r="I39" s="3">
        <v>0</v>
      </c>
      <c r="J39" s="3">
        <v>0</v>
      </c>
      <c r="K39" s="3">
        <v>55534798</v>
      </c>
      <c r="L39" s="3">
        <v>0</v>
      </c>
      <c r="M39" s="3">
        <v>0</v>
      </c>
      <c r="N39" s="3">
        <v>55534798</v>
      </c>
    </row>
    <row r="40" spans="1:15" x14ac:dyDescent="0.15">
      <c r="A40" s="1">
        <v>2008</v>
      </c>
      <c r="B40" s="3">
        <v>53637612</v>
      </c>
      <c r="C40" s="3">
        <v>0</v>
      </c>
      <c r="D40" s="3">
        <v>0</v>
      </c>
      <c r="E40" s="3">
        <v>5478854</v>
      </c>
      <c r="F40" s="3">
        <v>0</v>
      </c>
      <c r="G40" s="3">
        <v>0</v>
      </c>
      <c r="H40" s="3">
        <v>456581</v>
      </c>
      <c r="I40" s="3">
        <v>0</v>
      </c>
      <c r="J40" s="3">
        <v>0</v>
      </c>
      <c r="K40" s="3">
        <v>59573047</v>
      </c>
      <c r="L40" s="3">
        <v>0</v>
      </c>
      <c r="M40" s="3">
        <v>0</v>
      </c>
      <c r="N40" s="3">
        <v>59573047</v>
      </c>
      <c r="O40" s="1" t="s">
        <v>272</v>
      </c>
    </row>
    <row r="41" spans="1:15" x14ac:dyDescent="0.15">
      <c r="A41" s="1">
        <v>2009</v>
      </c>
      <c r="B41" s="3">
        <v>53428343</v>
      </c>
      <c r="C41" s="3">
        <v>0</v>
      </c>
      <c r="D41" s="3">
        <v>0</v>
      </c>
      <c r="E41" s="3">
        <v>7554000</v>
      </c>
      <c r="F41" s="3">
        <v>0</v>
      </c>
      <c r="G41" s="3">
        <v>0</v>
      </c>
      <c r="H41" s="3">
        <v>4698733</v>
      </c>
      <c r="I41" s="3">
        <v>0</v>
      </c>
      <c r="J41" s="3">
        <v>0</v>
      </c>
      <c r="K41" s="3">
        <v>65681076</v>
      </c>
      <c r="L41" s="3">
        <v>0</v>
      </c>
      <c r="M41" s="3">
        <v>0</v>
      </c>
      <c r="N41" s="3">
        <v>65681076</v>
      </c>
    </row>
    <row r="42" spans="1:15" x14ac:dyDescent="0.15">
      <c r="A42" s="1">
        <v>2010</v>
      </c>
      <c r="B42" s="3">
        <v>46443782</v>
      </c>
      <c r="C42" s="3">
        <v>0</v>
      </c>
      <c r="D42" s="3">
        <v>0</v>
      </c>
      <c r="E42" s="3">
        <v>6618487</v>
      </c>
      <c r="F42" s="3">
        <v>0</v>
      </c>
      <c r="G42" s="3">
        <v>0</v>
      </c>
      <c r="H42" s="3">
        <v>4404729</v>
      </c>
      <c r="I42" s="3">
        <v>0</v>
      </c>
      <c r="J42" s="3">
        <v>0</v>
      </c>
      <c r="K42" s="3">
        <v>57466998</v>
      </c>
      <c r="L42" s="3">
        <v>0</v>
      </c>
      <c r="M42" s="3">
        <v>0</v>
      </c>
      <c r="N42" s="3">
        <v>57466998</v>
      </c>
    </row>
    <row r="43" spans="1:15" x14ac:dyDescent="0.15">
      <c r="A43" s="1">
        <v>2011</v>
      </c>
      <c r="B43" s="3">
        <v>48853707</v>
      </c>
      <c r="C43" s="3">
        <v>0</v>
      </c>
      <c r="D43" s="3">
        <v>0</v>
      </c>
      <c r="E43" s="3">
        <v>5509864</v>
      </c>
      <c r="F43" s="3">
        <v>0</v>
      </c>
      <c r="G43" s="3">
        <v>0</v>
      </c>
      <c r="H43" s="3">
        <v>3484655</v>
      </c>
      <c r="I43" s="3">
        <v>0</v>
      </c>
      <c r="J43" s="3">
        <v>0</v>
      </c>
      <c r="K43" s="3">
        <v>57848226</v>
      </c>
      <c r="L43" s="3">
        <v>0</v>
      </c>
      <c r="M43" s="3">
        <v>0</v>
      </c>
      <c r="N43" s="3">
        <v>57848226</v>
      </c>
    </row>
    <row r="44" spans="1:15" x14ac:dyDescent="0.15">
      <c r="A44" s="1">
        <v>2012</v>
      </c>
      <c r="B44" s="3">
        <v>47071642</v>
      </c>
      <c r="C44" s="3">
        <v>0</v>
      </c>
      <c r="D44" s="3">
        <v>0</v>
      </c>
      <c r="E44" s="3">
        <v>5335136</v>
      </c>
      <c r="F44" s="3">
        <v>0</v>
      </c>
      <c r="G44" s="3">
        <v>0</v>
      </c>
      <c r="H44" s="3">
        <v>5194841</v>
      </c>
      <c r="I44" s="3">
        <v>0</v>
      </c>
      <c r="J44" s="3">
        <v>0</v>
      </c>
      <c r="K44" s="3">
        <v>57601619</v>
      </c>
      <c r="L44" s="3">
        <v>0</v>
      </c>
      <c r="M44" s="3">
        <v>0</v>
      </c>
      <c r="N44" s="3">
        <v>57601619</v>
      </c>
    </row>
    <row r="45" spans="1:15" x14ac:dyDescent="0.15">
      <c r="A45" s="1">
        <v>2013</v>
      </c>
      <c r="B45" s="3">
        <v>47710937</v>
      </c>
      <c r="C45" s="3">
        <v>0</v>
      </c>
      <c r="D45" s="3">
        <v>0</v>
      </c>
      <c r="E45" s="3">
        <v>9898784</v>
      </c>
      <c r="F45" s="3">
        <v>0</v>
      </c>
      <c r="G45" s="3">
        <v>0</v>
      </c>
      <c r="H45" s="3">
        <v>5188561</v>
      </c>
      <c r="I45" s="3">
        <v>0</v>
      </c>
      <c r="J45" s="3">
        <v>0</v>
      </c>
      <c r="K45" s="3">
        <v>62798282</v>
      </c>
      <c r="L45" s="3">
        <v>0</v>
      </c>
      <c r="M45" s="3">
        <v>0</v>
      </c>
      <c r="N45" s="3">
        <v>62798282</v>
      </c>
    </row>
    <row r="46" spans="1:15" x14ac:dyDescent="0.15">
      <c r="A46" s="1">
        <v>2014</v>
      </c>
      <c r="B46" s="3">
        <v>49591514</v>
      </c>
      <c r="C46" s="3">
        <v>0</v>
      </c>
      <c r="D46" s="3">
        <v>0</v>
      </c>
      <c r="E46" s="3">
        <v>9976599</v>
      </c>
      <c r="F46" s="3">
        <v>0</v>
      </c>
      <c r="G46" s="3">
        <v>0</v>
      </c>
      <c r="H46" s="3">
        <v>4801703</v>
      </c>
      <c r="I46" s="3">
        <v>0</v>
      </c>
      <c r="J46" s="3">
        <v>0</v>
      </c>
      <c r="K46" s="3">
        <v>64369816</v>
      </c>
      <c r="L46" s="3">
        <v>0</v>
      </c>
      <c r="M46" s="3">
        <v>0</v>
      </c>
      <c r="N46" s="3">
        <v>64369816</v>
      </c>
    </row>
    <row r="47" spans="1:15" x14ac:dyDescent="0.15">
      <c r="A47" s="1">
        <v>2015</v>
      </c>
      <c r="B47" s="3">
        <v>50338571</v>
      </c>
      <c r="C47" s="3">
        <v>0</v>
      </c>
      <c r="D47" s="3">
        <v>0</v>
      </c>
      <c r="E47" s="3">
        <v>10465429</v>
      </c>
      <c r="F47" s="3">
        <v>0</v>
      </c>
      <c r="G47" s="3">
        <v>0</v>
      </c>
      <c r="H47" s="3">
        <v>4822352</v>
      </c>
      <c r="I47" s="3">
        <v>0</v>
      </c>
      <c r="J47" s="3">
        <v>0</v>
      </c>
      <c r="K47" s="3">
        <v>65626352</v>
      </c>
      <c r="L47" s="3">
        <v>0</v>
      </c>
      <c r="M47" s="3">
        <v>0</v>
      </c>
      <c r="N47" s="3">
        <v>65626352</v>
      </c>
    </row>
    <row r="48" spans="1:15" x14ac:dyDescent="0.15">
      <c r="A48" s="1">
        <v>2016</v>
      </c>
      <c r="B48" s="3">
        <v>50703329</v>
      </c>
      <c r="C48" s="3">
        <v>0</v>
      </c>
      <c r="D48" s="3">
        <v>0</v>
      </c>
      <c r="E48" s="3">
        <v>9825149</v>
      </c>
      <c r="F48" s="3">
        <v>0</v>
      </c>
      <c r="G48" s="3">
        <v>0</v>
      </c>
      <c r="H48" s="3">
        <v>4819723</v>
      </c>
      <c r="I48" s="3">
        <v>0</v>
      </c>
      <c r="J48" s="3">
        <v>0</v>
      </c>
      <c r="K48" s="3">
        <v>65348201</v>
      </c>
      <c r="L48" s="3">
        <v>0</v>
      </c>
      <c r="M48" s="3">
        <v>0</v>
      </c>
      <c r="N48" s="3">
        <v>65348201</v>
      </c>
    </row>
  </sheetData>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37</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2329086</v>
      </c>
      <c r="C6" s="3">
        <v>0</v>
      </c>
      <c r="D6" s="3">
        <v>0</v>
      </c>
      <c r="E6" s="3">
        <v>147500</v>
      </c>
      <c r="F6" s="3">
        <v>0</v>
      </c>
      <c r="G6" s="3">
        <v>0</v>
      </c>
      <c r="H6" s="3">
        <v>0</v>
      </c>
      <c r="I6" s="3">
        <v>0</v>
      </c>
      <c r="J6" s="3">
        <v>0</v>
      </c>
      <c r="K6" s="3">
        <f t="shared" ref="K6:M21" si="0">+B6+E6+H6</f>
        <v>2476586</v>
      </c>
      <c r="L6" s="3">
        <f t="shared" si="0"/>
        <v>0</v>
      </c>
      <c r="M6" s="3">
        <f t="shared" si="0"/>
        <v>0</v>
      </c>
      <c r="N6" s="3">
        <f t="shared" ref="N6:N35" si="1">+M6+L6+K6</f>
        <v>2476586</v>
      </c>
      <c r="O6" s="1" t="s">
        <v>41</v>
      </c>
    </row>
    <row r="7" spans="1:15" x14ac:dyDescent="0.15">
      <c r="A7" s="1">
        <v>1975</v>
      </c>
      <c r="B7" s="3">
        <v>2508000</v>
      </c>
      <c r="C7" s="3">
        <v>0</v>
      </c>
      <c r="D7" s="3">
        <v>0</v>
      </c>
      <c r="E7" s="3">
        <v>394000</v>
      </c>
      <c r="F7" s="3">
        <v>0</v>
      </c>
      <c r="G7" s="3">
        <v>0</v>
      </c>
      <c r="H7" s="3">
        <v>0</v>
      </c>
      <c r="I7" s="3">
        <v>0</v>
      </c>
      <c r="J7" s="3">
        <v>0</v>
      </c>
      <c r="K7" s="3">
        <f t="shared" si="0"/>
        <v>2902000</v>
      </c>
      <c r="L7" s="3">
        <f t="shared" si="0"/>
        <v>0</v>
      </c>
      <c r="M7" s="3">
        <f t="shared" si="0"/>
        <v>0</v>
      </c>
      <c r="N7" s="3">
        <f t="shared" si="1"/>
        <v>2902000</v>
      </c>
    </row>
    <row r="8" spans="1:15" x14ac:dyDescent="0.15">
      <c r="A8" s="1">
        <v>1976</v>
      </c>
      <c r="B8" s="3">
        <v>2868000</v>
      </c>
      <c r="C8" s="3">
        <v>0</v>
      </c>
      <c r="D8" s="3">
        <v>0</v>
      </c>
      <c r="E8" s="3">
        <v>552000</v>
      </c>
      <c r="F8" s="3">
        <v>0</v>
      </c>
      <c r="G8" s="3">
        <v>0</v>
      </c>
      <c r="H8" s="3">
        <v>0</v>
      </c>
      <c r="I8" s="3">
        <v>0</v>
      </c>
      <c r="J8" s="3">
        <v>0</v>
      </c>
      <c r="K8" s="3">
        <f t="shared" si="0"/>
        <v>3420000</v>
      </c>
      <c r="L8" s="3">
        <f t="shared" si="0"/>
        <v>0</v>
      </c>
      <c r="M8" s="3">
        <f t="shared" si="0"/>
        <v>0</v>
      </c>
      <c r="N8" s="3">
        <f t="shared" si="1"/>
        <v>3420000</v>
      </c>
    </row>
    <row r="9" spans="1:15" x14ac:dyDescent="0.15">
      <c r="A9" s="1">
        <v>1977</v>
      </c>
      <c r="B9" s="3">
        <v>3305000</v>
      </c>
      <c r="C9" s="3">
        <v>0</v>
      </c>
      <c r="D9" s="3">
        <v>0</v>
      </c>
      <c r="E9" s="3">
        <v>660000</v>
      </c>
      <c r="F9" s="3">
        <v>0</v>
      </c>
      <c r="G9" s="3">
        <v>0</v>
      </c>
      <c r="H9" s="3">
        <v>0</v>
      </c>
      <c r="I9" s="3">
        <v>0</v>
      </c>
      <c r="J9" s="3">
        <v>0</v>
      </c>
      <c r="K9" s="3">
        <f t="shared" si="0"/>
        <v>3965000</v>
      </c>
      <c r="L9" s="3">
        <f t="shared" si="0"/>
        <v>0</v>
      </c>
      <c r="M9" s="3">
        <f t="shared" si="0"/>
        <v>0</v>
      </c>
      <c r="N9" s="3">
        <f t="shared" si="1"/>
        <v>3965000</v>
      </c>
    </row>
    <row r="10" spans="1:15" x14ac:dyDescent="0.15">
      <c r="A10" s="1">
        <v>1978</v>
      </c>
      <c r="B10" s="3">
        <v>3498000</v>
      </c>
      <c r="C10" s="3">
        <v>0</v>
      </c>
      <c r="D10" s="3">
        <v>0</v>
      </c>
      <c r="E10" s="3">
        <v>937000</v>
      </c>
      <c r="F10" s="3">
        <v>0</v>
      </c>
      <c r="G10" s="3">
        <v>0</v>
      </c>
      <c r="H10" s="3">
        <v>0</v>
      </c>
      <c r="I10" s="3">
        <v>0</v>
      </c>
      <c r="J10" s="3">
        <v>0</v>
      </c>
      <c r="K10" s="3">
        <f t="shared" si="0"/>
        <v>4435000</v>
      </c>
      <c r="L10" s="3">
        <f t="shared" si="0"/>
        <v>0</v>
      </c>
      <c r="M10" s="3">
        <f t="shared" si="0"/>
        <v>0</v>
      </c>
      <c r="N10" s="3">
        <f t="shared" si="1"/>
        <v>4435000</v>
      </c>
    </row>
    <row r="11" spans="1:15" x14ac:dyDescent="0.15">
      <c r="A11" s="1">
        <v>1979</v>
      </c>
      <c r="B11" s="3">
        <v>3675000</v>
      </c>
      <c r="C11" s="3">
        <v>0</v>
      </c>
      <c r="D11" s="3">
        <v>0</v>
      </c>
      <c r="E11" s="3">
        <v>740000</v>
      </c>
      <c r="F11" s="3">
        <v>0</v>
      </c>
      <c r="G11" s="3">
        <v>0</v>
      </c>
      <c r="H11" s="3">
        <v>0</v>
      </c>
      <c r="I11" s="3">
        <v>0</v>
      </c>
      <c r="J11" s="3">
        <v>0</v>
      </c>
      <c r="K11" s="3">
        <f t="shared" si="0"/>
        <v>4415000</v>
      </c>
      <c r="L11" s="3">
        <f t="shared" si="0"/>
        <v>0</v>
      </c>
      <c r="M11" s="3">
        <f t="shared" si="0"/>
        <v>0</v>
      </c>
      <c r="N11" s="3">
        <f t="shared" si="1"/>
        <v>4415000</v>
      </c>
    </row>
    <row r="12" spans="1:15" x14ac:dyDescent="0.15">
      <c r="A12" s="1">
        <v>1980</v>
      </c>
      <c r="B12" s="3">
        <v>3799000</v>
      </c>
      <c r="C12" s="3">
        <v>0</v>
      </c>
      <c r="D12" s="3">
        <v>0</v>
      </c>
      <c r="E12" s="3">
        <v>814000</v>
      </c>
      <c r="F12" s="3">
        <v>0</v>
      </c>
      <c r="G12" s="3">
        <v>0</v>
      </c>
      <c r="H12" s="3">
        <v>0</v>
      </c>
      <c r="I12" s="3">
        <v>0</v>
      </c>
      <c r="J12" s="3">
        <v>0</v>
      </c>
      <c r="K12" s="3">
        <f t="shared" si="0"/>
        <v>4613000</v>
      </c>
      <c r="L12" s="3">
        <f t="shared" si="0"/>
        <v>0</v>
      </c>
      <c r="M12" s="3">
        <f t="shared" si="0"/>
        <v>0</v>
      </c>
      <c r="N12" s="3">
        <f t="shared" si="1"/>
        <v>4613000</v>
      </c>
    </row>
    <row r="13" spans="1:15" x14ac:dyDescent="0.15">
      <c r="A13" s="1">
        <v>1981</v>
      </c>
      <c r="B13" s="3">
        <v>4200000</v>
      </c>
      <c r="C13" s="3">
        <v>0</v>
      </c>
      <c r="D13" s="3">
        <v>0</v>
      </c>
      <c r="E13" s="3">
        <v>900000</v>
      </c>
      <c r="F13" s="3">
        <v>0</v>
      </c>
      <c r="G13" s="3">
        <v>0</v>
      </c>
      <c r="H13" s="3">
        <v>0</v>
      </c>
      <c r="I13" s="3">
        <v>0</v>
      </c>
      <c r="J13" s="3">
        <v>0</v>
      </c>
      <c r="K13" s="3">
        <f t="shared" si="0"/>
        <v>5100000</v>
      </c>
      <c r="L13" s="3">
        <f t="shared" si="0"/>
        <v>0</v>
      </c>
      <c r="M13" s="3">
        <f t="shared" si="0"/>
        <v>0</v>
      </c>
      <c r="N13" s="3">
        <f t="shared" si="1"/>
        <v>5100000</v>
      </c>
    </row>
    <row r="14" spans="1:15" x14ac:dyDescent="0.15">
      <c r="A14" s="1">
        <v>1982</v>
      </c>
      <c r="B14" s="3">
        <v>4089000</v>
      </c>
      <c r="C14" s="3">
        <v>0</v>
      </c>
      <c r="D14" s="3">
        <v>0</v>
      </c>
      <c r="E14" s="3">
        <v>915000</v>
      </c>
      <c r="F14" s="3">
        <v>0</v>
      </c>
      <c r="G14" s="3">
        <v>0</v>
      </c>
      <c r="H14" s="3">
        <v>0</v>
      </c>
      <c r="I14" s="3">
        <v>0</v>
      </c>
      <c r="J14" s="3">
        <v>0</v>
      </c>
      <c r="K14" s="3">
        <f t="shared" si="0"/>
        <v>5004000</v>
      </c>
      <c r="L14" s="3">
        <f t="shared" si="0"/>
        <v>0</v>
      </c>
      <c r="M14" s="3">
        <f t="shared" si="0"/>
        <v>0</v>
      </c>
      <c r="N14" s="3">
        <f t="shared" si="1"/>
        <v>5004000</v>
      </c>
    </row>
    <row r="15" spans="1:15" x14ac:dyDescent="0.15">
      <c r="A15" s="1">
        <v>1983</v>
      </c>
      <c r="B15" s="3">
        <v>4125000</v>
      </c>
      <c r="C15" s="3">
        <v>0</v>
      </c>
      <c r="D15" s="3">
        <v>0</v>
      </c>
      <c r="E15" s="3">
        <v>865000</v>
      </c>
      <c r="F15" s="3">
        <v>141000</v>
      </c>
      <c r="G15" s="3">
        <v>0</v>
      </c>
      <c r="H15" s="3">
        <v>0</v>
      </c>
      <c r="I15" s="3">
        <v>0</v>
      </c>
      <c r="J15" s="3">
        <v>0</v>
      </c>
      <c r="K15" s="3">
        <f t="shared" si="0"/>
        <v>4990000</v>
      </c>
      <c r="L15" s="3">
        <f t="shared" si="0"/>
        <v>141000</v>
      </c>
      <c r="M15" s="3">
        <f t="shared" si="0"/>
        <v>0</v>
      </c>
      <c r="N15" s="3">
        <f t="shared" si="1"/>
        <v>5131000</v>
      </c>
      <c r="O15" s="1" t="s">
        <v>151</v>
      </c>
    </row>
    <row r="16" spans="1:15" x14ac:dyDescent="0.15">
      <c r="A16" s="1">
        <v>1984</v>
      </c>
      <c r="B16" s="3">
        <v>3950000</v>
      </c>
      <c r="C16" s="3">
        <v>0</v>
      </c>
      <c r="D16" s="3">
        <v>0</v>
      </c>
      <c r="E16" s="3">
        <v>714000</v>
      </c>
      <c r="F16" s="3">
        <v>0</v>
      </c>
      <c r="G16" s="3">
        <v>0</v>
      </c>
      <c r="H16" s="3">
        <v>0</v>
      </c>
      <c r="I16" s="3">
        <v>428000</v>
      </c>
      <c r="J16" s="3">
        <v>0</v>
      </c>
      <c r="K16" s="3">
        <f t="shared" si="0"/>
        <v>4664000</v>
      </c>
      <c r="L16" s="3">
        <f t="shared" si="0"/>
        <v>428000</v>
      </c>
      <c r="M16" s="3">
        <f t="shared" si="0"/>
        <v>0</v>
      </c>
      <c r="N16" s="3">
        <f t="shared" si="1"/>
        <v>5092000</v>
      </c>
    </row>
    <row r="17" spans="1:15" x14ac:dyDescent="0.15">
      <c r="A17" s="1">
        <v>1985</v>
      </c>
      <c r="B17" s="3">
        <v>4077000</v>
      </c>
      <c r="C17" s="3">
        <v>0</v>
      </c>
      <c r="D17" s="3">
        <v>0</v>
      </c>
      <c r="E17" s="3">
        <v>764000</v>
      </c>
      <c r="F17" s="3">
        <v>0</v>
      </c>
      <c r="G17" s="3">
        <v>0</v>
      </c>
      <c r="H17" s="3">
        <v>0</v>
      </c>
      <c r="I17" s="3">
        <v>0</v>
      </c>
      <c r="J17" s="3">
        <v>0</v>
      </c>
      <c r="K17" s="3">
        <f t="shared" si="0"/>
        <v>4841000</v>
      </c>
      <c r="L17" s="3">
        <f t="shared" si="0"/>
        <v>0</v>
      </c>
      <c r="M17" s="3">
        <f t="shared" si="0"/>
        <v>0</v>
      </c>
      <c r="N17" s="3">
        <f t="shared" si="1"/>
        <v>4841000</v>
      </c>
    </row>
    <row r="18" spans="1:15" x14ac:dyDescent="0.15">
      <c r="A18" s="1">
        <v>1986</v>
      </c>
      <c r="B18" s="3">
        <v>4350000</v>
      </c>
      <c r="C18" s="3">
        <v>0</v>
      </c>
      <c r="D18" s="3">
        <v>0</v>
      </c>
      <c r="E18" s="3">
        <v>992000</v>
      </c>
      <c r="F18" s="3">
        <v>0</v>
      </c>
      <c r="G18" s="3">
        <v>0</v>
      </c>
      <c r="H18" s="3">
        <v>0</v>
      </c>
      <c r="I18" s="3">
        <v>0</v>
      </c>
      <c r="J18" s="3">
        <v>0</v>
      </c>
      <c r="K18" s="3">
        <f t="shared" si="0"/>
        <v>5342000</v>
      </c>
      <c r="L18" s="3">
        <f t="shared" si="0"/>
        <v>0</v>
      </c>
      <c r="M18" s="3">
        <f t="shared" si="0"/>
        <v>0</v>
      </c>
      <c r="N18" s="3">
        <f t="shared" si="1"/>
        <v>5342000</v>
      </c>
    </row>
    <row r="19" spans="1:15" x14ac:dyDescent="0.15">
      <c r="A19" s="1">
        <v>1987</v>
      </c>
      <c r="B19" s="3">
        <v>4350000</v>
      </c>
      <c r="C19" s="3">
        <v>0</v>
      </c>
      <c r="D19" s="3">
        <v>0</v>
      </c>
      <c r="E19" s="3">
        <v>1080000</v>
      </c>
      <c r="F19" s="3">
        <v>0</v>
      </c>
      <c r="G19" s="3">
        <v>0</v>
      </c>
      <c r="H19" s="3">
        <v>0</v>
      </c>
      <c r="I19" s="3">
        <v>0</v>
      </c>
      <c r="J19" s="3">
        <v>0</v>
      </c>
      <c r="K19" s="3">
        <f t="shared" si="0"/>
        <v>5430000</v>
      </c>
      <c r="L19" s="3">
        <f t="shared" si="0"/>
        <v>0</v>
      </c>
      <c r="M19" s="3">
        <f t="shared" si="0"/>
        <v>0</v>
      </c>
      <c r="N19" s="3">
        <f t="shared" si="1"/>
        <v>5430000</v>
      </c>
    </row>
    <row r="20" spans="1:15" x14ac:dyDescent="0.15">
      <c r="A20" s="1">
        <v>1988</v>
      </c>
      <c r="B20" s="3">
        <v>4350000</v>
      </c>
      <c r="C20" s="3">
        <v>0</v>
      </c>
      <c r="D20" s="3">
        <v>0</v>
      </c>
      <c r="E20" s="3">
        <v>1080000</v>
      </c>
      <c r="F20" s="3">
        <v>0</v>
      </c>
      <c r="G20" s="3">
        <v>0</v>
      </c>
      <c r="H20" s="3">
        <v>25000</v>
      </c>
      <c r="I20" s="3">
        <v>0</v>
      </c>
      <c r="J20" s="3">
        <v>0</v>
      </c>
      <c r="K20" s="3">
        <f t="shared" si="0"/>
        <v>5455000</v>
      </c>
      <c r="L20" s="3">
        <f t="shared" si="0"/>
        <v>0</v>
      </c>
      <c r="M20" s="3">
        <f t="shared" si="0"/>
        <v>0</v>
      </c>
      <c r="N20" s="3">
        <f t="shared" si="1"/>
        <v>5455000</v>
      </c>
    </row>
    <row r="21" spans="1:15" x14ac:dyDescent="0.15">
      <c r="A21" s="1">
        <v>1989</v>
      </c>
      <c r="B21" s="3">
        <v>4600000</v>
      </c>
      <c r="C21" s="3">
        <v>0</v>
      </c>
      <c r="D21" s="3">
        <v>0</v>
      </c>
      <c r="E21" s="3">
        <v>1080000</v>
      </c>
      <c r="F21" s="3">
        <v>0</v>
      </c>
      <c r="G21" s="3">
        <v>0</v>
      </c>
      <c r="H21" s="3">
        <v>25000</v>
      </c>
      <c r="I21" s="3">
        <v>0</v>
      </c>
      <c r="J21" s="3">
        <v>0</v>
      </c>
      <c r="K21" s="3">
        <f t="shared" si="0"/>
        <v>5705000</v>
      </c>
      <c r="L21" s="3">
        <f t="shared" si="0"/>
        <v>0</v>
      </c>
      <c r="M21" s="3">
        <f t="shared" si="0"/>
        <v>0</v>
      </c>
      <c r="N21" s="3">
        <f t="shared" si="1"/>
        <v>5705000</v>
      </c>
    </row>
    <row r="22" spans="1:15" x14ac:dyDescent="0.15">
      <c r="A22" s="1">
        <v>1990</v>
      </c>
      <c r="B22" s="3">
        <v>5300000</v>
      </c>
      <c r="C22" s="3">
        <v>0</v>
      </c>
      <c r="D22" s="3">
        <v>0</v>
      </c>
      <c r="E22" s="3">
        <f>1018000+670000+141000</f>
        <v>1829000</v>
      </c>
      <c r="F22" s="3">
        <v>0</v>
      </c>
      <c r="G22" s="3">
        <v>0</v>
      </c>
      <c r="H22" s="3">
        <v>35000</v>
      </c>
      <c r="I22" s="3">
        <v>0</v>
      </c>
      <c r="J22" s="3">
        <v>0</v>
      </c>
      <c r="K22" s="3">
        <f t="shared" ref="K22:M35" si="2">+B22+E22+H22</f>
        <v>7164000</v>
      </c>
      <c r="L22" s="3">
        <f t="shared" si="2"/>
        <v>0</v>
      </c>
      <c r="M22" s="3">
        <f t="shared" si="2"/>
        <v>0</v>
      </c>
      <c r="N22" s="3">
        <f t="shared" si="1"/>
        <v>7164000</v>
      </c>
    </row>
    <row r="23" spans="1:15" x14ac:dyDescent="0.15">
      <c r="A23" s="1">
        <v>1991</v>
      </c>
      <c r="B23" s="3">
        <v>5400000</v>
      </c>
      <c r="C23" s="3">
        <v>0</v>
      </c>
      <c r="D23" s="3">
        <v>0</v>
      </c>
      <c r="E23" s="3">
        <f>990000+195000</f>
        <v>1185000</v>
      </c>
      <c r="F23" s="3">
        <v>0</v>
      </c>
      <c r="G23" s="3">
        <v>0</v>
      </c>
      <c r="H23" s="3">
        <v>31000</v>
      </c>
      <c r="I23" s="3">
        <v>0</v>
      </c>
      <c r="J23" s="3">
        <v>0</v>
      </c>
      <c r="K23" s="3">
        <f t="shared" si="2"/>
        <v>6616000</v>
      </c>
      <c r="L23" s="3">
        <f t="shared" si="2"/>
        <v>0</v>
      </c>
      <c r="M23" s="3">
        <f t="shared" si="2"/>
        <v>0</v>
      </c>
      <c r="N23" s="3">
        <f t="shared" si="1"/>
        <v>6616000</v>
      </c>
    </row>
    <row r="24" spans="1:15" x14ac:dyDescent="0.15">
      <c r="A24" s="1">
        <v>1992</v>
      </c>
      <c r="B24" s="3">
        <v>5351000</v>
      </c>
      <c r="C24" s="3">
        <v>0</v>
      </c>
      <c r="D24" s="3">
        <v>0</v>
      </c>
      <c r="E24" s="3">
        <f>1004000+197000</f>
        <v>1201000</v>
      </c>
      <c r="F24" s="3">
        <v>0</v>
      </c>
      <c r="G24" s="3">
        <v>0</v>
      </c>
      <c r="H24" s="3">
        <v>32000</v>
      </c>
      <c r="I24" s="3">
        <v>0</v>
      </c>
      <c r="J24" s="3">
        <v>0</v>
      </c>
      <c r="K24" s="3">
        <f t="shared" si="2"/>
        <v>6584000</v>
      </c>
      <c r="L24" s="3">
        <f t="shared" si="2"/>
        <v>0</v>
      </c>
      <c r="M24" s="3">
        <f t="shared" si="2"/>
        <v>0</v>
      </c>
      <c r="N24" s="3">
        <f t="shared" si="1"/>
        <v>6584000</v>
      </c>
    </row>
    <row r="25" spans="1:15" x14ac:dyDescent="0.15">
      <c r="A25" s="1">
        <v>1993</v>
      </c>
      <c r="B25" s="3">
        <v>5361000</v>
      </c>
      <c r="C25" s="3">
        <v>0</v>
      </c>
      <c r="D25" s="3">
        <v>0</v>
      </c>
      <c r="E25" s="3">
        <f>1235000+298000</f>
        <v>1533000</v>
      </c>
      <c r="F25" s="3">
        <v>0</v>
      </c>
      <c r="G25" s="3">
        <v>0</v>
      </c>
      <c r="H25" s="3">
        <v>60000</v>
      </c>
      <c r="I25" s="3">
        <v>0</v>
      </c>
      <c r="J25" s="3">
        <v>0</v>
      </c>
      <c r="K25" s="3">
        <f t="shared" si="2"/>
        <v>6954000</v>
      </c>
      <c r="L25" s="3">
        <f t="shared" si="2"/>
        <v>0</v>
      </c>
      <c r="M25" s="3">
        <f t="shared" si="2"/>
        <v>0</v>
      </c>
      <c r="N25" s="3">
        <f t="shared" si="1"/>
        <v>6954000</v>
      </c>
    </row>
    <row r="26" spans="1:15" x14ac:dyDescent="0.15">
      <c r="A26" s="1">
        <v>1994</v>
      </c>
      <c r="B26" s="3">
        <v>5400000</v>
      </c>
      <c r="C26" s="3">
        <v>0</v>
      </c>
      <c r="D26" s="3">
        <v>0</v>
      </c>
      <c r="E26" s="3">
        <f>1052000+331000+2277000</f>
        <v>3660000</v>
      </c>
      <c r="F26" s="3">
        <v>0</v>
      </c>
      <c r="G26" s="3">
        <v>0</v>
      </c>
      <c r="H26" s="3">
        <v>65000</v>
      </c>
      <c r="I26" s="3">
        <v>0</v>
      </c>
      <c r="J26" s="3">
        <v>0</v>
      </c>
      <c r="K26" s="3">
        <f t="shared" si="2"/>
        <v>9125000</v>
      </c>
      <c r="L26" s="3">
        <f t="shared" si="2"/>
        <v>0</v>
      </c>
      <c r="M26" s="3">
        <f t="shared" si="2"/>
        <v>0</v>
      </c>
      <c r="N26" s="3">
        <f t="shared" si="1"/>
        <v>9125000</v>
      </c>
      <c r="O26" s="1" t="s">
        <v>193</v>
      </c>
    </row>
    <row r="27" spans="1:15" x14ac:dyDescent="0.15">
      <c r="A27" s="1">
        <v>1995</v>
      </c>
      <c r="B27" s="3">
        <v>5619263</v>
      </c>
      <c r="C27" s="3">
        <v>0</v>
      </c>
      <c r="D27" s="3">
        <v>0</v>
      </c>
      <c r="E27" s="3">
        <f>9802000-B27</f>
        <v>4182737</v>
      </c>
      <c r="F27" s="3">
        <v>406000</v>
      </c>
      <c r="G27" s="3">
        <v>0</v>
      </c>
      <c r="H27" s="3">
        <v>2118000</v>
      </c>
      <c r="I27" s="3">
        <v>236000</v>
      </c>
      <c r="J27" s="3">
        <v>0</v>
      </c>
      <c r="K27" s="3">
        <f t="shared" si="2"/>
        <v>11920000</v>
      </c>
      <c r="L27" s="3">
        <f t="shared" si="2"/>
        <v>642000</v>
      </c>
      <c r="M27" s="3">
        <f t="shared" si="2"/>
        <v>0</v>
      </c>
      <c r="N27" s="3">
        <f t="shared" si="1"/>
        <v>12562000</v>
      </c>
    </row>
    <row r="28" spans="1:15" x14ac:dyDescent="0.15">
      <c r="A28" s="1">
        <v>1996</v>
      </c>
      <c r="B28" s="3">
        <v>5448970</v>
      </c>
      <c r="C28" s="3">
        <v>0</v>
      </c>
      <c r="D28" s="3">
        <v>0</v>
      </c>
      <c r="E28" s="3">
        <f>9526000-B28</f>
        <v>4077030</v>
      </c>
      <c r="F28" s="3">
        <v>0</v>
      </c>
      <c r="G28" s="3">
        <v>0</v>
      </c>
      <c r="H28" s="3">
        <v>62000</v>
      </c>
      <c r="I28" s="3">
        <v>0</v>
      </c>
      <c r="J28" s="3">
        <v>0</v>
      </c>
      <c r="K28" s="3">
        <f t="shared" si="2"/>
        <v>9588000</v>
      </c>
      <c r="L28" s="3">
        <f t="shared" si="2"/>
        <v>0</v>
      </c>
      <c r="M28" s="3">
        <f t="shared" si="2"/>
        <v>0</v>
      </c>
      <c r="N28" s="3">
        <f t="shared" si="1"/>
        <v>9588000</v>
      </c>
    </row>
    <row r="29" spans="1:15" x14ac:dyDescent="0.15">
      <c r="A29" s="1">
        <v>1997</v>
      </c>
      <c r="B29" s="3">
        <v>5689366</v>
      </c>
      <c r="C29" s="3">
        <v>0</v>
      </c>
      <c r="D29" s="3">
        <v>0</v>
      </c>
      <c r="E29" s="3">
        <f>10171000-B29</f>
        <v>4481634</v>
      </c>
      <c r="F29" s="3">
        <v>0</v>
      </c>
      <c r="G29" s="3">
        <v>0</v>
      </c>
      <c r="H29" s="3">
        <v>64000</v>
      </c>
      <c r="I29" s="3">
        <v>0</v>
      </c>
      <c r="J29" s="3">
        <v>0</v>
      </c>
      <c r="K29" s="3">
        <f t="shared" si="2"/>
        <v>10235000</v>
      </c>
      <c r="L29" s="3">
        <f t="shared" si="2"/>
        <v>0</v>
      </c>
      <c r="M29" s="3">
        <f t="shared" si="2"/>
        <v>0</v>
      </c>
      <c r="N29" s="3">
        <f t="shared" si="1"/>
        <v>10235000</v>
      </c>
    </row>
    <row r="30" spans="1:15" x14ac:dyDescent="0.15">
      <c r="A30" s="1">
        <v>1998</v>
      </c>
      <c r="B30" s="3">
        <v>5414996</v>
      </c>
      <c r="C30" s="3">
        <v>0</v>
      </c>
      <c r="D30" s="3">
        <v>0</v>
      </c>
      <c r="E30" s="3">
        <f>10311000-B30</f>
        <v>4896004</v>
      </c>
      <c r="F30" s="3">
        <v>128000</v>
      </c>
      <c r="G30" s="3">
        <v>0</v>
      </c>
      <c r="H30" s="3">
        <v>68000</v>
      </c>
      <c r="I30" s="3">
        <v>0</v>
      </c>
      <c r="J30" s="3">
        <v>0</v>
      </c>
      <c r="K30" s="3">
        <f t="shared" si="2"/>
        <v>10379000</v>
      </c>
      <c r="L30" s="3">
        <f t="shared" si="2"/>
        <v>128000</v>
      </c>
      <c r="M30" s="3">
        <f t="shared" si="2"/>
        <v>0</v>
      </c>
      <c r="N30" s="3">
        <f t="shared" si="1"/>
        <v>10507000</v>
      </c>
    </row>
    <row r="31" spans="1:15" x14ac:dyDescent="0.15">
      <c r="A31" s="1">
        <v>1999</v>
      </c>
      <c r="B31" s="3">
        <f>6439136+3558890+135161</f>
        <v>10133187</v>
      </c>
      <c r="C31" s="3">
        <v>0</v>
      </c>
      <c r="D31" s="3">
        <v>0</v>
      </c>
      <c r="E31" s="3">
        <f>11669000-B31</f>
        <v>1535813</v>
      </c>
      <c r="F31" s="3">
        <v>0</v>
      </c>
      <c r="G31" s="3">
        <v>0</v>
      </c>
      <c r="H31" s="3">
        <v>105000</v>
      </c>
      <c r="I31" s="3">
        <v>0</v>
      </c>
      <c r="J31" s="3">
        <v>0</v>
      </c>
      <c r="K31" s="3">
        <f t="shared" si="2"/>
        <v>11774000</v>
      </c>
      <c r="L31" s="3">
        <f t="shared" si="2"/>
        <v>0</v>
      </c>
      <c r="M31" s="3">
        <f t="shared" si="2"/>
        <v>0</v>
      </c>
      <c r="N31" s="3">
        <f t="shared" si="1"/>
        <v>11774000</v>
      </c>
      <c r="O31" s="1" t="s">
        <v>230</v>
      </c>
    </row>
    <row r="32" spans="1:15" x14ac:dyDescent="0.15">
      <c r="A32" s="1">
        <v>2000</v>
      </c>
      <c r="B32" s="3">
        <f>6473391+3877182+156205</f>
        <v>10506778</v>
      </c>
      <c r="C32" s="3">
        <v>0</v>
      </c>
      <c r="D32" s="3">
        <v>0</v>
      </c>
      <c r="E32" s="3">
        <f>12265000-B32</f>
        <v>1758222</v>
      </c>
      <c r="F32" s="3">
        <v>0</v>
      </c>
      <c r="G32" s="3">
        <v>0</v>
      </c>
      <c r="H32" s="3">
        <v>132000</v>
      </c>
      <c r="I32" s="3">
        <v>0</v>
      </c>
      <c r="J32" s="3">
        <v>0</v>
      </c>
      <c r="K32" s="3">
        <f t="shared" si="2"/>
        <v>12397000</v>
      </c>
      <c r="L32" s="3">
        <f t="shared" si="2"/>
        <v>0</v>
      </c>
      <c r="M32" s="3">
        <f t="shared" si="2"/>
        <v>0</v>
      </c>
      <c r="N32" s="3">
        <f t="shared" si="1"/>
        <v>12397000</v>
      </c>
    </row>
    <row r="33" spans="1:15" x14ac:dyDescent="0.15">
      <c r="A33" s="1">
        <v>2001</v>
      </c>
      <c r="B33" s="3">
        <f>182853+4239739+6654162</f>
        <v>11076754</v>
      </c>
      <c r="C33" s="3">
        <v>0</v>
      </c>
      <c r="D33" s="3">
        <v>0</v>
      </c>
      <c r="E33" s="3">
        <f>12692000-B33</f>
        <v>1615246</v>
      </c>
      <c r="F33" s="3">
        <v>0</v>
      </c>
      <c r="G33" s="3">
        <v>0</v>
      </c>
      <c r="H33" s="3">
        <v>127000</v>
      </c>
      <c r="I33" s="3">
        <v>0</v>
      </c>
      <c r="J33" s="3">
        <v>0</v>
      </c>
      <c r="K33" s="3">
        <f t="shared" si="2"/>
        <v>12819000</v>
      </c>
      <c r="L33" s="3">
        <f t="shared" si="2"/>
        <v>0</v>
      </c>
      <c r="M33" s="3">
        <f t="shared" si="2"/>
        <v>0</v>
      </c>
      <c r="N33" s="3">
        <f t="shared" si="1"/>
        <v>12819000</v>
      </c>
    </row>
    <row r="34" spans="1:15" x14ac:dyDescent="0.15">
      <c r="A34" s="1">
        <v>2002</v>
      </c>
      <c r="B34" s="3">
        <v>11335563</v>
      </c>
      <c r="C34" s="3">
        <v>0</v>
      </c>
      <c r="D34" s="3">
        <v>0</v>
      </c>
      <c r="E34" s="3">
        <f>12974000-B34</f>
        <v>1638437</v>
      </c>
      <c r="F34" s="3">
        <v>0</v>
      </c>
      <c r="G34" s="3">
        <v>0</v>
      </c>
      <c r="H34" s="3">
        <v>125000</v>
      </c>
      <c r="I34" s="3">
        <v>0</v>
      </c>
      <c r="J34" s="3">
        <v>0</v>
      </c>
      <c r="K34" s="3">
        <f t="shared" si="2"/>
        <v>13099000</v>
      </c>
      <c r="L34" s="3">
        <f t="shared" si="2"/>
        <v>0</v>
      </c>
      <c r="M34" s="3">
        <f t="shared" si="2"/>
        <v>0</v>
      </c>
      <c r="N34" s="3">
        <f t="shared" si="1"/>
        <v>13099000</v>
      </c>
    </row>
    <row r="35" spans="1:15" x14ac:dyDescent="0.15">
      <c r="A35" s="1">
        <v>2003</v>
      </c>
      <c r="B35" s="3">
        <v>0</v>
      </c>
      <c r="C35" s="3">
        <v>0</v>
      </c>
      <c r="D35" s="3">
        <v>11554010</v>
      </c>
      <c r="E35" s="3">
        <v>0</v>
      </c>
      <c r="F35" s="3">
        <v>0</v>
      </c>
      <c r="G35" s="3">
        <v>1352656</v>
      </c>
      <c r="H35" s="3">
        <v>0</v>
      </c>
      <c r="I35" s="3">
        <v>0</v>
      </c>
      <c r="J35" s="3">
        <v>113500</v>
      </c>
      <c r="K35" s="3">
        <f t="shared" si="2"/>
        <v>0</v>
      </c>
      <c r="L35" s="3">
        <f t="shared" si="2"/>
        <v>0</v>
      </c>
      <c r="M35" s="3">
        <f t="shared" si="2"/>
        <v>13020166</v>
      </c>
      <c r="N35" s="3">
        <f t="shared" si="1"/>
        <v>13020166</v>
      </c>
      <c r="O35" s="1" t="s">
        <v>260</v>
      </c>
    </row>
    <row r="36" spans="1:15" x14ac:dyDescent="0.15">
      <c r="A36" s="1">
        <v>2004</v>
      </c>
      <c r="B36" s="3">
        <v>12144065</v>
      </c>
      <c r="C36" s="3">
        <v>0</v>
      </c>
      <c r="D36" s="3">
        <v>0</v>
      </c>
      <c r="E36" s="3">
        <v>1929267</v>
      </c>
      <c r="F36" s="3">
        <v>0</v>
      </c>
      <c r="G36" s="3">
        <v>0</v>
      </c>
      <c r="H36" s="3">
        <v>0</v>
      </c>
      <c r="I36" s="3">
        <v>0</v>
      </c>
      <c r="J36" s="3">
        <v>0</v>
      </c>
      <c r="K36" s="3">
        <v>14073332</v>
      </c>
      <c r="L36" s="3">
        <v>0</v>
      </c>
      <c r="M36" s="3">
        <v>0</v>
      </c>
      <c r="N36" s="3">
        <v>14073332</v>
      </c>
    </row>
    <row r="37" spans="1:15" x14ac:dyDescent="0.15">
      <c r="A37" s="1">
        <v>2005</v>
      </c>
      <c r="B37" s="3">
        <v>13037346</v>
      </c>
      <c r="C37" s="3">
        <v>0</v>
      </c>
      <c r="D37" s="3">
        <v>0</v>
      </c>
      <c r="E37" s="3">
        <v>2024091</v>
      </c>
      <c r="F37" s="3">
        <v>0</v>
      </c>
      <c r="G37" s="3">
        <v>0</v>
      </c>
      <c r="H37" s="3">
        <v>904081</v>
      </c>
      <c r="I37" s="3">
        <v>0</v>
      </c>
      <c r="J37" s="3">
        <v>0</v>
      </c>
      <c r="K37" s="3">
        <v>15965518</v>
      </c>
      <c r="L37" s="3">
        <v>0</v>
      </c>
      <c r="M37" s="3">
        <v>0</v>
      </c>
      <c r="N37" s="3">
        <v>15965518</v>
      </c>
      <c r="O37" s="1" t="s">
        <v>273</v>
      </c>
    </row>
    <row r="38" spans="1:15" x14ac:dyDescent="0.15">
      <c r="A38" s="1">
        <v>2006</v>
      </c>
      <c r="B38" s="3">
        <v>13785321</v>
      </c>
      <c r="C38" s="3">
        <v>0</v>
      </c>
      <c r="D38" s="3">
        <v>0</v>
      </c>
      <c r="E38" s="3">
        <v>1262003</v>
      </c>
      <c r="F38" s="3">
        <v>0</v>
      </c>
      <c r="G38" s="3">
        <v>0</v>
      </c>
      <c r="H38" s="3">
        <v>121000</v>
      </c>
      <c r="I38" s="3">
        <v>0</v>
      </c>
      <c r="J38" s="3">
        <v>0</v>
      </c>
      <c r="K38" s="3">
        <v>15168324</v>
      </c>
      <c r="L38" s="3">
        <v>0</v>
      </c>
      <c r="M38" s="3">
        <v>0</v>
      </c>
      <c r="N38" s="3">
        <v>15168324</v>
      </c>
      <c r="O38" s="1" t="s">
        <v>274</v>
      </c>
    </row>
    <row r="39" spans="1:15" x14ac:dyDescent="0.15">
      <c r="A39" s="1">
        <v>2007</v>
      </c>
      <c r="B39" s="3">
        <v>15026426</v>
      </c>
      <c r="C39" s="3">
        <v>0</v>
      </c>
      <c r="D39" s="3">
        <v>0</v>
      </c>
      <c r="E39" s="3">
        <v>1352261</v>
      </c>
      <c r="F39" s="3">
        <v>0</v>
      </c>
      <c r="G39" s="3">
        <v>0</v>
      </c>
      <c r="H39" s="3">
        <v>119000</v>
      </c>
      <c r="I39" s="3">
        <v>0</v>
      </c>
      <c r="J39" s="3">
        <v>0</v>
      </c>
      <c r="K39" s="3">
        <v>16497687</v>
      </c>
      <c r="L39" s="3">
        <v>0</v>
      </c>
      <c r="M39" s="3">
        <v>0</v>
      </c>
      <c r="N39" s="3">
        <v>16497687</v>
      </c>
    </row>
    <row r="40" spans="1:15" x14ac:dyDescent="0.15">
      <c r="A40" s="1">
        <v>2008</v>
      </c>
      <c r="B40" s="3">
        <v>16462400</v>
      </c>
      <c r="C40" s="3">
        <v>0</v>
      </c>
      <c r="D40" s="3">
        <v>0</v>
      </c>
      <c r="E40" s="3">
        <v>2502224</v>
      </c>
      <c r="F40" s="3">
        <v>0</v>
      </c>
      <c r="G40" s="3">
        <v>0</v>
      </c>
      <c r="H40" s="3">
        <v>125500</v>
      </c>
      <c r="I40" s="3">
        <v>0</v>
      </c>
      <c r="J40" s="3">
        <v>0</v>
      </c>
      <c r="K40" s="3">
        <v>19090124</v>
      </c>
      <c r="L40" s="3">
        <v>0</v>
      </c>
      <c r="M40" s="3">
        <v>0</v>
      </c>
      <c r="N40" s="3">
        <v>19090124</v>
      </c>
    </row>
    <row r="41" spans="1:15" x14ac:dyDescent="0.15">
      <c r="A41" s="1">
        <v>2009</v>
      </c>
      <c r="B41" s="3">
        <v>16451614</v>
      </c>
      <c r="C41" s="3">
        <v>0</v>
      </c>
      <c r="D41" s="3">
        <v>0</v>
      </c>
      <c r="E41" s="3">
        <v>2050220</v>
      </c>
      <c r="F41" s="3">
        <v>0</v>
      </c>
      <c r="G41" s="3">
        <v>0</v>
      </c>
      <c r="H41" s="3">
        <v>160000</v>
      </c>
      <c r="I41" s="3">
        <v>0</v>
      </c>
      <c r="J41" s="3">
        <v>0</v>
      </c>
      <c r="K41" s="3">
        <v>18661834</v>
      </c>
      <c r="L41" s="3">
        <v>0</v>
      </c>
      <c r="M41" s="3">
        <v>0</v>
      </c>
      <c r="N41" s="3">
        <v>18661834</v>
      </c>
    </row>
    <row r="42" spans="1:15" x14ac:dyDescent="0.15">
      <c r="A42" s="1">
        <v>2010</v>
      </c>
      <c r="B42" s="3">
        <v>16395672</v>
      </c>
      <c r="C42" s="3">
        <v>0</v>
      </c>
      <c r="D42" s="3">
        <v>0</v>
      </c>
      <c r="E42" s="3">
        <v>1715763</v>
      </c>
      <c r="F42" s="3">
        <v>0</v>
      </c>
      <c r="G42" s="3">
        <v>0</v>
      </c>
      <c r="H42" s="3">
        <v>120000</v>
      </c>
      <c r="I42" s="3">
        <v>0</v>
      </c>
      <c r="J42" s="3">
        <v>0</v>
      </c>
      <c r="K42" s="3">
        <v>18231435</v>
      </c>
      <c r="L42" s="3">
        <v>0</v>
      </c>
      <c r="M42" s="3">
        <v>0</v>
      </c>
      <c r="N42" s="3">
        <v>18231435</v>
      </c>
    </row>
    <row r="43" spans="1:15" x14ac:dyDescent="0.15">
      <c r="A43" s="1">
        <v>2011</v>
      </c>
      <c r="B43" s="3">
        <v>15790521</v>
      </c>
      <c r="C43" s="3">
        <v>0</v>
      </c>
      <c r="D43" s="3">
        <v>0</v>
      </c>
      <c r="E43" s="3">
        <v>1644610</v>
      </c>
      <c r="F43" s="3">
        <v>0</v>
      </c>
      <c r="G43" s="3">
        <v>0</v>
      </c>
      <c r="H43" s="3">
        <v>155000</v>
      </c>
      <c r="I43" s="3">
        <v>0</v>
      </c>
      <c r="J43" s="3">
        <v>0</v>
      </c>
      <c r="K43" s="3">
        <v>17590131</v>
      </c>
      <c r="L43" s="3">
        <v>0</v>
      </c>
      <c r="M43" s="3">
        <v>0</v>
      </c>
      <c r="N43" s="3">
        <v>17590131</v>
      </c>
    </row>
    <row r="44" spans="1:15" x14ac:dyDescent="0.15">
      <c r="A44" s="1">
        <v>2012</v>
      </c>
      <c r="B44" s="3">
        <v>16143305</v>
      </c>
      <c r="C44" s="3">
        <v>0</v>
      </c>
      <c r="D44" s="3">
        <v>0</v>
      </c>
      <c r="E44" s="3">
        <v>1682880</v>
      </c>
      <c r="F44" s="3">
        <v>0</v>
      </c>
      <c r="G44" s="3">
        <v>0</v>
      </c>
      <c r="H44" s="3">
        <v>118500</v>
      </c>
      <c r="I44" s="3">
        <v>0</v>
      </c>
      <c r="J44" s="3">
        <v>0</v>
      </c>
      <c r="K44" s="3">
        <v>17944685</v>
      </c>
      <c r="L44" s="3">
        <v>0</v>
      </c>
      <c r="M44" s="3">
        <v>0</v>
      </c>
      <c r="N44" s="3">
        <v>17944685</v>
      </c>
    </row>
    <row r="45" spans="1:15" x14ac:dyDescent="0.15">
      <c r="A45" s="1">
        <v>2013</v>
      </c>
      <c r="B45" s="3">
        <v>16170349</v>
      </c>
      <c r="C45" s="3">
        <v>0</v>
      </c>
      <c r="D45" s="3">
        <v>0</v>
      </c>
      <c r="E45" s="3">
        <v>1646443</v>
      </c>
      <c r="F45" s="3">
        <v>0</v>
      </c>
      <c r="G45" s="3">
        <v>0</v>
      </c>
      <c r="H45" s="3">
        <v>80500</v>
      </c>
      <c r="I45" s="3">
        <v>0</v>
      </c>
      <c r="J45" s="3">
        <v>0</v>
      </c>
      <c r="K45" s="3">
        <v>17897292</v>
      </c>
      <c r="L45" s="3">
        <v>0</v>
      </c>
      <c r="M45" s="3">
        <v>0</v>
      </c>
      <c r="N45" s="3">
        <v>17897292</v>
      </c>
    </row>
    <row r="46" spans="1:15" x14ac:dyDescent="0.15">
      <c r="A46" s="1">
        <v>2014</v>
      </c>
      <c r="B46" s="3">
        <v>16185423</v>
      </c>
      <c r="C46" s="3">
        <v>0</v>
      </c>
      <c r="D46" s="3">
        <v>0</v>
      </c>
      <c r="E46" s="3">
        <v>1957434</v>
      </c>
      <c r="F46" s="3">
        <v>0</v>
      </c>
      <c r="G46" s="3">
        <v>0</v>
      </c>
      <c r="H46" s="3">
        <v>0</v>
      </c>
      <c r="I46" s="3">
        <v>0</v>
      </c>
      <c r="J46" s="3">
        <v>0</v>
      </c>
      <c r="K46" s="3">
        <v>18142857</v>
      </c>
      <c r="L46" s="3">
        <v>0</v>
      </c>
      <c r="M46" s="3">
        <v>0</v>
      </c>
      <c r="N46" s="3">
        <v>18142857</v>
      </c>
    </row>
    <row r="47" spans="1:15" x14ac:dyDescent="0.15">
      <c r="A47" s="1">
        <v>2015</v>
      </c>
      <c r="B47" s="3">
        <v>16283907</v>
      </c>
      <c r="C47" s="3">
        <v>0</v>
      </c>
      <c r="D47" s="3">
        <v>0</v>
      </c>
      <c r="E47" s="3">
        <v>2145451</v>
      </c>
      <c r="F47" s="3">
        <v>0</v>
      </c>
      <c r="G47" s="3">
        <v>0</v>
      </c>
      <c r="H47" s="3">
        <v>0</v>
      </c>
      <c r="I47" s="3">
        <v>0</v>
      </c>
      <c r="J47" s="3">
        <v>0</v>
      </c>
      <c r="K47" s="3">
        <v>18429358</v>
      </c>
      <c r="L47" s="3">
        <v>0</v>
      </c>
      <c r="M47" s="3">
        <v>0</v>
      </c>
      <c r="N47" s="3">
        <v>18429358</v>
      </c>
    </row>
    <row r="48" spans="1:15" x14ac:dyDescent="0.15">
      <c r="A48" s="1">
        <v>2016</v>
      </c>
      <c r="B48" s="3">
        <v>15758338</v>
      </c>
      <c r="C48" s="3">
        <v>0</v>
      </c>
      <c r="D48" s="3">
        <v>0</v>
      </c>
      <c r="E48" s="3">
        <v>1845972</v>
      </c>
      <c r="F48" s="3">
        <v>0</v>
      </c>
      <c r="G48" s="3">
        <v>0</v>
      </c>
      <c r="H48" s="3">
        <v>0</v>
      </c>
      <c r="I48" s="3">
        <v>0</v>
      </c>
      <c r="J48" s="3">
        <v>0</v>
      </c>
      <c r="K48" s="3">
        <v>17604310</v>
      </c>
      <c r="L48" s="3">
        <v>0</v>
      </c>
      <c r="M48" s="3">
        <v>0</v>
      </c>
      <c r="N48" s="3">
        <v>17604310</v>
      </c>
    </row>
  </sheetData>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8"/>
  <sheetViews>
    <sheetView zoomScale="85" zoomScaleNormal="85" zoomScaleSheetLayoutView="85" workbookViewId="0"/>
  </sheetViews>
  <sheetFormatPr defaultColWidth="10.625" defaultRowHeight="11.25" x14ac:dyDescent="0.15"/>
  <cols>
    <col min="1" max="7" width="10.625" style="1"/>
    <col min="8" max="8" width="11.5" style="1" customWidth="1"/>
    <col min="9" max="10" width="10.625" style="1"/>
    <col min="11" max="11" width="12" style="1" customWidth="1"/>
    <col min="12" max="13" width="10.625" style="1"/>
    <col min="14" max="14" width="12.5" style="1" customWidth="1"/>
    <col min="15" max="16384" width="10.625" style="1"/>
  </cols>
  <sheetData>
    <row r="1" spans="1:15" x14ac:dyDescent="0.15">
      <c r="A1" s="1" t="s">
        <v>36</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555000</v>
      </c>
      <c r="C7" s="3">
        <v>0</v>
      </c>
      <c r="D7" s="3">
        <v>0</v>
      </c>
      <c r="E7" s="3">
        <v>0</v>
      </c>
      <c r="F7" s="3">
        <v>0</v>
      </c>
      <c r="G7" s="3">
        <v>0</v>
      </c>
      <c r="H7" s="3">
        <v>0</v>
      </c>
      <c r="I7" s="3">
        <v>0</v>
      </c>
      <c r="J7" s="3">
        <v>0</v>
      </c>
      <c r="K7" s="3">
        <f t="shared" si="0"/>
        <v>555000</v>
      </c>
      <c r="L7" s="3">
        <f t="shared" si="0"/>
        <v>0</v>
      </c>
      <c r="M7" s="3">
        <f t="shared" si="0"/>
        <v>0</v>
      </c>
      <c r="N7" s="3">
        <f t="shared" si="1"/>
        <v>555000</v>
      </c>
      <c r="O7" s="1" t="s">
        <v>90</v>
      </c>
    </row>
    <row r="8" spans="1:15" x14ac:dyDescent="0.15">
      <c r="A8" s="1">
        <v>1976</v>
      </c>
      <c r="B8" s="3">
        <v>2165000</v>
      </c>
      <c r="C8" s="3">
        <v>0</v>
      </c>
      <c r="D8" s="3">
        <v>0</v>
      </c>
      <c r="E8" s="3">
        <v>0</v>
      </c>
      <c r="F8" s="3">
        <v>0</v>
      </c>
      <c r="G8" s="3">
        <v>0</v>
      </c>
      <c r="H8" s="3">
        <v>0</v>
      </c>
      <c r="I8" s="3">
        <v>0</v>
      </c>
      <c r="J8" s="3">
        <v>0</v>
      </c>
      <c r="K8" s="3">
        <f t="shared" si="0"/>
        <v>2165000</v>
      </c>
      <c r="L8" s="3">
        <f t="shared" si="0"/>
        <v>0</v>
      </c>
      <c r="M8" s="3">
        <f t="shared" si="0"/>
        <v>0</v>
      </c>
      <c r="N8" s="3">
        <f t="shared" si="1"/>
        <v>2165000</v>
      </c>
      <c r="O8" s="1" t="s">
        <v>99</v>
      </c>
    </row>
    <row r="9" spans="1:15" x14ac:dyDescent="0.15">
      <c r="A9" s="1">
        <v>1977</v>
      </c>
      <c r="B9" s="3">
        <v>2444000</v>
      </c>
      <c r="C9" s="3">
        <v>0</v>
      </c>
      <c r="D9" s="3">
        <v>0</v>
      </c>
      <c r="E9" s="3">
        <v>0</v>
      </c>
      <c r="F9" s="3">
        <v>0</v>
      </c>
      <c r="G9" s="3">
        <v>0</v>
      </c>
      <c r="H9" s="3">
        <v>0</v>
      </c>
      <c r="I9" s="3">
        <v>0</v>
      </c>
      <c r="J9" s="3">
        <v>0</v>
      </c>
      <c r="K9" s="3">
        <f t="shared" si="0"/>
        <v>2444000</v>
      </c>
      <c r="L9" s="3">
        <f t="shared" si="0"/>
        <v>0</v>
      </c>
      <c r="M9" s="3">
        <f t="shared" si="0"/>
        <v>0</v>
      </c>
      <c r="N9" s="3">
        <f t="shared" si="1"/>
        <v>2444000</v>
      </c>
    </row>
    <row r="10" spans="1:15" x14ac:dyDescent="0.15">
      <c r="A10" s="1">
        <v>1978</v>
      </c>
      <c r="B10" s="3">
        <v>3838000</v>
      </c>
      <c r="C10" s="3">
        <v>0</v>
      </c>
      <c r="D10" s="3">
        <v>0</v>
      </c>
      <c r="E10" s="3">
        <v>0</v>
      </c>
      <c r="F10" s="3">
        <v>0</v>
      </c>
      <c r="G10" s="3">
        <v>0</v>
      </c>
      <c r="H10" s="3">
        <v>0</v>
      </c>
      <c r="I10" s="3">
        <v>0</v>
      </c>
      <c r="J10" s="3">
        <v>0</v>
      </c>
      <c r="K10" s="3">
        <f t="shared" si="0"/>
        <v>3838000</v>
      </c>
      <c r="L10" s="3">
        <f t="shared" si="0"/>
        <v>0</v>
      </c>
      <c r="M10" s="3">
        <f t="shared" si="0"/>
        <v>0</v>
      </c>
      <c r="N10" s="3">
        <f t="shared" si="1"/>
        <v>3838000</v>
      </c>
    </row>
    <row r="11" spans="1:15" x14ac:dyDescent="0.15">
      <c r="A11" s="1">
        <v>1979</v>
      </c>
      <c r="B11" s="3">
        <v>4193000</v>
      </c>
      <c r="C11" s="3">
        <v>0</v>
      </c>
      <c r="D11" s="3">
        <v>0</v>
      </c>
      <c r="E11" s="3">
        <v>0</v>
      </c>
      <c r="F11" s="3">
        <v>0</v>
      </c>
      <c r="G11" s="3">
        <v>0</v>
      </c>
      <c r="H11" s="3">
        <v>0</v>
      </c>
      <c r="I11" s="3">
        <v>0</v>
      </c>
      <c r="J11" s="3">
        <v>0</v>
      </c>
      <c r="K11" s="3">
        <f t="shared" si="0"/>
        <v>4193000</v>
      </c>
      <c r="L11" s="3">
        <f t="shared" si="0"/>
        <v>0</v>
      </c>
      <c r="M11" s="3">
        <f t="shared" si="0"/>
        <v>0</v>
      </c>
      <c r="N11" s="3">
        <f t="shared" si="1"/>
        <v>4193000</v>
      </c>
    </row>
    <row r="12" spans="1:15" x14ac:dyDescent="0.15">
      <c r="A12" s="1">
        <v>1980</v>
      </c>
      <c r="B12" s="3">
        <v>4991000</v>
      </c>
      <c r="C12" s="3">
        <v>0</v>
      </c>
      <c r="D12" s="3">
        <v>0</v>
      </c>
      <c r="E12" s="3">
        <v>0</v>
      </c>
      <c r="F12" s="3">
        <v>0</v>
      </c>
      <c r="G12" s="3">
        <v>0</v>
      </c>
      <c r="H12" s="3">
        <v>0</v>
      </c>
      <c r="I12" s="3">
        <v>0</v>
      </c>
      <c r="J12" s="3">
        <v>0</v>
      </c>
      <c r="K12" s="3">
        <f t="shared" si="0"/>
        <v>4991000</v>
      </c>
      <c r="L12" s="3">
        <f t="shared" si="0"/>
        <v>0</v>
      </c>
      <c r="M12" s="3">
        <f t="shared" si="0"/>
        <v>0</v>
      </c>
      <c r="N12" s="3">
        <f t="shared" si="1"/>
        <v>4991000</v>
      </c>
    </row>
    <row r="13" spans="1:15" x14ac:dyDescent="0.15">
      <c r="A13" s="1">
        <v>1981</v>
      </c>
      <c r="B13" s="3">
        <v>3246000</v>
      </c>
      <c r="C13" s="3">
        <v>0</v>
      </c>
      <c r="D13" s="3">
        <v>0</v>
      </c>
      <c r="E13" s="3">
        <v>3381000</v>
      </c>
      <c r="F13" s="3">
        <v>0</v>
      </c>
      <c r="G13" s="3">
        <v>0</v>
      </c>
      <c r="H13" s="3">
        <v>0</v>
      </c>
      <c r="I13" s="3">
        <v>0</v>
      </c>
      <c r="J13" s="3">
        <v>0</v>
      </c>
      <c r="K13" s="3">
        <f t="shared" si="0"/>
        <v>6627000</v>
      </c>
      <c r="L13" s="3">
        <f t="shared" si="0"/>
        <v>0</v>
      </c>
      <c r="M13" s="3">
        <f t="shared" si="0"/>
        <v>0</v>
      </c>
      <c r="N13" s="3">
        <f t="shared" si="1"/>
        <v>6627000</v>
      </c>
      <c r="O13" s="1" t="s">
        <v>133</v>
      </c>
    </row>
    <row r="14" spans="1:15" x14ac:dyDescent="0.15">
      <c r="A14" s="1">
        <v>1982</v>
      </c>
      <c r="B14" s="3">
        <v>3155000</v>
      </c>
      <c r="C14" s="3">
        <v>0</v>
      </c>
      <c r="D14" s="3">
        <v>0</v>
      </c>
      <c r="E14" s="3">
        <v>3167000</v>
      </c>
      <c r="F14" s="3">
        <v>0</v>
      </c>
      <c r="G14" s="3">
        <v>0</v>
      </c>
      <c r="H14" s="3">
        <v>0</v>
      </c>
      <c r="I14" s="3">
        <v>0</v>
      </c>
      <c r="J14" s="3">
        <v>0</v>
      </c>
      <c r="K14" s="3">
        <f t="shared" si="0"/>
        <v>6322000</v>
      </c>
      <c r="L14" s="3">
        <f t="shared" si="0"/>
        <v>0</v>
      </c>
      <c r="M14" s="3">
        <f t="shared" si="0"/>
        <v>0</v>
      </c>
      <c r="N14" s="3">
        <f t="shared" si="1"/>
        <v>6322000</v>
      </c>
    </row>
    <row r="15" spans="1:15" x14ac:dyDescent="0.15">
      <c r="A15" s="1">
        <v>1983</v>
      </c>
      <c r="B15" s="3">
        <v>3267000</v>
      </c>
      <c r="C15" s="3">
        <v>0</v>
      </c>
      <c r="D15" s="3">
        <v>0</v>
      </c>
      <c r="E15" s="3">
        <v>3289000</v>
      </c>
      <c r="F15" s="3">
        <v>0</v>
      </c>
      <c r="G15" s="3">
        <v>0</v>
      </c>
      <c r="H15" s="3">
        <v>0</v>
      </c>
      <c r="I15" s="3">
        <v>0</v>
      </c>
      <c r="J15" s="3">
        <v>0</v>
      </c>
      <c r="K15" s="3">
        <f t="shared" si="0"/>
        <v>6556000</v>
      </c>
      <c r="L15" s="3">
        <f t="shared" si="0"/>
        <v>0</v>
      </c>
      <c r="M15" s="3">
        <f t="shared" si="0"/>
        <v>0</v>
      </c>
      <c r="N15" s="3">
        <f t="shared" si="1"/>
        <v>6556000</v>
      </c>
    </row>
    <row r="16" spans="1:15" x14ac:dyDescent="0.15">
      <c r="A16" s="1">
        <v>1984</v>
      </c>
      <c r="B16" s="3">
        <v>4322000</v>
      </c>
      <c r="C16" s="3">
        <v>0</v>
      </c>
      <c r="D16" s="3">
        <v>0</v>
      </c>
      <c r="E16" s="3">
        <v>3906000</v>
      </c>
      <c r="F16" s="3">
        <v>0</v>
      </c>
      <c r="G16" s="3">
        <v>0</v>
      </c>
      <c r="H16" s="3">
        <v>0</v>
      </c>
      <c r="I16" s="3">
        <v>0</v>
      </c>
      <c r="J16" s="3">
        <v>0</v>
      </c>
      <c r="K16" s="3">
        <f t="shared" si="0"/>
        <v>8228000</v>
      </c>
      <c r="L16" s="3">
        <f t="shared" si="0"/>
        <v>0</v>
      </c>
      <c r="M16" s="3">
        <f t="shared" si="0"/>
        <v>0</v>
      </c>
      <c r="N16" s="3">
        <f t="shared" si="1"/>
        <v>8228000</v>
      </c>
    </row>
    <row r="17" spans="1:15" x14ac:dyDescent="0.15">
      <c r="A17" s="1">
        <v>1985</v>
      </c>
      <c r="B17" s="3">
        <v>4536000</v>
      </c>
      <c r="C17" s="3">
        <v>0</v>
      </c>
      <c r="D17" s="3">
        <v>0</v>
      </c>
      <c r="E17" s="3">
        <v>4112000</v>
      </c>
      <c r="F17" s="3">
        <v>0</v>
      </c>
      <c r="G17" s="3">
        <v>0</v>
      </c>
      <c r="H17" s="3">
        <v>0</v>
      </c>
      <c r="I17" s="3">
        <v>0</v>
      </c>
      <c r="J17" s="3">
        <v>0</v>
      </c>
      <c r="K17" s="3">
        <f t="shared" si="0"/>
        <v>8648000</v>
      </c>
      <c r="L17" s="3">
        <f t="shared" si="0"/>
        <v>0</v>
      </c>
      <c r="M17" s="3">
        <f t="shared" si="0"/>
        <v>0</v>
      </c>
      <c r="N17" s="3">
        <f t="shared" si="1"/>
        <v>8648000</v>
      </c>
    </row>
    <row r="18" spans="1:15" x14ac:dyDescent="0.15">
      <c r="A18" s="1">
        <v>1986</v>
      </c>
      <c r="B18" s="3">
        <v>4852000</v>
      </c>
      <c r="C18" s="3">
        <v>0</v>
      </c>
      <c r="D18" s="3">
        <v>0</v>
      </c>
      <c r="E18" s="3">
        <v>4229000</v>
      </c>
      <c r="F18" s="3">
        <v>0</v>
      </c>
      <c r="G18" s="3">
        <v>0</v>
      </c>
      <c r="H18" s="3">
        <v>0</v>
      </c>
      <c r="I18" s="3">
        <v>0</v>
      </c>
      <c r="J18" s="3">
        <v>0</v>
      </c>
      <c r="K18" s="3">
        <f t="shared" si="0"/>
        <v>9081000</v>
      </c>
      <c r="L18" s="3">
        <f t="shared" si="0"/>
        <v>0</v>
      </c>
      <c r="M18" s="3">
        <f t="shared" si="0"/>
        <v>0</v>
      </c>
      <c r="N18" s="3">
        <f t="shared" si="1"/>
        <v>9081000</v>
      </c>
    </row>
    <row r="19" spans="1:15" x14ac:dyDescent="0.15">
      <c r="A19" s="1">
        <v>1987</v>
      </c>
      <c r="B19" s="3">
        <v>5964000</v>
      </c>
      <c r="C19" s="3">
        <v>0</v>
      </c>
      <c r="D19" s="3">
        <v>0</v>
      </c>
      <c r="E19" s="3">
        <f>5529000+90000</f>
        <v>5619000</v>
      </c>
      <c r="F19" s="3">
        <v>0</v>
      </c>
      <c r="G19" s="3">
        <v>0</v>
      </c>
      <c r="H19" s="3">
        <v>0</v>
      </c>
      <c r="I19" s="3">
        <v>0</v>
      </c>
      <c r="J19" s="3">
        <v>0</v>
      </c>
      <c r="K19" s="3">
        <f t="shared" si="0"/>
        <v>11583000</v>
      </c>
      <c r="L19" s="3">
        <f t="shared" si="0"/>
        <v>0</v>
      </c>
      <c r="M19" s="3">
        <f t="shared" si="0"/>
        <v>0</v>
      </c>
      <c r="N19" s="3">
        <f t="shared" si="1"/>
        <v>11583000</v>
      </c>
    </row>
    <row r="20" spans="1:15" x14ac:dyDescent="0.15">
      <c r="A20" s="1">
        <v>1988</v>
      </c>
      <c r="B20" s="3">
        <v>6344000</v>
      </c>
      <c r="C20" s="3">
        <v>0</v>
      </c>
      <c r="D20" s="3">
        <v>0</v>
      </c>
      <c r="E20" s="3">
        <v>5885000</v>
      </c>
      <c r="F20" s="3">
        <v>0</v>
      </c>
      <c r="G20" s="3">
        <v>0</v>
      </c>
      <c r="H20" s="3">
        <v>0</v>
      </c>
      <c r="I20" s="3">
        <v>0</v>
      </c>
      <c r="J20" s="3">
        <v>0</v>
      </c>
      <c r="K20" s="3">
        <f t="shared" si="0"/>
        <v>12229000</v>
      </c>
      <c r="L20" s="3">
        <f t="shared" si="0"/>
        <v>0</v>
      </c>
      <c r="M20" s="3">
        <f t="shared" si="0"/>
        <v>0</v>
      </c>
      <c r="N20" s="3">
        <f t="shared" si="1"/>
        <v>12229000</v>
      </c>
    </row>
    <row r="21" spans="1:15" x14ac:dyDescent="0.15">
      <c r="A21" s="1">
        <v>1989</v>
      </c>
      <c r="B21" s="3">
        <v>6143000</v>
      </c>
      <c r="C21" s="3">
        <v>0</v>
      </c>
      <c r="D21" s="3">
        <v>0</v>
      </c>
      <c r="E21" s="3">
        <v>7047000</v>
      </c>
      <c r="F21" s="3">
        <v>0</v>
      </c>
      <c r="G21" s="3">
        <v>0</v>
      </c>
      <c r="H21" s="3">
        <v>0</v>
      </c>
      <c r="I21" s="3">
        <v>0</v>
      </c>
      <c r="J21" s="3">
        <v>0</v>
      </c>
      <c r="K21" s="3">
        <f t="shared" si="0"/>
        <v>13190000</v>
      </c>
      <c r="L21" s="3">
        <f t="shared" si="0"/>
        <v>0</v>
      </c>
      <c r="M21" s="3">
        <f t="shared" si="0"/>
        <v>0</v>
      </c>
      <c r="N21" s="3">
        <f t="shared" si="1"/>
        <v>13190000</v>
      </c>
    </row>
    <row r="22" spans="1:15" x14ac:dyDescent="0.15">
      <c r="A22" s="1">
        <v>1990</v>
      </c>
      <c r="B22" s="3">
        <v>6446000</v>
      </c>
      <c r="C22" s="3">
        <v>0</v>
      </c>
      <c r="D22" s="3">
        <v>0</v>
      </c>
      <c r="E22" s="3">
        <v>7412000</v>
      </c>
      <c r="F22" s="3">
        <v>0</v>
      </c>
      <c r="G22" s="3">
        <v>0</v>
      </c>
      <c r="H22" s="3">
        <v>0</v>
      </c>
      <c r="I22" s="3">
        <v>0</v>
      </c>
      <c r="J22" s="3">
        <v>0</v>
      </c>
      <c r="K22" s="3">
        <f t="shared" ref="K22:M35" si="2">+B22+E22+H22</f>
        <v>13858000</v>
      </c>
      <c r="L22" s="3">
        <f t="shared" si="2"/>
        <v>0</v>
      </c>
      <c r="M22" s="3">
        <f t="shared" si="2"/>
        <v>0</v>
      </c>
      <c r="N22" s="3">
        <f t="shared" si="1"/>
        <v>13858000</v>
      </c>
    </row>
    <row r="23" spans="1:15" x14ac:dyDescent="0.15">
      <c r="A23" s="1">
        <v>1991</v>
      </c>
      <c r="B23" s="3">
        <v>7727000</v>
      </c>
      <c r="C23" s="3">
        <v>0</v>
      </c>
      <c r="D23" s="3">
        <v>0</v>
      </c>
      <c r="E23" s="3">
        <f>4666000+7000000</f>
        <v>11666000</v>
      </c>
      <c r="F23" s="3">
        <v>0</v>
      </c>
      <c r="G23" s="3">
        <v>0</v>
      </c>
      <c r="H23" s="3">
        <v>0</v>
      </c>
      <c r="I23" s="3">
        <v>0</v>
      </c>
      <c r="J23" s="3">
        <v>0</v>
      </c>
      <c r="K23" s="3">
        <f t="shared" si="2"/>
        <v>19393000</v>
      </c>
      <c r="L23" s="3">
        <f t="shared" si="2"/>
        <v>0</v>
      </c>
      <c r="M23" s="3">
        <f t="shared" si="2"/>
        <v>0</v>
      </c>
      <c r="N23" s="3">
        <f t="shared" si="1"/>
        <v>19393000</v>
      </c>
      <c r="O23" s="1" t="s">
        <v>183</v>
      </c>
    </row>
    <row r="24" spans="1:15" x14ac:dyDescent="0.15">
      <c r="A24" s="1">
        <v>1992</v>
      </c>
      <c r="B24" s="3">
        <v>9200000</v>
      </c>
      <c r="C24" s="3">
        <v>0</v>
      </c>
      <c r="D24" s="3">
        <v>0</v>
      </c>
      <c r="E24" s="3">
        <f>3700000+8175000</f>
        <v>11875000</v>
      </c>
      <c r="F24" s="3">
        <v>0</v>
      </c>
      <c r="G24" s="3">
        <v>0</v>
      </c>
      <c r="H24" s="3">
        <v>0</v>
      </c>
      <c r="I24" s="3">
        <v>0</v>
      </c>
      <c r="J24" s="3">
        <v>0</v>
      </c>
      <c r="K24" s="3">
        <f t="shared" si="2"/>
        <v>21075000</v>
      </c>
      <c r="L24" s="3">
        <f t="shared" si="2"/>
        <v>0</v>
      </c>
      <c r="M24" s="3">
        <f t="shared" si="2"/>
        <v>0</v>
      </c>
      <c r="N24" s="3">
        <f t="shared" si="1"/>
        <v>21075000</v>
      </c>
    </row>
    <row r="25" spans="1:15" x14ac:dyDescent="0.15">
      <c r="A25" s="1">
        <v>1993</v>
      </c>
      <c r="B25" s="3">
        <v>12500000</v>
      </c>
      <c r="C25" s="3">
        <v>0</v>
      </c>
      <c r="D25" s="3">
        <v>0</v>
      </c>
      <c r="E25" s="3">
        <v>8020000</v>
      </c>
      <c r="F25" s="3">
        <v>0</v>
      </c>
      <c r="G25" s="3">
        <v>0</v>
      </c>
      <c r="H25" s="3">
        <v>0</v>
      </c>
      <c r="I25" s="3">
        <v>0</v>
      </c>
      <c r="J25" s="3">
        <v>0</v>
      </c>
      <c r="K25" s="3">
        <f t="shared" si="2"/>
        <v>20520000</v>
      </c>
      <c r="L25" s="3">
        <f t="shared" si="2"/>
        <v>0</v>
      </c>
      <c r="M25" s="3">
        <f t="shared" si="2"/>
        <v>0</v>
      </c>
      <c r="N25" s="3">
        <f t="shared" si="1"/>
        <v>20520000</v>
      </c>
    </row>
    <row r="26" spans="1:15" x14ac:dyDescent="0.15">
      <c r="A26" s="1">
        <v>1994</v>
      </c>
      <c r="B26" s="3">
        <v>12549000</v>
      </c>
      <c r="C26" s="3">
        <v>0</v>
      </c>
      <c r="D26" s="3">
        <v>0</v>
      </c>
      <c r="E26" s="3">
        <v>8070000</v>
      </c>
      <c r="F26" s="3">
        <v>0</v>
      </c>
      <c r="G26" s="3">
        <v>0</v>
      </c>
      <c r="H26" s="3">
        <v>0</v>
      </c>
      <c r="I26" s="3">
        <v>0</v>
      </c>
      <c r="J26" s="3">
        <v>0</v>
      </c>
      <c r="K26" s="3">
        <f t="shared" si="2"/>
        <v>20619000</v>
      </c>
      <c r="L26" s="3">
        <f t="shared" si="2"/>
        <v>0</v>
      </c>
      <c r="M26" s="3">
        <f t="shared" si="2"/>
        <v>0</v>
      </c>
      <c r="N26" s="3">
        <f t="shared" si="1"/>
        <v>20619000</v>
      </c>
    </row>
    <row r="27" spans="1:15" x14ac:dyDescent="0.15">
      <c r="A27" s="1">
        <v>1995</v>
      </c>
      <c r="B27" s="3">
        <v>17216700</v>
      </c>
      <c r="C27" s="3">
        <v>0</v>
      </c>
      <c r="D27" s="3">
        <v>0</v>
      </c>
      <c r="E27" s="3">
        <f>25517000-B27</f>
        <v>8300300</v>
      </c>
      <c r="F27" s="3">
        <v>0</v>
      </c>
      <c r="G27" s="3">
        <v>0</v>
      </c>
      <c r="H27" s="3">
        <v>0</v>
      </c>
      <c r="I27" s="3">
        <v>0</v>
      </c>
      <c r="J27" s="3">
        <v>0</v>
      </c>
      <c r="K27" s="3">
        <f t="shared" si="2"/>
        <v>25517000</v>
      </c>
      <c r="L27" s="3">
        <f t="shared" si="2"/>
        <v>0</v>
      </c>
      <c r="M27" s="3">
        <f t="shared" si="2"/>
        <v>0</v>
      </c>
      <c r="N27" s="3">
        <f t="shared" si="1"/>
        <v>25517000</v>
      </c>
      <c r="O27" s="1" t="s">
        <v>208</v>
      </c>
    </row>
    <row r="28" spans="1:15" x14ac:dyDescent="0.15">
      <c r="A28" s="1">
        <v>1996</v>
      </c>
      <c r="B28" s="3">
        <v>18378324</v>
      </c>
      <c r="C28" s="3">
        <v>0</v>
      </c>
      <c r="D28" s="3">
        <v>0</v>
      </c>
      <c r="E28" s="3">
        <f>26245000-B28</f>
        <v>7866676</v>
      </c>
      <c r="F28" s="3">
        <v>0</v>
      </c>
      <c r="G28" s="3">
        <v>0</v>
      </c>
      <c r="H28" s="3">
        <v>0</v>
      </c>
      <c r="I28" s="3">
        <v>0</v>
      </c>
      <c r="J28" s="3">
        <v>0</v>
      </c>
      <c r="K28" s="3">
        <f t="shared" si="2"/>
        <v>26245000</v>
      </c>
      <c r="L28" s="3">
        <f t="shared" si="2"/>
        <v>0</v>
      </c>
      <c r="M28" s="3">
        <f t="shared" si="2"/>
        <v>0</v>
      </c>
      <c r="N28" s="3">
        <f t="shared" si="1"/>
        <v>26245000</v>
      </c>
    </row>
    <row r="29" spans="1:15" x14ac:dyDescent="0.15">
      <c r="A29" s="1">
        <v>1997</v>
      </c>
      <c r="B29" s="3">
        <v>20299476</v>
      </c>
      <c r="C29" s="3">
        <v>0</v>
      </c>
      <c r="D29" s="3">
        <v>0</v>
      </c>
      <c r="E29" s="3">
        <v>8602267</v>
      </c>
      <c r="F29" s="3">
        <v>0</v>
      </c>
      <c r="G29" s="3">
        <v>0</v>
      </c>
      <c r="H29" s="3">
        <v>0</v>
      </c>
      <c r="I29" s="3">
        <v>0</v>
      </c>
      <c r="J29" s="3">
        <v>0</v>
      </c>
      <c r="K29" s="3">
        <f t="shared" si="2"/>
        <v>28901743</v>
      </c>
      <c r="L29" s="3">
        <f t="shared" si="2"/>
        <v>0</v>
      </c>
      <c r="M29" s="3">
        <f t="shared" si="2"/>
        <v>0</v>
      </c>
      <c r="N29" s="3">
        <f t="shared" si="1"/>
        <v>28901743</v>
      </c>
    </row>
    <row r="30" spans="1:15" x14ac:dyDescent="0.15">
      <c r="A30" s="1">
        <v>1998</v>
      </c>
      <c r="B30" s="3">
        <f>15372763+3605957</f>
        <v>18978720</v>
      </c>
      <c r="C30" s="3">
        <v>0</v>
      </c>
      <c r="D30" s="3">
        <v>0</v>
      </c>
      <c r="E30" s="3">
        <v>8220262</v>
      </c>
      <c r="F30" s="3">
        <v>0</v>
      </c>
      <c r="G30" s="3">
        <v>0</v>
      </c>
      <c r="H30" s="3">
        <v>0</v>
      </c>
      <c r="I30" s="3">
        <v>0</v>
      </c>
      <c r="J30" s="3">
        <v>0</v>
      </c>
      <c r="K30" s="3">
        <f t="shared" si="2"/>
        <v>27198982</v>
      </c>
      <c r="L30" s="3">
        <f t="shared" si="2"/>
        <v>0</v>
      </c>
      <c r="M30" s="3">
        <f t="shared" si="2"/>
        <v>0</v>
      </c>
      <c r="N30" s="3">
        <f t="shared" si="1"/>
        <v>27198982</v>
      </c>
    </row>
    <row r="31" spans="1:15" x14ac:dyDescent="0.15">
      <c r="A31" s="1">
        <v>1999</v>
      </c>
      <c r="B31" s="3">
        <v>26137600</v>
      </c>
      <c r="C31" s="3">
        <v>0</v>
      </c>
      <c r="D31" s="3">
        <v>0</v>
      </c>
      <c r="E31" s="3">
        <v>12302900</v>
      </c>
      <c r="F31" s="3">
        <v>0</v>
      </c>
      <c r="G31" s="3">
        <v>0</v>
      </c>
      <c r="H31" s="3">
        <v>0</v>
      </c>
      <c r="I31" s="3">
        <v>0</v>
      </c>
      <c r="J31" s="3">
        <v>0</v>
      </c>
      <c r="K31" s="3">
        <f t="shared" si="2"/>
        <v>38440500</v>
      </c>
      <c r="L31" s="3">
        <f t="shared" si="2"/>
        <v>0</v>
      </c>
      <c r="M31" s="3">
        <f t="shared" si="2"/>
        <v>0</v>
      </c>
      <c r="N31" s="3">
        <f t="shared" si="1"/>
        <v>38440500</v>
      </c>
    </row>
    <row r="32" spans="1:15" x14ac:dyDescent="0.15">
      <c r="A32" s="1">
        <v>2000</v>
      </c>
      <c r="B32" s="3">
        <v>28057900</v>
      </c>
      <c r="C32" s="3">
        <v>0</v>
      </c>
      <c r="D32" s="3">
        <v>0</v>
      </c>
      <c r="E32" s="3">
        <v>12059700</v>
      </c>
      <c r="F32" s="3">
        <v>0</v>
      </c>
      <c r="G32" s="3">
        <v>0</v>
      </c>
      <c r="H32" s="3">
        <v>8326000</v>
      </c>
      <c r="I32" s="3">
        <v>0</v>
      </c>
      <c r="J32" s="3">
        <v>0</v>
      </c>
      <c r="K32" s="3">
        <f t="shared" si="2"/>
        <v>48443600</v>
      </c>
      <c r="L32" s="3">
        <f t="shared" si="2"/>
        <v>0</v>
      </c>
      <c r="M32" s="3">
        <f t="shared" si="2"/>
        <v>0</v>
      </c>
      <c r="N32" s="3">
        <f t="shared" si="1"/>
        <v>48443600</v>
      </c>
      <c r="O32" s="1" t="s">
        <v>237</v>
      </c>
    </row>
    <row r="33" spans="1:14" x14ac:dyDescent="0.15">
      <c r="A33" s="1">
        <v>2001</v>
      </c>
      <c r="B33" s="3">
        <f>25934160+6483540</f>
        <v>32417700</v>
      </c>
      <c r="C33" s="3">
        <v>0</v>
      </c>
      <c r="D33" s="3">
        <v>0</v>
      </c>
      <c r="E33" s="3">
        <v>12907900</v>
      </c>
      <c r="F33" s="3">
        <v>0</v>
      </c>
      <c r="G33" s="3">
        <v>0</v>
      </c>
      <c r="H33" s="3">
        <v>21604000</v>
      </c>
      <c r="I33" s="3">
        <v>0</v>
      </c>
      <c r="J33" s="3">
        <v>0</v>
      </c>
      <c r="K33" s="3">
        <f t="shared" si="2"/>
        <v>66929600</v>
      </c>
      <c r="L33" s="3">
        <f t="shared" si="2"/>
        <v>0</v>
      </c>
      <c r="M33" s="3">
        <f t="shared" si="2"/>
        <v>0</v>
      </c>
      <c r="N33" s="3">
        <f t="shared" si="1"/>
        <v>66929600</v>
      </c>
    </row>
    <row r="34" spans="1:14" x14ac:dyDescent="0.15">
      <c r="A34" s="1">
        <v>2002</v>
      </c>
      <c r="B34" s="3">
        <v>34523100</v>
      </c>
      <c r="C34" s="3">
        <v>0</v>
      </c>
      <c r="D34" s="3">
        <v>0</v>
      </c>
      <c r="E34" s="3">
        <f>48322000-B34</f>
        <v>13798900</v>
      </c>
      <c r="F34" s="3">
        <v>0</v>
      </c>
      <c r="G34" s="3">
        <v>0</v>
      </c>
      <c r="H34" s="3">
        <v>38003000</v>
      </c>
      <c r="I34" s="3">
        <v>0</v>
      </c>
      <c r="J34" s="3">
        <v>0</v>
      </c>
      <c r="K34" s="3">
        <f t="shared" si="2"/>
        <v>86325000</v>
      </c>
      <c r="L34" s="3">
        <f t="shared" si="2"/>
        <v>0</v>
      </c>
      <c r="M34" s="3">
        <f t="shared" si="2"/>
        <v>0</v>
      </c>
      <c r="N34" s="3">
        <f t="shared" si="1"/>
        <v>86325000</v>
      </c>
    </row>
    <row r="35" spans="1:14" x14ac:dyDescent="0.15">
      <c r="A35" s="1">
        <v>2003</v>
      </c>
      <c r="B35" s="3">
        <v>36346000</v>
      </c>
      <c r="C35" s="3">
        <v>0</v>
      </c>
      <c r="D35" s="3">
        <v>0</v>
      </c>
      <c r="E35" s="3">
        <v>15396100</v>
      </c>
      <c r="F35" s="3">
        <v>0</v>
      </c>
      <c r="G35" s="3">
        <v>0</v>
      </c>
      <c r="H35" s="3">
        <v>58191000</v>
      </c>
      <c r="I35" s="3">
        <v>0</v>
      </c>
      <c r="J35" s="3">
        <v>2876600</v>
      </c>
      <c r="K35" s="3">
        <f t="shared" si="2"/>
        <v>109933100</v>
      </c>
      <c r="L35" s="3">
        <f t="shared" si="2"/>
        <v>0</v>
      </c>
      <c r="M35" s="3">
        <f t="shared" si="2"/>
        <v>2876600</v>
      </c>
      <c r="N35" s="3">
        <f t="shared" si="1"/>
        <v>112809700</v>
      </c>
    </row>
    <row r="36" spans="1:14" x14ac:dyDescent="0.15">
      <c r="A36" s="1">
        <v>2004</v>
      </c>
      <c r="B36" s="3">
        <v>45420200</v>
      </c>
      <c r="C36" s="3">
        <v>0</v>
      </c>
      <c r="D36" s="3">
        <v>0</v>
      </c>
      <c r="E36" s="3">
        <v>23012900</v>
      </c>
      <c r="F36" s="3">
        <v>0</v>
      </c>
      <c r="G36" s="3">
        <v>0</v>
      </c>
      <c r="H36" s="3">
        <v>74905200</v>
      </c>
      <c r="I36" s="3">
        <v>0</v>
      </c>
      <c r="J36" s="3">
        <v>771300</v>
      </c>
      <c r="K36" s="3">
        <v>143338300</v>
      </c>
      <c r="L36" s="3">
        <v>0</v>
      </c>
      <c r="M36" s="3">
        <v>771300</v>
      </c>
      <c r="N36" s="3">
        <v>144109600</v>
      </c>
    </row>
    <row r="37" spans="1:14" x14ac:dyDescent="0.15">
      <c r="A37" s="1">
        <v>2005</v>
      </c>
      <c r="B37" s="3">
        <v>49755000</v>
      </c>
      <c r="C37" s="3">
        <v>0</v>
      </c>
      <c r="D37" s="3">
        <v>0</v>
      </c>
      <c r="E37" s="3">
        <v>25630200</v>
      </c>
      <c r="F37" s="3">
        <v>0</v>
      </c>
      <c r="G37" s="3">
        <v>0</v>
      </c>
      <c r="H37" s="3">
        <v>84708700</v>
      </c>
      <c r="I37" s="3">
        <v>0</v>
      </c>
      <c r="J37" s="3">
        <v>0</v>
      </c>
      <c r="K37" s="3">
        <v>160093900</v>
      </c>
      <c r="L37" s="3">
        <v>0</v>
      </c>
      <c r="M37" s="3">
        <v>0</v>
      </c>
      <c r="N37" s="3">
        <v>160093900</v>
      </c>
    </row>
    <row r="38" spans="1:14" x14ac:dyDescent="0.15">
      <c r="A38" s="1">
        <v>2006</v>
      </c>
      <c r="B38" s="3">
        <v>55476431</v>
      </c>
      <c r="C38" s="3">
        <v>0</v>
      </c>
      <c r="D38" s="3">
        <v>0</v>
      </c>
      <c r="E38" s="3">
        <v>27134387</v>
      </c>
      <c r="F38" s="3">
        <v>0</v>
      </c>
      <c r="G38" s="3">
        <v>0</v>
      </c>
      <c r="H38" s="3">
        <v>90254848</v>
      </c>
      <c r="I38" s="3">
        <v>0</v>
      </c>
      <c r="J38" s="3">
        <v>0</v>
      </c>
      <c r="K38" s="3">
        <v>172865666</v>
      </c>
      <c r="L38" s="3">
        <v>0</v>
      </c>
      <c r="M38" s="3">
        <v>0</v>
      </c>
      <c r="N38" s="3">
        <v>172865666</v>
      </c>
    </row>
    <row r="39" spans="1:14" x14ac:dyDescent="0.15">
      <c r="A39" s="1">
        <v>2007</v>
      </c>
      <c r="B39" s="3">
        <v>59609764</v>
      </c>
      <c r="C39" s="3">
        <v>0</v>
      </c>
      <c r="D39" s="3">
        <v>0</v>
      </c>
      <c r="E39" s="3">
        <v>31406000</v>
      </c>
      <c r="F39" s="3">
        <v>0</v>
      </c>
      <c r="G39" s="3">
        <v>0</v>
      </c>
      <c r="H39" s="3">
        <v>93383722</v>
      </c>
      <c r="I39" s="3">
        <v>0</v>
      </c>
      <c r="J39" s="3">
        <v>0</v>
      </c>
      <c r="K39" s="3">
        <v>184399486</v>
      </c>
      <c r="L39" s="3">
        <v>0</v>
      </c>
      <c r="M39" s="3">
        <v>0</v>
      </c>
      <c r="N39" s="3">
        <v>184399486</v>
      </c>
    </row>
    <row r="40" spans="1:14" x14ac:dyDescent="0.15">
      <c r="A40" s="1">
        <v>2008</v>
      </c>
      <c r="B40" s="3">
        <v>59450762</v>
      </c>
      <c r="C40" s="3">
        <v>0</v>
      </c>
      <c r="D40" s="3">
        <v>0</v>
      </c>
      <c r="E40" s="3">
        <v>32803295</v>
      </c>
      <c r="F40" s="3">
        <v>0</v>
      </c>
      <c r="G40" s="3">
        <v>0</v>
      </c>
      <c r="H40" s="3">
        <v>94733854</v>
      </c>
      <c r="I40" s="3">
        <v>0</v>
      </c>
      <c r="J40" s="3">
        <v>0</v>
      </c>
      <c r="K40" s="3">
        <v>186987911</v>
      </c>
      <c r="L40" s="3">
        <v>0</v>
      </c>
      <c r="M40" s="3">
        <v>0</v>
      </c>
      <c r="N40" s="3">
        <v>186987911</v>
      </c>
    </row>
    <row r="41" spans="1:14" x14ac:dyDescent="0.15">
      <c r="A41" s="1">
        <v>2009</v>
      </c>
      <c r="B41" s="3">
        <v>61197285</v>
      </c>
      <c r="C41" s="3">
        <v>0</v>
      </c>
      <c r="D41" s="3">
        <v>0</v>
      </c>
      <c r="E41" s="3">
        <v>32238409</v>
      </c>
      <c r="F41" s="3">
        <v>0</v>
      </c>
      <c r="G41" s="3">
        <v>0</v>
      </c>
      <c r="H41" s="3">
        <v>96744533</v>
      </c>
      <c r="I41" s="3">
        <v>0</v>
      </c>
      <c r="J41" s="3">
        <v>0</v>
      </c>
      <c r="K41" s="3">
        <v>190180227</v>
      </c>
      <c r="L41" s="3">
        <v>0</v>
      </c>
      <c r="M41" s="3">
        <v>0</v>
      </c>
      <c r="N41" s="3">
        <v>190180227</v>
      </c>
    </row>
    <row r="42" spans="1:14" x14ac:dyDescent="0.15">
      <c r="A42" s="1">
        <v>2010</v>
      </c>
      <c r="B42" s="3">
        <v>63334714</v>
      </c>
      <c r="C42" s="3">
        <v>0</v>
      </c>
      <c r="D42" s="3">
        <v>0</v>
      </c>
      <c r="E42" s="3">
        <v>32642952</v>
      </c>
      <c r="F42" s="3">
        <v>0</v>
      </c>
      <c r="G42" s="3">
        <v>0</v>
      </c>
      <c r="H42" s="3">
        <v>99607044</v>
      </c>
      <c r="I42" s="3">
        <v>0</v>
      </c>
      <c r="J42" s="3">
        <v>0</v>
      </c>
      <c r="K42" s="3">
        <v>195584710</v>
      </c>
      <c r="L42" s="3">
        <v>0</v>
      </c>
      <c r="M42" s="3">
        <v>0</v>
      </c>
      <c r="N42" s="3">
        <v>195584710</v>
      </c>
    </row>
    <row r="43" spans="1:14" x14ac:dyDescent="0.15">
      <c r="A43" s="1">
        <v>2011</v>
      </c>
      <c r="B43" s="3">
        <v>59569352</v>
      </c>
      <c r="C43" s="3">
        <v>0</v>
      </c>
      <c r="D43" s="3">
        <v>0</v>
      </c>
      <c r="E43" s="3">
        <v>32447582</v>
      </c>
      <c r="F43" s="3">
        <v>0</v>
      </c>
      <c r="G43" s="3">
        <v>0</v>
      </c>
      <c r="H43" s="3">
        <v>101189288</v>
      </c>
      <c r="I43" s="3">
        <v>0</v>
      </c>
      <c r="J43" s="3">
        <v>0</v>
      </c>
      <c r="K43" s="3">
        <v>193206222</v>
      </c>
      <c r="L43" s="3">
        <v>0</v>
      </c>
      <c r="M43" s="3">
        <v>0</v>
      </c>
      <c r="N43" s="3">
        <v>193206222</v>
      </c>
    </row>
    <row r="44" spans="1:14" x14ac:dyDescent="0.15">
      <c r="A44" s="1">
        <v>2012</v>
      </c>
      <c r="B44" s="3">
        <v>58675586</v>
      </c>
      <c r="C44" s="3">
        <v>0</v>
      </c>
      <c r="D44" s="3">
        <v>0</v>
      </c>
      <c r="E44" s="3">
        <v>31231985</v>
      </c>
      <c r="F44" s="3">
        <v>0</v>
      </c>
      <c r="G44" s="3">
        <v>0</v>
      </c>
      <c r="H44" s="3">
        <v>104892589</v>
      </c>
      <c r="I44" s="3">
        <v>0</v>
      </c>
      <c r="J44" s="3">
        <v>0</v>
      </c>
      <c r="K44" s="3">
        <v>194800160</v>
      </c>
      <c r="L44" s="3">
        <v>0</v>
      </c>
      <c r="M44" s="3">
        <v>0</v>
      </c>
      <c r="N44" s="3">
        <v>194800160</v>
      </c>
    </row>
    <row r="45" spans="1:14" x14ac:dyDescent="0.15">
      <c r="A45" s="1">
        <v>2013</v>
      </c>
      <c r="B45" s="3">
        <v>57182311</v>
      </c>
      <c r="C45" s="3">
        <v>0</v>
      </c>
      <c r="D45" s="3">
        <v>0</v>
      </c>
      <c r="E45" s="3">
        <v>30009727</v>
      </c>
      <c r="F45" s="3">
        <v>0</v>
      </c>
      <c r="G45" s="3">
        <v>0</v>
      </c>
      <c r="H45" s="3">
        <v>108265115</v>
      </c>
      <c r="I45" s="3">
        <v>0</v>
      </c>
      <c r="J45" s="3">
        <v>0</v>
      </c>
      <c r="K45" s="3">
        <v>195457153</v>
      </c>
      <c r="L45" s="3">
        <v>0</v>
      </c>
      <c r="M45" s="3">
        <v>0</v>
      </c>
      <c r="N45" s="3">
        <v>195457153</v>
      </c>
    </row>
    <row r="46" spans="1:14" x14ac:dyDescent="0.15">
      <c r="A46" s="1">
        <v>2014</v>
      </c>
      <c r="B46" s="3">
        <v>62343527</v>
      </c>
      <c r="C46" s="3">
        <v>0</v>
      </c>
      <c r="D46" s="3">
        <v>0</v>
      </c>
      <c r="E46" s="3">
        <v>30235703</v>
      </c>
      <c r="F46" s="3">
        <v>0</v>
      </c>
      <c r="G46" s="3">
        <v>0</v>
      </c>
      <c r="H46" s="3">
        <v>110852763</v>
      </c>
      <c r="I46" s="3">
        <v>0</v>
      </c>
      <c r="J46" s="3">
        <v>0</v>
      </c>
      <c r="K46" s="3">
        <v>203431993</v>
      </c>
      <c r="L46" s="3">
        <v>0</v>
      </c>
      <c r="M46" s="3">
        <v>0</v>
      </c>
      <c r="N46" s="3">
        <v>203431993</v>
      </c>
    </row>
    <row r="47" spans="1:14" x14ac:dyDescent="0.15">
      <c r="A47" s="1">
        <v>2015</v>
      </c>
      <c r="B47" s="3">
        <v>60851350</v>
      </c>
      <c r="C47" s="3">
        <v>0</v>
      </c>
      <c r="D47" s="3">
        <v>0</v>
      </c>
      <c r="E47" s="3">
        <v>28593211</v>
      </c>
      <c r="F47" s="3">
        <v>0</v>
      </c>
      <c r="G47" s="3">
        <v>0</v>
      </c>
      <c r="H47" s="3">
        <v>115920794</v>
      </c>
      <c r="I47" s="3">
        <v>0</v>
      </c>
      <c r="J47" s="3">
        <v>0</v>
      </c>
      <c r="K47" s="3">
        <v>205365355</v>
      </c>
      <c r="L47" s="3">
        <v>0</v>
      </c>
      <c r="M47" s="3">
        <v>0</v>
      </c>
      <c r="N47" s="3">
        <v>205365355</v>
      </c>
    </row>
    <row r="48" spans="1:14" x14ac:dyDescent="0.15">
      <c r="A48" s="1">
        <v>2016</v>
      </c>
      <c r="B48" s="3">
        <v>69950518</v>
      </c>
      <c r="C48" s="3">
        <v>0</v>
      </c>
      <c r="D48" s="3">
        <v>0</v>
      </c>
      <c r="E48" s="3">
        <v>29133459</v>
      </c>
      <c r="F48" s="3">
        <v>0</v>
      </c>
      <c r="G48" s="3">
        <v>0</v>
      </c>
      <c r="H48" s="3">
        <v>119390029</v>
      </c>
      <c r="I48" s="3">
        <v>0</v>
      </c>
      <c r="J48" s="3">
        <v>0</v>
      </c>
      <c r="K48" s="3">
        <v>218474006</v>
      </c>
      <c r="L48" s="3">
        <v>0</v>
      </c>
      <c r="M48" s="3">
        <v>0</v>
      </c>
      <c r="N48" s="3">
        <v>218474006</v>
      </c>
    </row>
  </sheetData>
  <phoneticPr fontId="0" type="noConversion"/>
  <printOptions gridLines="1"/>
  <pageMargins left="0.75" right="0.75" top="1" bottom="1" header="0.5" footer="0.5"/>
  <pageSetup paperSize="5" scale="83"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7" width="10.625" style="1"/>
    <col min="8" max="8" width="12.375" style="1" customWidth="1"/>
    <col min="9" max="10" width="10.625" style="1"/>
    <col min="11" max="11" width="12" style="1" customWidth="1"/>
    <col min="12" max="13" width="10.625" style="1"/>
    <col min="14" max="14" width="13.75" style="1" customWidth="1"/>
    <col min="15" max="16384" width="10.625" style="1"/>
  </cols>
  <sheetData>
    <row r="1" spans="1:15" x14ac:dyDescent="0.15">
      <c r="A1" s="1" t="s">
        <v>35</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465000</v>
      </c>
      <c r="C8" s="3">
        <v>0</v>
      </c>
      <c r="D8" s="3">
        <v>0</v>
      </c>
      <c r="E8" s="3">
        <v>0</v>
      </c>
      <c r="F8" s="3">
        <v>0</v>
      </c>
      <c r="G8" s="3">
        <v>0</v>
      </c>
      <c r="H8" s="3">
        <v>0</v>
      </c>
      <c r="I8" s="3">
        <v>0</v>
      </c>
      <c r="J8" s="3">
        <v>0</v>
      </c>
      <c r="K8" s="3">
        <f t="shared" si="0"/>
        <v>465000</v>
      </c>
      <c r="L8" s="3">
        <f t="shared" si="0"/>
        <v>0</v>
      </c>
      <c r="M8" s="3">
        <f t="shared" si="0"/>
        <v>0</v>
      </c>
      <c r="N8" s="3">
        <f t="shared" si="1"/>
        <v>465000</v>
      </c>
      <c r="O8" s="1" t="s">
        <v>90</v>
      </c>
    </row>
    <row r="9" spans="1:15" x14ac:dyDescent="0.15">
      <c r="A9" s="1">
        <v>1977</v>
      </c>
      <c r="B9" s="3">
        <v>558000</v>
      </c>
      <c r="C9" s="3">
        <v>0</v>
      </c>
      <c r="D9" s="3">
        <v>0</v>
      </c>
      <c r="E9" s="3">
        <v>0</v>
      </c>
      <c r="F9" s="3">
        <v>0</v>
      </c>
      <c r="G9" s="3">
        <v>0</v>
      </c>
      <c r="H9" s="3">
        <v>0</v>
      </c>
      <c r="I9" s="3">
        <v>0</v>
      </c>
      <c r="J9" s="3">
        <v>0</v>
      </c>
      <c r="K9" s="3">
        <f t="shared" si="0"/>
        <v>558000</v>
      </c>
      <c r="L9" s="3">
        <f t="shared" si="0"/>
        <v>0</v>
      </c>
      <c r="M9" s="3">
        <f t="shared" si="0"/>
        <v>0</v>
      </c>
      <c r="N9" s="3">
        <f t="shared" si="1"/>
        <v>558000</v>
      </c>
    </row>
    <row r="10" spans="1:15" x14ac:dyDescent="0.15">
      <c r="A10" s="1">
        <v>1978</v>
      </c>
      <c r="B10" s="3">
        <v>595000</v>
      </c>
      <c r="C10" s="3">
        <v>0</v>
      </c>
      <c r="D10" s="3">
        <v>0</v>
      </c>
      <c r="E10" s="3">
        <v>0</v>
      </c>
      <c r="F10" s="3">
        <v>0</v>
      </c>
      <c r="G10" s="3">
        <v>0</v>
      </c>
      <c r="H10" s="3">
        <v>0</v>
      </c>
      <c r="I10" s="3">
        <v>0</v>
      </c>
      <c r="J10" s="3">
        <v>0</v>
      </c>
      <c r="K10" s="3">
        <f t="shared" si="0"/>
        <v>595000</v>
      </c>
      <c r="L10" s="3">
        <f t="shared" si="0"/>
        <v>0</v>
      </c>
      <c r="M10" s="3">
        <f t="shared" si="0"/>
        <v>0</v>
      </c>
      <c r="N10" s="3">
        <f t="shared" si="1"/>
        <v>595000</v>
      </c>
    </row>
    <row r="11" spans="1:15" x14ac:dyDescent="0.15">
      <c r="A11" s="1">
        <v>1979</v>
      </c>
      <c r="B11" s="3">
        <v>641000</v>
      </c>
      <c r="C11" s="3">
        <v>0</v>
      </c>
      <c r="D11" s="3">
        <v>0</v>
      </c>
      <c r="E11" s="3">
        <v>0</v>
      </c>
      <c r="F11" s="3">
        <v>0</v>
      </c>
      <c r="G11" s="3">
        <v>0</v>
      </c>
      <c r="H11" s="3">
        <v>0</v>
      </c>
      <c r="I11" s="3">
        <v>0</v>
      </c>
      <c r="J11" s="3">
        <v>0</v>
      </c>
      <c r="K11" s="3">
        <f t="shared" si="0"/>
        <v>641000</v>
      </c>
      <c r="L11" s="3">
        <f t="shared" si="0"/>
        <v>0</v>
      </c>
      <c r="M11" s="3">
        <f t="shared" si="0"/>
        <v>0</v>
      </c>
      <c r="N11" s="3">
        <f t="shared" si="1"/>
        <v>641000</v>
      </c>
    </row>
    <row r="12" spans="1:15" x14ac:dyDescent="0.15">
      <c r="A12" s="1">
        <v>1980</v>
      </c>
      <c r="B12" s="3">
        <v>823000</v>
      </c>
      <c r="C12" s="3">
        <v>0</v>
      </c>
      <c r="D12" s="3">
        <v>0</v>
      </c>
      <c r="E12" s="3">
        <v>0</v>
      </c>
      <c r="F12" s="3">
        <v>0</v>
      </c>
      <c r="G12" s="3">
        <v>0</v>
      </c>
      <c r="H12" s="3">
        <v>0</v>
      </c>
      <c r="I12" s="3">
        <v>0</v>
      </c>
      <c r="J12" s="3">
        <v>0</v>
      </c>
      <c r="K12" s="3">
        <f t="shared" si="0"/>
        <v>823000</v>
      </c>
      <c r="L12" s="3">
        <f t="shared" si="0"/>
        <v>0</v>
      </c>
      <c r="M12" s="3">
        <f t="shared" si="0"/>
        <v>0</v>
      </c>
      <c r="N12" s="3">
        <f t="shared" si="1"/>
        <v>823000</v>
      </c>
    </row>
    <row r="13" spans="1:15" x14ac:dyDescent="0.15">
      <c r="A13" s="1">
        <v>1981</v>
      </c>
      <c r="B13" s="3">
        <v>1062000</v>
      </c>
      <c r="C13" s="3">
        <v>0</v>
      </c>
      <c r="D13" s="3">
        <v>0</v>
      </c>
      <c r="E13" s="3">
        <v>0</v>
      </c>
      <c r="F13" s="3">
        <v>0</v>
      </c>
      <c r="G13" s="3">
        <v>0</v>
      </c>
      <c r="H13" s="3">
        <v>0</v>
      </c>
      <c r="I13" s="3">
        <v>0</v>
      </c>
      <c r="J13" s="3">
        <v>0</v>
      </c>
      <c r="K13" s="3">
        <f t="shared" si="0"/>
        <v>1062000</v>
      </c>
      <c r="L13" s="3">
        <f t="shared" si="0"/>
        <v>0</v>
      </c>
      <c r="M13" s="3">
        <f t="shared" si="0"/>
        <v>0</v>
      </c>
      <c r="N13" s="3">
        <f t="shared" si="1"/>
        <v>1062000</v>
      </c>
    </row>
    <row r="14" spans="1:15" x14ac:dyDescent="0.15">
      <c r="A14" s="1">
        <v>1982</v>
      </c>
      <c r="B14" s="3">
        <v>2220000</v>
      </c>
      <c r="C14" s="3">
        <v>0</v>
      </c>
      <c r="D14" s="3">
        <v>0</v>
      </c>
      <c r="E14" s="3">
        <v>0</v>
      </c>
      <c r="F14" s="3">
        <v>0</v>
      </c>
      <c r="G14" s="3">
        <v>0</v>
      </c>
      <c r="H14" s="3">
        <v>816000</v>
      </c>
      <c r="I14" s="3">
        <v>52000</v>
      </c>
      <c r="J14" s="3">
        <v>0</v>
      </c>
      <c r="K14" s="3">
        <f t="shared" si="0"/>
        <v>3036000</v>
      </c>
      <c r="L14" s="3">
        <f t="shared" si="0"/>
        <v>52000</v>
      </c>
      <c r="M14" s="3">
        <f t="shared" si="0"/>
        <v>0</v>
      </c>
      <c r="N14" s="3">
        <f t="shared" si="1"/>
        <v>3088000</v>
      </c>
    </row>
    <row r="15" spans="1:15" x14ac:dyDescent="0.15">
      <c r="A15" s="1">
        <v>1983</v>
      </c>
      <c r="B15" s="3">
        <v>2220000</v>
      </c>
      <c r="C15" s="3">
        <v>0</v>
      </c>
      <c r="D15" s="3">
        <v>0</v>
      </c>
      <c r="E15" s="3">
        <v>0</v>
      </c>
      <c r="F15" s="3">
        <v>0</v>
      </c>
      <c r="G15" s="3">
        <v>0</v>
      </c>
      <c r="H15" s="3">
        <v>1193000</v>
      </c>
      <c r="I15" s="3">
        <v>83000</v>
      </c>
      <c r="J15" s="3">
        <v>0</v>
      </c>
      <c r="K15" s="3">
        <f t="shared" si="0"/>
        <v>3413000</v>
      </c>
      <c r="L15" s="3">
        <f t="shared" si="0"/>
        <v>83000</v>
      </c>
      <c r="M15" s="3">
        <f t="shared" si="0"/>
        <v>0</v>
      </c>
      <c r="N15" s="3">
        <f t="shared" si="1"/>
        <v>3496000</v>
      </c>
      <c r="O15" s="1" t="s">
        <v>144</v>
      </c>
    </row>
    <row r="16" spans="1:15" x14ac:dyDescent="0.15">
      <c r="A16" s="1">
        <v>1984</v>
      </c>
      <c r="B16" s="3">
        <v>1707000</v>
      </c>
      <c r="C16" s="3">
        <v>0</v>
      </c>
      <c r="D16" s="3">
        <v>0</v>
      </c>
      <c r="E16" s="3">
        <v>0</v>
      </c>
      <c r="F16" s="3">
        <v>0</v>
      </c>
      <c r="G16" s="3">
        <v>0</v>
      </c>
      <c r="H16" s="3">
        <v>1232000</v>
      </c>
      <c r="I16" s="3">
        <v>77000</v>
      </c>
      <c r="J16" s="3">
        <v>0</v>
      </c>
      <c r="K16" s="3">
        <f t="shared" si="0"/>
        <v>2939000</v>
      </c>
      <c r="L16" s="3">
        <f t="shared" si="0"/>
        <v>77000</v>
      </c>
      <c r="M16" s="3">
        <f t="shared" si="0"/>
        <v>0</v>
      </c>
      <c r="N16" s="3">
        <f t="shared" si="1"/>
        <v>3016000</v>
      </c>
    </row>
    <row r="17" spans="1:15" x14ac:dyDescent="0.15">
      <c r="A17" s="1">
        <v>1985</v>
      </c>
      <c r="B17" s="3">
        <v>2163000</v>
      </c>
      <c r="C17" s="3">
        <v>0</v>
      </c>
      <c r="D17" s="3">
        <v>0</v>
      </c>
      <c r="E17" s="3">
        <v>0</v>
      </c>
      <c r="F17" s="3">
        <v>0</v>
      </c>
      <c r="G17" s="3">
        <v>0</v>
      </c>
      <c r="H17" s="3">
        <v>1247000</v>
      </c>
      <c r="I17" s="3">
        <v>95000</v>
      </c>
      <c r="J17" s="3">
        <v>0</v>
      </c>
      <c r="K17" s="3">
        <f t="shared" si="0"/>
        <v>3410000</v>
      </c>
      <c r="L17" s="3">
        <f t="shared" si="0"/>
        <v>95000</v>
      </c>
      <c r="M17" s="3">
        <f t="shared" si="0"/>
        <v>0</v>
      </c>
      <c r="N17" s="3">
        <f t="shared" si="1"/>
        <v>3505000</v>
      </c>
    </row>
    <row r="18" spans="1:15" x14ac:dyDescent="0.15">
      <c r="A18" s="1">
        <v>1986</v>
      </c>
      <c r="B18" s="3">
        <v>1522000</v>
      </c>
      <c r="C18" s="3">
        <v>0</v>
      </c>
      <c r="D18" s="3">
        <v>0</v>
      </c>
      <c r="E18" s="3">
        <v>0</v>
      </c>
      <c r="F18" s="3">
        <v>0</v>
      </c>
      <c r="G18" s="3">
        <v>0</v>
      </c>
      <c r="H18" s="3">
        <v>1207000</v>
      </c>
      <c r="I18" s="3">
        <v>95000</v>
      </c>
      <c r="J18" s="3">
        <v>0</v>
      </c>
      <c r="K18" s="3">
        <f t="shared" si="0"/>
        <v>2729000</v>
      </c>
      <c r="L18" s="3">
        <f t="shared" si="0"/>
        <v>95000</v>
      </c>
      <c r="M18" s="3">
        <f t="shared" si="0"/>
        <v>0</v>
      </c>
      <c r="N18" s="3">
        <f t="shared" si="1"/>
        <v>2824000</v>
      </c>
    </row>
    <row r="19" spans="1:15" x14ac:dyDescent="0.15">
      <c r="A19" s="1">
        <v>1987</v>
      </c>
      <c r="B19" s="3">
        <v>1447000</v>
      </c>
      <c r="C19" s="3">
        <v>0</v>
      </c>
      <c r="D19" s="3">
        <v>0</v>
      </c>
      <c r="E19" s="3">
        <v>0</v>
      </c>
      <c r="F19" s="3">
        <v>0</v>
      </c>
      <c r="G19" s="3">
        <v>0</v>
      </c>
      <c r="H19" s="3">
        <v>759000</v>
      </c>
      <c r="I19" s="3">
        <v>89000</v>
      </c>
      <c r="J19" s="3">
        <v>0</v>
      </c>
      <c r="K19" s="3">
        <f t="shared" si="0"/>
        <v>2206000</v>
      </c>
      <c r="L19" s="3">
        <f t="shared" si="0"/>
        <v>89000</v>
      </c>
      <c r="M19" s="3">
        <f t="shared" si="0"/>
        <v>0</v>
      </c>
      <c r="N19" s="3">
        <f t="shared" si="1"/>
        <v>2295000</v>
      </c>
    </row>
    <row r="20" spans="1:15" x14ac:dyDescent="0.15">
      <c r="A20" s="1">
        <v>1988</v>
      </c>
      <c r="B20" s="3">
        <v>1880000</v>
      </c>
      <c r="C20" s="3">
        <v>0</v>
      </c>
      <c r="D20" s="3">
        <v>0</v>
      </c>
      <c r="E20" s="3">
        <v>0</v>
      </c>
      <c r="F20" s="3">
        <v>0</v>
      </c>
      <c r="G20" s="3">
        <v>0</v>
      </c>
      <c r="H20" s="3">
        <v>630000</v>
      </c>
      <c r="I20" s="3">
        <v>0</v>
      </c>
      <c r="J20" s="3">
        <v>0</v>
      </c>
      <c r="K20" s="3">
        <f t="shared" si="0"/>
        <v>2510000</v>
      </c>
      <c r="L20" s="3">
        <f t="shared" si="0"/>
        <v>0</v>
      </c>
      <c r="M20" s="3">
        <f t="shared" si="0"/>
        <v>0</v>
      </c>
      <c r="N20" s="3">
        <f t="shared" si="1"/>
        <v>2510000</v>
      </c>
    </row>
    <row r="21" spans="1:15" x14ac:dyDescent="0.15">
      <c r="A21" s="1">
        <v>1989</v>
      </c>
      <c r="B21" s="3">
        <v>1964000</v>
      </c>
      <c r="C21" s="3">
        <v>0</v>
      </c>
      <c r="D21" s="3">
        <v>0</v>
      </c>
      <c r="E21" s="3">
        <v>0</v>
      </c>
      <c r="F21" s="3">
        <v>0</v>
      </c>
      <c r="G21" s="3">
        <v>0</v>
      </c>
      <c r="H21" s="3">
        <v>714000</v>
      </c>
      <c r="I21" s="3">
        <v>0</v>
      </c>
      <c r="J21" s="3">
        <v>0</v>
      </c>
      <c r="K21" s="3">
        <f t="shared" si="0"/>
        <v>2678000</v>
      </c>
      <c r="L21" s="3">
        <f t="shared" si="0"/>
        <v>0</v>
      </c>
      <c r="M21" s="3">
        <f t="shared" si="0"/>
        <v>0</v>
      </c>
      <c r="N21" s="3">
        <f t="shared" si="1"/>
        <v>2678000</v>
      </c>
    </row>
    <row r="22" spans="1:15" x14ac:dyDescent="0.15">
      <c r="A22" s="1">
        <v>1990</v>
      </c>
      <c r="B22" s="3">
        <v>2006000</v>
      </c>
      <c r="C22" s="3">
        <v>0</v>
      </c>
      <c r="D22" s="3">
        <v>0</v>
      </c>
      <c r="E22" s="3">
        <v>0</v>
      </c>
      <c r="F22" s="3">
        <v>0</v>
      </c>
      <c r="G22" s="3">
        <v>0</v>
      </c>
      <c r="H22" s="3">
        <v>723000</v>
      </c>
      <c r="I22" s="3">
        <v>0</v>
      </c>
      <c r="J22" s="3">
        <v>0</v>
      </c>
      <c r="K22" s="3">
        <f t="shared" ref="K22:M35" si="2">+B22+E22+H22</f>
        <v>2729000</v>
      </c>
      <c r="L22" s="3">
        <f t="shared" si="2"/>
        <v>0</v>
      </c>
      <c r="M22" s="3">
        <f t="shared" si="2"/>
        <v>0</v>
      </c>
      <c r="N22" s="3">
        <f t="shared" si="1"/>
        <v>2729000</v>
      </c>
    </row>
    <row r="23" spans="1:15" x14ac:dyDescent="0.15">
      <c r="A23" s="1">
        <v>1991</v>
      </c>
      <c r="B23" s="3">
        <v>2000000</v>
      </c>
      <c r="C23" s="3">
        <v>0</v>
      </c>
      <c r="D23" s="3">
        <v>0</v>
      </c>
      <c r="E23" s="3">
        <v>2196000</v>
      </c>
      <c r="F23" s="3">
        <v>0</v>
      </c>
      <c r="G23" s="3">
        <v>0</v>
      </c>
      <c r="H23" s="3">
        <v>764000</v>
      </c>
      <c r="I23" s="3">
        <v>6000</v>
      </c>
      <c r="J23" s="3">
        <v>0</v>
      </c>
      <c r="K23" s="3">
        <f t="shared" si="2"/>
        <v>4960000</v>
      </c>
      <c r="L23" s="3">
        <f t="shared" si="2"/>
        <v>6000</v>
      </c>
      <c r="M23" s="3">
        <f t="shared" si="2"/>
        <v>0</v>
      </c>
      <c r="N23" s="3">
        <f t="shared" si="1"/>
        <v>4966000</v>
      </c>
      <c r="O23" s="1" t="s">
        <v>184</v>
      </c>
    </row>
    <row r="24" spans="1:15" x14ac:dyDescent="0.15">
      <c r="A24" s="1">
        <v>1992</v>
      </c>
      <c r="B24" s="3">
        <v>1927000</v>
      </c>
      <c r="C24" s="3">
        <v>0</v>
      </c>
      <c r="D24" s="3">
        <v>0</v>
      </c>
      <c r="E24" s="3">
        <v>2790000</v>
      </c>
      <c r="F24" s="3">
        <v>0</v>
      </c>
      <c r="G24" s="3">
        <v>0</v>
      </c>
      <c r="H24" s="3">
        <v>697000</v>
      </c>
      <c r="I24" s="3">
        <v>0</v>
      </c>
      <c r="J24" s="3">
        <v>0</v>
      </c>
      <c r="K24" s="3">
        <f t="shared" si="2"/>
        <v>5414000</v>
      </c>
      <c r="L24" s="3">
        <f t="shared" si="2"/>
        <v>0</v>
      </c>
      <c r="M24" s="3">
        <f t="shared" si="2"/>
        <v>0</v>
      </c>
      <c r="N24" s="3">
        <f t="shared" si="1"/>
        <v>5414000</v>
      </c>
    </row>
    <row r="25" spans="1:15" x14ac:dyDescent="0.15">
      <c r="A25" s="1">
        <v>1993</v>
      </c>
      <c r="B25" s="3">
        <v>2049000</v>
      </c>
      <c r="C25" s="3">
        <v>0</v>
      </c>
      <c r="D25" s="3">
        <v>0</v>
      </c>
      <c r="E25" s="3">
        <v>3076000</v>
      </c>
      <c r="F25" s="3">
        <v>0</v>
      </c>
      <c r="G25" s="3">
        <v>0</v>
      </c>
      <c r="H25" s="3">
        <v>2541000</v>
      </c>
      <c r="I25" s="3">
        <v>0</v>
      </c>
      <c r="J25" s="3">
        <v>0</v>
      </c>
      <c r="K25" s="3">
        <f t="shared" si="2"/>
        <v>7666000</v>
      </c>
      <c r="L25" s="3">
        <f t="shared" si="2"/>
        <v>0</v>
      </c>
      <c r="M25" s="3">
        <f t="shared" si="2"/>
        <v>0</v>
      </c>
      <c r="N25" s="3">
        <f t="shared" si="1"/>
        <v>7666000</v>
      </c>
    </row>
    <row r="26" spans="1:15" x14ac:dyDescent="0.15">
      <c r="A26" s="1">
        <v>1994</v>
      </c>
      <c r="B26" s="3">
        <v>2049000</v>
      </c>
      <c r="C26" s="3">
        <v>0</v>
      </c>
      <c r="D26" s="3">
        <v>0</v>
      </c>
      <c r="E26" s="3">
        <v>4325000</v>
      </c>
      <c r="F26" s="3">
        <v>0</v>
      </c>
      <c r="G26" s="3">
        <v>0</v>
      </c>
      <c r="H26" s="3">
        <v>5280000</v>
      </c>
      <c r="I26" s="3">
        <v>0</v>
      </c>
      <c r="J26" s="3">
        <v>0</v>
      </c>
      <c r="K26" s="3">
        <f t="shared" si="2"/>
        <v>11654000</v>
      </c>
      <c r="L26" s="3">
        <f t="shared" si="2"/>
        <v>0</v>
      </c>
      <c r="M26" s="3">
        <f t="shared" si="2"/>
        <v>0</v>
      </c>
      <c r="N26" s="3">
        <f t="shared" si="1"/>
        <v>11654000</v>
      </c>
      <c r="O26" s="1" t="s">
        <v>194</v>
      </c>
    </row>
    <row r="27" spans="1:15" x14ac:dyDescent="0.15">
      <c r="A27" s="1">
        <v>1995</v>
      </c>
      <c r="B27" s="3">
        <v>2049374</v>
      </c>
      <c r="C27" s="3">
        <v>0</v>
      </c>
      <c r="D27" s="3">
        <v>0</v>
      </c>
      <c r="E27" s="3">
        <f>6429000-B27</f>
        <v>4379626</v>
      </c>
      <c r="F27" s="3">
        <v>0</v>
      </c>
      <c r="G27" s="3">
        <v>0</v>
      </c>
      <c r="H27" s="3">
        <v>6650000</v>
      </c>
      <c r="I27" s="3">
        <v>12000</v>
      </c>
      <c r="J27" s="3">
        <v>0</v>
      </c>
      <c r="K27" s="3">
        <f t="shared" si="2"/>
        <v>13079000</v>
      </c>
      <c r="L27" s="3">
        <f t="shared" si="2"/>
        <v>12000</v>
      </c>
      <c r="M27" s="3">
        <f t="shared" si="2"/>
        <v>0</v>
      </c>
      <c r="N27" s="3">
        <f t="shared" si="1"/>
        <v>13091000</v>
      </c>
    </row>
    <row r="28" spans="1:15" x14ac:dyDescent="0.15">
      <c r="A28" s="1">
        <v>1996</v>
      </c>
      <c r="B28" s="3">
        <v>1929424</v>
      </c>
      <c r="C28" s="3">
        <v>0</v>
      </c>
      <c r="D28" s="3">
        <v>0</v>
      </c>
      <c r="E28" s="3">
        <f>6580000-B28</f>
        <v>4650576</v>
      </c>
      <c r="F28" s="3">
        <v>0</v>
      </c>
      <c r="G28" s="3">
        <v>0</v>
      </c>
      <c r="H28" s="3">
        <v>8473000</v>
      </c>
      <c r="I28" s="3">
        <v>0</v>
      </c>
      <c r="J28" s="3">
        <v>0</v>
      </c>
      <c r="K28" s="3">
        <f t="shared" si="2"/>
        <v>15053000</v>
      </c>
      <c r="L28" s="3">
        <f t="shared" si="2"/>
        <v>0</v>
      </c>
      <c r="M28" s="3">
        <f t="shared" si="2"/>
        <v>0</v>
      </c>
      <c r="N28" s="3">
        <f t="shared" si="1"/>
        <v>15053000</v>
      </c>
    </row>
    <row r="29" spans="1:15" x14ac:dyDescent="0.15">
      <c r="A29" s="1">
        <v>1997</v>
      </c>
      <c r="B29" s="3">
        <v>1479021</v>
      </c>
      <c r="C29" s="3">
        <v>0</v>
      </c>
      <c r="D29" s="3">
        <v>0</v>
      </c>
      <c r="E29" s="3">
        <v>5693320</v>
      </c>
      <c r="F29" s="3">
        <v>0</v>
      </c>
      <c r="G29" s="3">
        <v>0</v>
      </c>
      <c r="H29" s="3">
        <v>9533000</v>
      </c>
      <c r="I29" s="3">
        <v>0</v>
      </c>
      <c r="J29" s="3">
        <v>0</v>
      </c>
      <c r="K29" s="3">
        <f t="shared" si="2"/>
        <v>16705341</v>
      </c>
      <c r="L29" s="3">
        <f t="shared" si="2"/>
        <v>0</v>
      </c>
      <c r="M29" s="3">
        <f t="shared" si="2"/>
        <v>0</v>
      </c>
      <c r="N29" s="3">
        <f t="shared" si="1"/>
        <v>16705341</v>
      </c>
    </row>
    <row r="30" spans="1:15" x14ac:dyDescent="0.15">
      <c r="A30" s="1">
        <v>1998</v>
      </c>
      <c r="B30" s="3">
        <f>1540718+210098</f>
        <v>1750816</v>
      </c>
      <c r="C30" s="3">
        <v>0</v>
      </c>
      <c r="D30" s="3">
        <v>0</v>
      </c>
      <c r="E30" s="3">
        <v>6439270</v>
      </c>
      <c r="F30" s="3">
        <v>0</v>
      </c>
      <c r="G30" s="3">
        <v>0</v>
      </c>
      <c r="H30" s="3">
        <v>11400000</v>
      </c>
      <c r="I30" s="3">
        <v>0</v>
      </c>
      <c r="J30" s="3">
        <v>0</v>
      </c>
      <c r="K30" s="3">
        <f t="shared" si="2"/>
        <v>19590086</v>
      </c>
      <c r="L30" s="3">
        <f t="shared" si="2"/>
        <v>0</v>
      </c>
      <c r="M30" s="3">
        <f t="shared" si="2"/>
        <v>0</v>
      </c>
      <c r="N30" s="3">
        <f t="shared" si="1"/>
        <v>19590086</v>
      </c>
    </row>
    <row r="31" spans="1:15" x14ac:dyDescent="0.15">
      <c r="A31" s="1">
        <v>1999</v>
      </c>
      <c r="B31" s="3">
        <v>1393412</v>
      </c>
      <c r="C31" s="3">
        <v>0</v>
      </c>
      <c r="D31" s="3">
        <v>0</v>
      </c>
      <c r="E31" s="3">
        <v>0</v>
      </c>
      <c r="F31" s="3">
        <v>0</v>
      </c>
      <c r="G31" s="3">
        <v>0</v>
      </c>
      <c r="H31" s="3">
        <v>53844000</v>
      </c>
      <c r="I31" s="3">
        <v>0</v>
      </c>
      <c r="J31" s="3">
        <v>0</v>
      </c>
      <c r="K31" s="3">
        <f t="shared" si="2"/>
        <v>55237412</v>
      </c>
      <c r="L31" s="3">
        <f t="shared" si="2"/>
        <v>0</v>
      </c>
      <c r="M31" s="3">
        <f t="shared" si="2"/>
        <v>0</v>
      </c>
      <c r="N31" s="3">
        <f t="shared" si="1"/>
        <v>55237412</v>
      </c>
      <c r="O31" s="1" t="s">
        <v>231</v>
      </c>
    </row>
    <row r="32" spans="1:15" x14ac:dyDescent="0.15">
      <c r="A32" s="1">
        <v>2000</v>
      </c>
      <c r="B32" s="3">
        <v>1388343</v>
      </c>
      <c r="C32" s="3">
        <v>0</v>
      </c>
      <c r="D32" s="3">
        <v>0</v>
      </c>
      <c r="E32" s="3">
        <v>0</v>
      </c>
      <c r="F32" s="3">
        <v>0</v>
      </c>
      <c r="G32" s="3">
        <v>0</v>
      </c>
      <c r="H32" s="3">
        <v>67003000</v>
      </c>
      <c r="I32" s="3">
        <v>0</v>
      </c>
      <c r="J32" s="3">
        <v>0</v>
      </c>
      <c r="K32" s="3">
        <f t="shared" si="2"/>
        <v>68391343</v>
      </c>
      <c r="L32" s="3">
        <f t="shared" si="2"/>
        <v>0</v>
      </c>
      <c r="M32" s="3">
        <f t="shared" si="2"/>
        <v>0</v>
      </c>
      <c r="N32" s="3">
        <f t="shared" si="1"/>
        <v>68391343</v>
      </c>
    </row>
    <row r="33" spans="1:14" x14ac:dyDescent="0.15">
      <c r="A33" s="1">
        <v>2001</v>
      </c>
      <c r="B33" s="3">
        <f>1214311+248714</f>
        <v>1463025</v>
      </c>
      <c r="C33" s="3">
        <v>0</v>
      </c>
      <c r="D33" s="3">
        <v>0</v>
      </c>
      <c r="E33" s="3">
        <v>0</v>
      </c>
      <c r="F33" s="3">
        <v>0</v>
      </c>
      <c r="G33" s="3">
        <v>0</v>
      </c>
      <c r="H33" s="3">
        <v>89703000</v>
      </c>
      <c r="I33" s="3">
        <v>0</v>
      </c>
      <c r="J33" s="3">
        <v>0</v>
      </c>
      <c r="K33" s="3">
        <f t="shared" si="2"/>
        <v>91166025</v>
      </c>
      <c r="L33" s="3">
        <f t="shared" si="2"/>
        <v>0</v>
      </c>
      <c r="M33" s="3">
        <f t="shared" si="2"/>
        <v>0</v>
      </c>
      <c r="N33" s="3">
        <f t="shared" si="1"/>
        <v>91166025</v>
      </c>
    </row>
    <row r="34" spans="1:14" x14ac:dyDescent="0.15">
      <c r="A34" s="1">
        <v>2002</v>
      </c>
      <c r="B34" s="3">
        <v>1451570</v>
      </c>
      <c r="C34" s="3">
        <v>0</v>
      </c>
      <c r="D34" s="3">
        <v>0</v>
      </c>
      <c r="E34" s="3">
        <v>0</v>
      </c>
      <c r="F34" s="3">
        <v>0</v>
      </c>
      <c r="G34" s="3">
        <v>0</v>
      </c>
      <c r="H34" s="3">
        <v>102665000</v>
      </c>
      <c r="I34" s="3">
        <v>0</v>
      </c>
      <c r="J34" s="3">
        <v>0</v>
      </c>
      <c r="K34" s="3">
        <f t="shared" si="2"/>
        <v>104116570</v>
      </c>
      <c r="L34" s="3">
        <f t="shared" si="2"/>
        <v>0</v>
      </c>
      <c r="M34" s="3">
        <f t="shared" si="2"/>
        <v>0</v>
      </c>
      <c r="N34" s="3">
        <f t="shared" si="1"/>
        <v>104116570</v>
      </c>
    </row>
    <row r="35" spans="1:14" x14ac:dyDescent="0.15">
      <c r="A35" s="1">
        <v>2003</v>
      </c>
      <c r="B35" s="3">
        <v>1451570</v>
      </c>
      <c r="C35" s="3">
        <v>0</v>
      </c>
      <c r="D35" s="3">
        <v>0</v>
      </c>
      <c r="E35" s="3">
        <v>0</v>
      </c>
      <c r="F35" s="3">
        <v>0</v>
      </c>
      <c r="G35" s="3">
        <v>0</v>
      </c>
      <c r="H35" s="3">
        <v>103559676</v>
      </c>
      <c r="I35" s="3">
        <v>0</v>
      </c>
      <c r="J35" s="3">
        <v>41525841</v>
      </c>
      <c r="K35" s="3">
        <f t="shared" si="2"/>
        <v>105011246</v>
      </c>
      <c r="L35" s="3">
        <f t="shared" si="2"/>
        <v>0</v>
      </c>
      <c r="M35" s="3">
        <f t="shared" si="2"/>
        <v>41525841</v>
      </c>
      <c r="N35" s="3">
        <f t="shared" si="1"/>
        <v>146537087</v>
      </c>
    </row>
    <row r="36" spans="1:14" x14ac:dyDescent="0.15">
      <c r="A36" s="1">
        <v>2004</v>
      </c>
      <c r="B36" s="3">
        <v>1451570</v>
      </c>
      <c r="C36" s="3">
        <v>0</v>
      </c>
      <c r="D36" s="3">
        <v>0</v>
      </c>
      <c r="E36" s="3">
        <v>0</v>
      </c>
      <c r="F36" s="3">
        <v>0</v>
      </c>
      <c r="G36" s="3">
        <v>0</v>
      </c>
      <c r="H36" s="3">
        <v>110150379</v>
      </c>
      <c r="I36" s="3">
        <v>751490</v>
      </c>
      <c r="J36" s="3">
        <v>0</v>
      </c>
      <c r="K36" s="3">
        <v>111601949</v>
      </c>
      <c r="L36" s="3">
        <v>751490</v>
      </c>
      <c r="M36" s="3">
        <v>0</v>
      </c>
      <c r="N36" s="3">
        <v>112353439</v>
      </c>
    </row>
    <row r="37" spans="1:14" x14ac:dyDescent="0.15">
      <c r="A37" s="1">
        <v>2005</v>
      </c>
      <c r="B37" s="3">
        <v>1485341</v>
      </c>
      <c r="C37" s="3">
        <v>0</v>
      </c>
      <c r="D37" s="3">
        <v>0</v>
      </c>
      <c r="E37" s="3">
        <v>0</v>
      </c>
      <c r="F37" s="3">
        <v>0</v>
      </c>
      <c r="G37" s="3">
        <v>0</v>
      </c>
      <c r="H37" s="3">
        <v>114803630</v>
      </c>
      <c r="I37" s="3">
        <v>1868079</v>
      </c>
      <c r="J37" s="3">
        <v>0</v>
      </c>
      <c r="K37" s="3">
        <v>116288971</v>
      </c>
      <c r="L37" s="3">
        <v>1868079</v>
      </c>
      <c r="M37" s="3">
        <v>0</v>
      </c>
      <c r="N37" s="3">
        <v>118157050</v>
      </c>
    </row>
    <row r="38" spans="1:14" x14ac:dyDescent="0.15">
      <c r="A38" s="1">
        <v>2006</v>
      </c>
      <c r="B38" s="3">
        <v>1452784</v>
      </c>
      <c r="C38" s="3">
        <v>0</v>
      </c>
      <c r="D38" s="3">
        <v>0</v>
      </c>
      <c r="E38" s="3">
        <v>0</v>
      </c>
      <c r="F38" s="3">
        <v>0</v>
      </c>
      <c r="G38" s="3">
        <v>0</v>
      </c>
      <c r="H38" s="3">
        <v>114979438</v>
      </c>
      <c r="I38" s="3">
        <v>1595086</v>
      </c>
      <c r="J38" s="3">
        <v>0</v>
      </c>
      <c r="K38" s="3">
        <v>116432222</v>
      </c>
      <c r="L38" s="3">
        <v>1595086</v>
      </c>
      <c r="M38" s="3">
        <v>0</v>
      </c>
      <c r="N38" s="3">
        <v>118027308</v>
      </c>
    </row>
    <row r="39" spans="1:14" x14ac:dyDescent="0.15">
      <c r="A39" s="1">
        <v>2007</v>
      </c>
      <c r="B39" s="3">
        <v>1451570</v>
      </c>
      <c r="C39" s="3">
        <v>0</v>
      </c>
      <c r="D39" s="3">
        <v>0</v>
      </c>
      <c r="E39" s="3">
        <v>0</v>
      </c>
      <c r="F39" s="3">
        <v>0</v>
      </c>
      <c r="G39" s="3">
        <v>0</v>
      </c>
      <c r="H39" s="3">
        <v>118853360</v>
      </c>
      <c r="I39" s="3">
        <v>1709561</v>
      </c>
      <c r="J39" s="3">
        <v>0</v>
      </c>
      <c r="K39" s="3">
        <v>120304930</v>
      </c>
      <c r="L39" s="3">
        <v>1709561</v>
      </c>
      <c r="M39" s="3">
        <v>0</v>
      </c>
      <c r="N39" s="3">
        <v>122014491</v>
      </c>
    </row>
    <row r="40" spans="1:14" x14ac:dyDescent="0.15">
      <c r="A40" s="1">
        <v>2008</v>
      </c>
      <c r="B40" s="3">
        <v>16817022</v>
      </c>
      <c r="C40" s="3">
        <v>0</v>
      </c>
      <c r="D40" s="3">
        <v>0</v>
      </c>
      <c r="E40" s="3">
        <v>1956334</v>
      </c>
      <c r="F40" s="3">
        <v>0</v>
      </c>
      <c r="G40" s="3">
        <v>0</v>
      </c>
      <c r="H40" s="3">
        <v>118573705</v>
      </c>
      <c r="I40" s="3">
        <v>1395232</v>
      </c>
      <c r="J40" s="3">
        <v>0</v>
      </c>
      <c r="K40" s="3">
        <v>137347061</v>
      </c>
      <c r="L40" s="3">
        <v>1395232</v>
      </c>
      <c r="M40" s="3">
        <v>0</v>
      </c>
      <c r="N40" s="3">
        <v>138742293</v>
      </c>
    </row>
    <row r="41" spans="1:14" x14ac:dyDescent="0.15">
      <c r="A41" s="1">
        <v>2009</v>
      </c>
      <c r="B41" s="3">
        <v>25901288</v>
      </c>
      <c r="C41" s="3">
        <v>0</v>
      </c>
      <c r="D41" s="3">
        <v>0</v>
      </c>
      <c r="E41" s="3">
        <v>1934478</v>
      </c>
      <c r="F41" s="3">
        <v>0</v>
      </c>
      <c r="G41" s="3">
        <v>0</v>
      </c>
      <c r="H41" s="3">
        <v>129886544</v>
      </c>
      <c r="I41" s="3">
        <v>468466</v>
      </c>
      <c r="J41" s="3">
        <v>0</v>
      </c>
      <c r="K41" s="3">
        <v>157722310</v>
      </c>
      <c r="L41" s="3">
        <v>468466</v>
      </c>
      <c r="M41" s="3">
        <v>0</v>
      </c>
      <c r="N41" s="3">
        <v>158190776</v>
      </c>
    </row>
    <row r="42" spans="1:14" x14ac:dyDescent="0.15">
      <c r="A42" s="1">
        <v>2010</v>
      </c>
      <c r="B42" s="3">
        <v>24515546</v>
      </c>
      <c r="C42" s="3">
        <v>0</v>
      </c>
      <c r="D42" s="3">
        <v>0</v>
      </c>
      <c r="E42" s="3">
        <v>1951145</v>
      </c>
      <c r="F42" s="3">
        <v>0</v>
      </c>
      <c r="G42" s="3">
        <v>0</v>
      </c>
      <c r="H42" s="3">
        <v>135585912</v>
      </c>
      <c r="I42" s="3">
        <v>41708</v>
      </c>
      <c r="J42" s="3">
        <v>0</v>
      </c>
      <c r="K42" s="3">
        <v>162052603</v>
      </c>
      <c r="L42" s="3">
        <v>41708</v>
      </c>
      <c r="M42" s="3">
        <v>0</v>
      </c>
      <c r="N42" s="3">
        <v>162094311</v>
      </c>
    </row>
    <row r="43" spans="1:14" x14ac:dyDescent="0.15">
      <c r="A43" s="1">
        <v>2011</v>
      </c>
      <c r="B43" s="3">
        <v>25119606</v>
      </c>
      <c r="C43" s="3">
        <v>0</v>
      </c>
      <c r="D43" s="3">
        <v>0</v>
      </c>
      <c r="E43" s="3">
        <v>1987995</v>
      </c>
      <c r="F43" s="3">
        <v>0</v>
      </c>
      <c r="G43" s="3">
        <v>0</v>
      </c>
      <c r="H43" s="3">
        <v>151645646</v>
      </c>
      <c r="I43" s="3">
        <v>377174</v>
      </c>
      <c r="J43" s="3">
        <v>0</v>
      </c>
      <c r="K43" s="3">
        <v>178753247</v>
      </c>
      <c r="L43" s="3">
        <v>377174</v>
      </c>
      <c r="M43" s="3">
        <v>0</v>
      </c>
      <c r="N43" s="3">
        <v>179130421</v>
      </c>
    </row>
    <row r="44" spans="1:14" x14ac:dyDescent="0.15">
      <c r="A44" s="1">
        <v>2012</v>
      </c>
      <c r="B44" s="3">
        <v>25982911</v>
      </c>
      <c r="C44" s="3">
        <v>0</v>
      </c>
      <c r="D44" s="3">
        <v>0</v>
      </c>
      <c r="E44" s="3">
        <v>1000000</v>
      </c>
      <c r="F44" s="3">
        <v>0</v>
      </c>
      <c r="G44" s="3">
        <v>0</v>
      </c>
      <c r="H44" s="3">
        <v>170427906</v>
      </c>
      <c r="I44" s="3">
        <v>1013484</v>
      </c>
      <c r="J44" s="3">
        <v>288794</v>
      </c>
      <c r="K44" s="3">
        <v>197410817</v>
      </c>
      <c r="L44" s="3">
        <v>1013484</v>
      </c>
      <c r="M44" s="3">
        <v>288794</v>
      </c>
      <c r="N44" s="3">
        <v>198713095</v>
      </c>
    </row>
    <row r="45" spans="1:14" x14ac:dyDescent="0.15">
      <c r="A45" s="1">
        <v>2013</v>
      </c>
      <c r="B45" s="3">
        <v>26162608</v>
      </c>
      <c r="C45" s="3">
        <v>0</v>
      </c>
      <c r="D45" s="3">
        <v>0</v>
      </c>
      <c r="E45" s="3">
        <v>0</v>
      </c>
      <c r="F45" s="3">
        <v>0</v>
      </c>
      <c r="G45" s="3">
        <v>0</v>
      </c>
      <c r="H45" s="3">
        <v>191071797</v>
      </c>
      <c r="I45" s="3">
        <v>833423</v>
      </c>
      <c r="J45" s="3">
        <v>0</v>
      </c>
      <c r="K45" s="3">
        <v>217234405</v>
      </c>
      <c r="L45" s="3">
        <v>833423</v>
      </c>
      <c r="M45" s="3">
        <v>0</v>
      </c>
      <c r="N45" s="3">
        <v>218067828</v>
      </c>
    </row>
    <row r="46" spans="1:14" x14ac:dyDescent="0.15">
      <c r="A46" s="1">
        <v>2014</v>
      </c>
      <c r="B46" s="3">
        <v>26101384</v>
      </c>
      <c r="C46" s="3">
        <v>0</v>
      </c>
      <c r="D46" s="3">
        <v>0</v>
      </c>
      <c r="E46" s="3">
        <v>0</v>
      </c>
      <c r="F46" s="3">
        <v>0</v>
      </c>
      <c r="G46" s="3">
        <v>0</v>
      </c>
      <c r="H46" s="3">
        <v>222576207</v>
      </c>
      <c r="I46" s="3">
        <v>919767</v>
      </c>
      <c r="J46" s="3">
        <v>0</v>
      </c>
      <c r="K46" s="3">
        <v>248677591</v>
      </c>
      <c r="L46" s="3">
        <v>919767</v>
      </c>
      <c r="M46" s="3">
        <v>0</v>
      </c>
      <c r="N46" s="3">
        <v>249597358</v>
      </c>
    </row>
    <row r="47" spans="1:14" x14ac:dyDescent="0.15">
      <c r="A47" s="1">
        <v>2015</v>
      </c>
      <c r="B47" s="3">
        <v>24644323</v>
      </c>
      <c r="C47" s="3">
        <v>0</v>
      </c>
      <c r="D47" s="3">
        <v>0</v>
      </c>
      <c r="E47" s="3">
        <v>0</v>
      </c>
      <c r="F47" s="3">
        <v>0</v>
      </c>
      <c r="G47" s="3">
        <v>0</v>
      </c>
      <c r="H47" s="3">
        <v>252571033</v>
      </c>
      <c r="I47" s="3">
        <v>1038481</v>
      </c>
      <c r="J47" s="3">
        <v>0</v>
      </c>
      <c r="K47" s="3">
        <v>277215356</v>
      </c>
      <c r="L47" s="3">
        <v>1038481</v>
      </c>
      <c r="M47" s="3">
        <v>0</v>
      </c>
      <c r="N47" s="3">
        <v>278253837</v>
      </c>
    </row>
    <row r="48" spans="1:14" x14ac:dyDescent="0.15">
      <c r="A48" s="1">
        <v>2016</v>
      </c>
      <c r="B48" s="3">
        <v>26466455</v>
      </c>
      <c r="C48" s="3">
        <v>0</v>
      </c>
      <c r="D48" s="3">
        <v>0</v>
      </c>
      <c r="E48" s="3">
        <v>0</v>
      </c>
      <c r="F48" s="3">
        <v>0</v>
      </c>
      <c r="G48" s="3">
        <v>0</v>
      </c>
      <c r="H48" s="3">
        <v>255229776</v>
      </c>
      <c r="I48" s="3">
        <v>1066701</v>
      </c>
      <c r="J48" s="3">
        <v>0</v>
      </c>
      <c r="K48" s="3">
        <v>281696231</v>
      </c>
      <c r="L48" s="3">
        <v>1066701</v>
      </c>
      <c r="M48" s="3">
        <v>0</v>
      </c>
      <c r="N48" s="3">
        <v>282762932</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9</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72000</v>
      </c>
      <c r="C9" s="3">
        <v>0</v>
      </c>
      <c r="D9" s="3">
        <v>0</v>
      </c>
      <c r="E9" s="3">
        <v>0</v>
      </c>
      <c r="F9" s="3">
        <v>0</v>
      </c>
      <c r="G9" s="3">
        <v>0</v>
      </c>
      <c r="H9" s="3">
        <v>0</v>
      </c>
      <c r="I9" s="3">
        <v>0</v>
      </c>
      <c r="J9" s="3">
        <v>0</v>
      </c>
      <c r="K9" s="3">
        <f t="shared" si="0"/>
        <v>72000</v>
      </c>
      <c r="L9" s="3">
        <f t="shared" si="0"/>
        <v>0</v>
      </c>
      <c r="M9" s="3">
        <f t="shared" si="0"/>
        <v>0</v>
      </c>
      <c r="N9" s="3">
        <f t="shared" si="1"/>
        <v>72000</v>
      </c>
      <c r="O9" s="1" t="s">
        <v>103</v>
      </c>
    </row>
    <row r="10" spans="1:15" x14ac:dyDescent="0.15">
      <c r="A10" s="1">
        <v>1978</v>
      </c>
      <c r="B10" s="3">
        <v>141000</v>
      </c>
      <c r="C10" s="3">
        <v>0</v>
      </c>
      <c r="D10" s="3">
        <v>0</v>
      </c>
      <c r="E10" s="3">
        <v>0</v>
      </c>
      <c r="F10" s="3">
        <v>0</v>
      </c>
      <c r="G10" s="3">
        <v>0</v>
      </c>
      <c r="H10" s="3">
        <v>0</v>
      </c>
      <c r="I10" s="3">
        <v>0</v>
      </c>
      <c r="J10" s="3">
        <v>0</v>
      </c>
      <c r="K10" s="3">
        <f t="shared" si="0"/>
        <v>141000</v>
      </c>
      <c r="L10" s="3">
        <f t="shared" si="0"/>
        <v>0</v>
      </c>
      <c r="M10" s="3">
        <f t="shared" si="0"/>
        <v>0</v>
      </c>
      <c r="N10" s="3">
        <f t="shared" si="1"/>
        <v>141000</v>
      </c>
    </row>
    <row r="11" spans="1:15" x14ac:dyDescent="0.15">
      <c r="A11" s="1">
        <v>1979</v>
      </c>
      <c r="B11" s="3">
        <v>150000</v>
      </c>
      <c r="C11" s="3">
        <v>0</v>
      </c>
      <c r="D11" s="3">
        <v>0</v>
      </c>
      <c r="E11" s="3">
        <v>0</v>
      </c>
      <c r="F11" s="3">
        <v>0</v>
      </c>
      <c r="G11" s="3">
        <v>0</v>
      </c>
      <c r="H11" s="3">
        <v>0</v>
      </c>
      <c r="I11" s="3">
        <v>0</v>
      </c>
      <c r="J11" s="3">
        <v>0</v>
      </c>
      <c r="K11" s="3">
        <f t="shared" si="0"/>
        <v>150000</v>
      </c>
      <c r="L11" s="3">
        <f t="shared" si="0"/>
        <v>0</v>
      </c>
      <c r="M11" s="3">
        <f t="shared" si="0"/>
        <v>0</v>
      </c>
      <c r="N11" s="3">
        <f t="shared" si="1"/>
        <v>150000</v>
      </c>
    </row>
    <row r="12" spans="1:15" x14ac:dyDescent="0.15">
      <c r="A12" s="1">
        <v>1980</v>
      </c>
      <c r="B12" s="3">
        <v>240000</v>
      </c>
      <c r="C12" s="3">
        <v>0</v>
      </c>
      <c r="D12" s="3">
        <v>0</v>
      </c>
      <c r="E12" s="3">
        <v>0</v>
      </c>
      <c r="F12" s="3">
        <v>0</v>
      </c>
      <c r="G12" s="3">
        <v>0</v>
      </c>
      <c r="H12" s="3">
        <v>0</v>
      </c>
      <c r="I12" s="3">
        <v>0</v>
      </c>
      <c r="J12" s="3">
        <v>0</v>
      </c>
      <c r="K12" s="3">
        <f t="shared" si="0"/>
        <v>240000</v>
      </c>
      <c r="L12" s="3">
        <f t="shared" si="0"/>
        <v>0</v>
      </c>
      <c r="M12" s="3">
        <f t="shared" si="0"/>
        <v>0</v>
      </c>
      <c r="N12" s="3">
        <f t="shared" si="1"/>
        <v>240000</v>
      </c>
      <c r="O12" s="1" t="s">
        <v>121</v>
      </c>
    </row>
    <row r="13" spans="1:15" x14ac:dyDescent="0.15">
      <c r="A13" s="1">
        <v>1981</v>
      </c>
      <c r="B13" s="3">
        <v>312000</v>
      </c>
      <c r="C13" s="3">
        <v>0</v>
      </c>
      <c r="D13" s="3">
        <v>0</v>
      </c>
      <c r="E13" s="3">
        <v>0</v>
      </c>
      <c r="F13" s="3">
        <v>0</v>
      </c>
      <c r="G13" s="3">
        <v>0</v>
      </c>
      <c r="H13" s="3">
        <v>0</v>
      </c>
      <c r="I13" s="3">
        <v>0</v>
      </c>
      <c r="J13" s="3">
        <v>0</v>
      </c>
      <c r="K13" s="3">
        <f t="shared" si="0"/>
        <v>312000</v>
      </c>
      <c r="L13" s="3">
        <f t="shared" si="0"/>
        <v>0</v>
      </c>
      <c r="M13" s="3">
        <f t="shared" si="0"/>
        <v>0</v>
      </c>
      <c r="N13" s="3">
        <f t="shared" si="1"/>
        <v>312000</v>
      </c>
      <c r="O13" s="1" t="s">
        <v>131</v>
      </c>
    </row>
    <row r="14" spans="1:15" x14ac:dyDescent="0.15">
      <c r="A14" s="1">
        <v>1982</v>
      </c>
      <c r="B14" s="3">
        <v>329000</v>
      </c>
      <c r="C14" s="3">
        <v>0</v>
      </c>
      <c r="D14" s="3">
        <v>0</v>
      </c>
      <c r="E14" s="3">
        <v>0</v>
      </c>
      <c r="F14" s="3">
        <v>0</v>
      </c>
      <c r="G14" s="3">
        <v>0</v>
      </c>
      <c r="H14" s="3">
        <v>0</v>
      </c>
      <c r="I14" s="3">
        <v>0</v>
      </c>
      <c r="J14" s="3">
        <v>0</v>
      </c>
      <c r="K14" s="3">
        <f t="shared" si="0"/>
        <v>329000</v>
      </c>
      <c r="L14" s="3">
        <f t="shared" si="0"/>
        <v>0</v>
      </c>
      <c r="M14" s="3">
        <f t="shared" si="0"/>
        <v>0</v>
      </c>
      <c r="N14" s="3">
        <f t="shared" si="1"/>
        <v>329000</v>
      </c>
    </row>
    <row r="15" spans="1:15" x14ac:dyDescent="0.15">
      <c r="A15" s="1">
        <v>1983</v>
      </c>
      <c r="B15" s="3">
        <v>234000</v>
      </c>
      <c r="C15" s="3">
        <v>0</v>
      </c>
      <c r="D15" s="3">
        <v>0</v>
      </c>
      <c r="E15" s="3">
        <v>0</v>
      </c>
      <c r="F15" s="3">
        <v>0</v>
      </c>
      <c r="G15" s="3">
        <v>0</v>
      </c>
      <c r="H15" s="3">
        <v>0</v>
      </c>
      <c r="I15" s="3">
        <v>0</v>
      </c>
      <c r="J15" s="3">
        <v>0</v>
      </c>
      <c r="K15" s="3">
        <f t="shared" si="0"/>
        <v>234000</v>
      </c>
      <c r="L15" s="3">
        <f t="shared" si="0"/>
        <v>0</v>
      </c>
      <c r="M15" s="3">
        <f t="shared" si="0"/>
        <v>0</v>
      </c>
      <c r="N15" s="3">
        <f t="shared" si="1"/>
        <v>234000</v>
      </c>
    </row>
    <row r="16" spans="1:15" x14ac:dyDescent="0.15">
      <c r="A16" s="1">
        <v>1984</v>
      </c>
      <c r="B16" s="3">
        <v>191000</v>
      </c>
      <c r="C16" s="3">
        <v>0</v>
      </c>
      <c r="D16" s="3">
        <v>0</v>
      </c>
      <c r="E16" s="3">
        <v>0</v>
      </c>
      <c r="F16" s="3">
        <v>0</v>
      </c>
      <c r="G16" s="3">
        <v>0</v>
      </c>
      <c r="H16" s="3">
        <v>0</v>
      </c>
      <c r="I16" s="3">
        <v>0</v>
      </c>
      <c r="J16" s="3">
        <v>0</v>
      </c>
      <c r="K16" s="3">
        <f t="shared" si="0"/>
        <v>191000</v>
      </c>
      <c r="L16" s="3">
        <f t="shared" si="0"/>
        <v>0</v>
      </c>
      <c r="M16" s="3">
        <f t="shared" si="0"/>
        <v>0</v>
      </c>
      <c r="N16" s="3">
        <f t="shared" si="1"/>
        <v>191000</v>
      </c>
    </row>
    <row r="17" spans="1:15" x14ac:dyDescent="0.15">
      <c r="A17" s="1">
        <v>1985</v>
      </c>
      <c r="B17" s="3">
        <v>241000</v>
      </c>
      <c r="C17" s="3">
        <v>0</v>
      </c>
      <c r="D17" s="3">
        <v>0</v>
      </c>
      <c r="E17" s="3">
        <v>0</v>
      </c>
      <c r="F17" s="3">
        <v>0</v>
      </c>
      <c r="G17" s="3">
        <v>0</v>
      </c>
      <c r="H17" s="3">
        <v>0</v>
      </c>
      <c r="I17" s="3">
        <v>1834000</v>
      </c>
      <c r="J17" s="3">
        <v>0</v>
      </c>
      <c r="K17" s="3">
        <f t="shared" si="0"/>
        <v>241000</v>
      </c>
      <c r="L17" s="3">
        <f t="shared" si="0"/>
        <v>1834000</v>
      </c>
      <c r="M17" s="3">
        <f t="shared" si="0"/>
        <v>0</v>
      </c>
      <c r="N17" s="3">
        <f t="shared" si="1"/>
        <v>2075000</v>
      </c>
    </row>
    <row r="18" spans="1:15" x14ac:dyDescent="0.15">
      <c r="A18" s="1">
        <v>1986</v>
      </c>
      <c r="B18" s="3">
        <v>241000</v>
      </c>
      <c r="C18" s="3">
        <v>0</v>
      </c>
      <c r="D18" s="3">
        <v>0</v>
      </c>
      <c r="E18" s="3">
        <v>0</v>
      </c>
      <c r="F18" s="3">
        <v>0</v>
      </c>
      <c r="G18" s="3">
        <v>0</v>
      </c>
      <c r="H18" s="3">
        <v>0</v>
      </c>
      <c r="I18" s="3">
        <v>1834000</v>
      </c>
      <c r="J18" s="3">
        <v>0</v>
      </c>
      <c r="K18" s="3">
        <f t="shared" si="0"/>
        <v>241000</v>
      </c>
      <c r="L18" s="3">
        <f t="shared" si="0"/>
        <v>1834000</v>
      </c>
      <c r="M18" s="3">
        <f t="shared" si="0"/>
        <v>0</v>
      </c>
      <c r="N18" s="3">
        <f t="shared" si="1"/>
        <v>2075000</v>
      </c>
      <c r="O18" s="1" t="s">
        <v>146</v>
      </c>
    </row>
    <row r="19" spans="1:15" x14ac:dyDescent="0.15">
      <c r="A19" s="1">
        <v>1987</v>
      </c>
      <c r="B19" s="3">
        <v>241000</v>
      </c>
      <c r="C19" s="3">
        <v>0</v>
      </c>
      <c r="D19" s="3">
        <v>0</v>
      </c>
      <c r="E19" s="3">
        <v>0</v>
      </c>
      <c r="F19" s="3">
        <v>0</v>
      </c>
      <c r="G19" s="3">
        <v>0</v>
      </c>
      <c r="H19" s="3">
        <v>0</v>
      </c>
      <c r="I19" s="3">
        <v>1834000</v>
      </c>
      <c r="J19" s="3">
        <v>0</v>
      </c>
      <c r="K19" s="3">
        <f t="shared" si="0"/>
        <v>241000</v>
      </c>
      <c r="L19" s="3">
        <f t="shared" si="0"/>
        <v>1834000</v>
      </c>
      <c r="M19" s="3">
        <f t="shared" si="0"/>
        <v>0</v>
      </c>
      <c r="N19" s="3">
        <f t="shared" si="1"/>
        <v>2075000</v>
      </c>
      <c r="O19" s="1" t="s">
        <v>146</v>
      </c>
    </row>
    <row r="20" spans="1:15" x14ac:dyDescent="0.15">
      <c r="A20" s="1">
        <v>1988</v>
      </c>
      <c r="B20" s="3">
        <v>240000</v>
      </c>
      <c r="C20" s="3">
        <v>0</v>
      </c>
      <c r="D20" s="3">
        <v>0</v>
      </c>
      <c r="E20" s="3">
        <v>0</v>
      </c>
      <c r="F20" s="3">
        <v>0</v>
      </c>
      <c r="G20" s="3">
        <v>0</v>
      </c>
      <c r="H20" s="3">
        <v>0</v>
      </c>
      <c r="I20" s="3">
        <v>0</v>
      </c>
      <c r="J20" s="3">
        <v>0</v>
      </c>
      <c r="K20" s="3">
        <f t="shared" si="0"/>
        <v>240000</v>
      </c>
      <c r="L20" s="3">
        <f t="shared" si="0"/>
        <v>0</v>
      </c>
      <c r="M20" s="3">
        <f t="shared" si="0"/>
        <v>0</v>
      </c>
      <c r="N20" s="3">
        <f t="shared" si="1"/>
        <v>240000</v>
      </c>
    </row>
    <row r="21" spans="1:15" x14ac:dyDescent="0.15">
      <c r="A21" s="1">
        <v>1989</v>
      </c>
      <c r="B21" s="3">
        <v>230000</v>
      </c>
      <c r="C21" s="3">
        <v>0</v>
      </c>
      <c r="D21" s="3">
        <v>0</v>
      </c>
      <c r="E21" s="3">
        <v>0</v>
      </c>
      <c r="F21" s="3">
        <v>0</v>
      </c>
      <c r="G21" s="3">
        <v>0</v>
      </c>
      <c r="H21" s="3">
        <v>0</v>
      </c>
      <c r="I21" s="3">
        <v>0</v>
      </c>
      <c r="J21" s="3">
        <v>0</v>
      </c>
      <c r="K21" s="3">
        <f t="shared" si="0"/>
        <v>230000</v>
      </c>
      <c r="L21" s="3">
        <f t="shared" si="0"/>
        <v>0</v>
      </c>
      <c r="M21" s="3">
        <f t="shared" si="0"/>
        <v>0</v>
      </c>
      <c r="N21" s="3">
        <f t="shared" si="1"/>
        <v>230000</v>
      </c>
    </row>
    <row r="22" spans="1:15" x14ac:dyDescent="0.15">
      <c r="A22" s="1">
        <v>1990</v>
      </c>
      <c r="B22" s="3">
        <v>228000</v>
      </c>
      <c r="C22" s="3">
        <v>0</v>
      </c>
      <c r="D22" s="3">
        <v>0</v>
      </c>
      <c r="E22" s="3">
        <v>0</v>
      </c>
      <c r="F22" s="3">
        <v>0</v>
      </c>
      <c r="G22" s="3">
        <v>0</v>
      </c>
      <c r="H22" s="3">
        <v>0</v>
      </c>
      <c r="I22" s="3">
        <v>1984000</v>
      </c>
      <c r="J22" s="3">
        <v>0</v>
      </c>
      <c r="K22" s="3">
        <f t="shared" ref="K22:M35" si="2">+B22+E22+H22</f>
        <v>228000</v>
      </c>
      <c r="L22" s="3">
        <f t="shared" si="2"/>
        <v>1984000</v>
      </c>
      <c r="M22" s="3">
        <f t="shared" si="2"/>
        <v>0</v>
      </c>
      <c r="N22" s="3">
        <f t="shared" si="1"/>
        <v>2212000</v>
      </c>
    </row>
    <row r="23" spans="1:15" x14ac:dyDescent="0.15">
      <c r="A23" s="1">
        <v>1991</v>
      </c>
      <c r="B23" s="3">
        <v>464000</v>
      </c>
      <c r="C23" s="3">
        <v>0</v>
      </c>
      <c r="D23" s="3">
        <v>0</v>
      </c>
      <c r="E23" s="3">
        <v>0</v>
      </c>
      <c r="F23" s="3">
        <v>0</v>
      </c>
      <c r="G23" s="3">
        <v>0</v>
      </c>
      <c r="H23" s="3">
        <v>0</v>
      </c>
      <c r="I23" s="3">
        <v>2111000</v>
      </c>
      <c r="J23" s="3">
        <v>0</v>
      </c>
      <c r="K23" s="3">
        <f t="shared" si="2"/>
        <v>464000</v>
      </c>
      <c r="L23" s="3">
        <f t="shared" si="2"/>
        <v>2111000</v>
      </c>
      <c r="M23" s="3">
        <f t="shared" si="2"/>
        <v>0</v>
      </c>
      <c r="N23" s="3">
        <f t="shared" si="1"/>
        <v>2575000</v>
      </c>
    </row>
    <row r="24" spans="1:15" x14ac:dyDescent="0.15">
      <c r="A24" s="1">
        <v>1992</v>
      </c>
      <c r="B24" s="3">
        <v>471000</v>
      </c>
      <c r="C24" s="3">
        <v>0</v>
      </c>
      <c r="D24" s="3">
        <v>0</v>
      </c>
      <c r="E24" s="3">
        <v>0</v>
      </c>
      <c r="F24" s="3">
        <v>0</v>
      </c>
      <c r="G24" s="3">
        <v>0</v>
      </c>
      <c r="H24" s="3">
        <v>0</v>
      </c>
      <c r="I24" s="3">
        <v>2159000</v>
      </c>
      <c r="J24" s="3">
        <v>0</v>
      </c>
      <c r="K24" s="3">
        <f t="shared" si="2"/>
        <v>471000</v>
      </c>
      <c r="L24" s="3">
        <f t="shared" si="2"/>
        <v>2159000</v>
      </c>
      <c r="M24" s="3">
        <f t="shared" si="2"/>
        <v>0</v>
      </c>
      <c r="N24" s="3">
        <f t="shared" si="1"/>
        <v>2630000</v>
      </c>
    </row>
    <row r="25" spans="1:15" x14ac:dyDescent="0.15">
      <c r="A25" s="1">
        <v>1993</v>
      </c>
      <c r="B25" s="3">
        <v>470000</v>
      </c>
      <c r="C25" s="3">
        <v>0</v>
      </c>
      <c r="D25" s="3">
        <v>0</v>
      </c>
      <c r="E25" s="3">
        <v>0</v>
      </c>
      <c r="F25" s="3">
        <v>0</v>
      </c>
      <c r="G25" s="3">
        <v>0</v>
      </c>
      <c r="H25" s="3">
        <v>25000</v>
      </c>
      <c r="I25" s="3">
        <v>1952000</v>
      </c>
      <c r="J25" s="3">
        <v>0</v>
      </c>
      <c r="K25" s="3">
        <f t="shared" si="2"/>
        <v>495000</v>
      </c>
      <c r="L25" s="3">
        <f t="shared" si="2"/>
        <v>1952000</v>
      </c>
      <c r="M25" s="3">
        <f t="shared" si="2"/>
        <v>0</v>
      </c>
      <c r="N25" s="3">
        <f t="shared" si="1"/>
        <v>2447000</v>
      </c>
    </row>
    <row r="26" spans="1:15" x14ac:dyDescent="0.15">
      <c r="A26" s="1">
        <v>1994</v>
      </c>
      <c r="B26" s="3">
        <v>454000</v>
      </c>
      <c r="C26" s="3">
        <v>0</v>
      </c>
      <c r="D26" s="3">
        <v>0</v>
      </c>
      <c r="E26" s="3">
        <v>0</v>
      </c>
      <c r="F26" s="3">
        <v>0</v>
      </c>
      <c r="G26" s="3">
        <v>0</v>
      </c>
      <c r="H26" s="3">
        <v>54000</v>
      </c>
      <c r="I26" s="3">
        <v>1881000</v>
      </c>
      <c r="J26" s="3">
        <v>0</v>
      </c>
      <c r="K26" s="3">
        <f t="shared" si="2"/>
        <v>508000</v>
      </c>
      <c r="L26" s="3">
        <f t="shared" si="2"/>
        <v>1881000</v>
      </c>
      <c r="M26" s="3">
        <f t="shared" si="2"/>
        <v>0</v>
      </c>
      <c r="N26" s="3">
        <f t="shared" si="1"/>
        <v>2389000</v>
      </c>
    </row>
    <row r="27" spans="1:15" x14ac:dyDescent="0.15">
      <c r="A27" s="1">
        <v>1995</v>
      </c>
      <c r="B27" s="3">
        <v>444000</v>
      </c>
      <c r="C27" s="3">
        <v>0</v>
      </c>
      <c r="D27" s="3">
        <v>0</v>
      </c>
      <c r="E27" s="3">
        <v>0</v>
      </c>
      <c r="F27" s="3">
        <v>0</v>
      </c>
      <c r="G27" s="3">
        <v>0</v>
      </c>
      <c r="H27" s="3">
        <v>0</v>
      </c>
      <c r="I27" s="3">
        <v>1764000</v>
      </c>
      <c r="J27" s="3">
        <v>0</v>
      </c>
      <c r="K27" s="3">
        <f t="shared" si="2"/>
        <v>444000</v>
      </c>
      <c r="L27" s="3">
        <f t="shared" si="2"/>
        <v>1764000</v>
      </c>
      <c r="M27" s="3">
        <f t="shared" si="2"/>
        <v>0</v>
      </c>
      <c r="N27" s="3">
        <f t="shared" si="1"/>
        <v>2208000</v>
      </c>
    </row>
    <row r="28" spans="1:15" x14ac:dyDescent="0.15">
      <c r="A28" s="1">
        <v>1996</v>
      </c>
      <c r="B28" s="3">
        <v>430074</v>
      </c>
      <c r="C28" s="3">
        <v>0</v>
      </c>
      <c r="D28" s="3">
        <v>0</v>
      </c>
      <c r="E28" s="3">
        <v>0</v>
      </c>
      <c r="F28" s="3">
        <v>0</v>
      </c>
      <c r="G28" s="3">
        <v>0</v>
      </c>
      <c r="H28" s="3">
        <v>0</v>
      </c>
      <c r="I28" s="3">
        <v>1512000</v>
      </c>
      <c r="J28" s="3">
        <v>0</v>
      </c>
      <c r="K28" s="3">
        <f t="shared" si="2"/>
        <v>430074</v>
      </c>
      <c r="L28" s="3">
        <f t="shared" si="2"/>
        <v>1512000</v>
      </c>
      <c r="M28" s="3">
        <f t="shared" si="2"/>
        <v>0</v>
      </c>
      <c r="N28" s="3">
        <f t="shared" si="1"/>
        <v>1942074</v>
      </c>
    </row>
    <row r="29" spans="1:15" x14ac:dyDescent="0.15">
      <c r="A29" s="1">
        <v>1997</v>
      </c>
      <c r="B29" s="3">
        <v>159982</v>
      </c>
      <c r="C29" s="3">
        <v>0</v>
      </c>
      <c r="D29" s="3">
        <v>0</v>
      </c>
      <c r="E29" s="3">
        <f>213000-B29</f>
        <v>53018</v>
      </c>
      <c r="F29" s="3">
        <v>0</v>
      </c>
      <c r="G29" s="3">
        <v>0</v>
      </c>
      <c r="H29" s="3">
        <v>0</v>
      </c>
      <c r="I29" s="3">
        <v>1503000</v>
      </c>
      <c r="J29" s="3">
        <v>0</v>
      </c>
      <c r="K29" s="3">
        <f t="shared" si="2"/>
        <v>213000</v>
      </c>
      <c r="L29" s="3">
        <f t="shared" si="2"/>
        <v>1503000</v>
      </c>
      <c r="M29" s="3">
        <f t="shared" si="2"/>
        <v>0</v>
      </c>
      <c r="N29" s="3">
        <f t="shared" si="1"/>
        <v>1716000</v>
      </c>
    </row>
    <row r="30" spans="1:15" x14ac:dyDescent="0.15">
      <c r="A30" s="1">
        <v>1998</v>
      </c>
      <c r="B30" s="3">
        <f>180200+2435+60878</f>
        <v>243513</v>
      </c>
      <c r="C30" s="3">
        <v>0</v>
      </c>
      <c r="D30" s="3">
        <v>0</v>
      </c>
      <c r="E30" s="3">
        <v>0</v>
      </c>
      <c r="F30" s="3">
        <v>0</v>
      </c>
      <c r="G30" s="3">
        <v>0</v>
      </c>
      <c r="H30" s="3">
        <v>0</v>
      </c>
      <c r="I30" s="3">
        <v>1433000</v>
      </c>
      <c r="J30" s="3">
        <v>0</v>
      </c>
      <c r="K30" s="3">
        <f t="shared" si="2"/>
        <v>243513</v>
      </c>
      <c r="L30" s="3">
        <f t="shared" si="2"/>
        <v>1433000</v>
      </c>
      <c r="M30" s="3">
        <f t="shared" si="2"/>
        <v>0</v>
      </c>
      <c r="N30" s="3">
        <f t="shared" si="1"/>
        <v>1676513</v>
      </c>
    </row>
    <row r="31" spans="1:15" x14ac:dyDescent="0.15">
      <c r="A31" s="1">
        <v>1999</v>
      </c>
      <c r="B31" s="3">
        <v>0</v>
      </c>
      <c r="C31" s="3">
        <v>0</v>
      </c>
      <c r="D31" s="3">
        <v>0</v>
      </c>
      <c r="E31" s="3">
        <v>0</v>
      </c>
      <c r="F31" s="3">
        <v>0</v>
      </c>
      <c r="G31" s="3">
        <v>0</v>
      </c>
      <c r="H31" s="3">
        <v>0</v>
      </c>
      <c r="I31" s="3">
        <v>1438000</v>
      </c>
      <c r="J31" s="3">
        <v>0</v>
      </c>
      <c r="K31" s="3">
        <f t="shared" si="2"/>
        <v>0</v>
      </c>
      <c r="L31" s="3">
        <f t="shared" si="2"/>
        <v>1438000</v>
      </c>
      <c r="M31" s="3">
        <f t="shared" si="2"/>
        <v>0</v>
      </c>
      <c r="N31" s="3">
        <f t="shared" si="1"/>
        <v>1438000</v>
      </c>
    </row>
    <row r="32" spans="1:15" x14ac:dyDescent="0.15">
      <c r="A32" s="1">
        <v>2000</v>
      </c>
      <c r="B32" s="3">
        <v>0</v>
      </c>
      <c r="C32" s="3">
        <v>0</v>
      </c>
      <c r="D32" s="3">
        <v>0</v>
      </c>
      <c r="E32" s="3">
        <v>0</v>
      </c>
      <c r="F32" s="3">
        <v>0</v>
      </c>
      <c r="G32" s="3">
        <v>0</v>
      </c>
      <c r="H32" s="3">
        <v>0</v>
      </c>
      <c r="I32" s="3">
        <v>1520000</v>
      </c>
      <c r="J32" s="3">
        <v>0</v>
      </c>
      <c r="K32" s="3">
        <f t="shared" si="2"/>
        <v>0</v>
      </c>
      <c r="L32" s="3">
        <f t="shared" si="2"/>
        <v>1520000</v>
      </c>
      <c r="M32" s="3">
        <f t="shared" si="2"/>
        <v>0</v>
      </c>
      <c r="N32" s="3">
        <f t="shared" si="1"/>
        <v>1520000</v>
      </c>
    </row>
    <row r="33" spans="1:15" x14ac:dyDescent="0.15">
      <c r="A33" s="1">
        <v>2001</v>
      </c>
      <c r="B33" s="3">
        <v>0</v>
      </c>
      <c r="C33" s="3">
        <v>0</v>
      </c>
      <c r="D33" s="3">
        <v>0</v>
      </c>
      <c r="E33" s="3">
        <v>0</v>
      </c>
      <c r="F33" s="3">
        <v>0</v>
      </c>
      <c r="G33" s="3">
        <v>0</v>
      </c>
      <c r="H33" s="3">
        <v>0</v>
      </c>
      <c r="I33" s="3">
        <v>1435000</v>
      </c>
      <c r="J33" s="3">
        <v>0</v>
      </c>
      <c r="K33" s="3">
        <f t="shared" si="2"/>
        <v>0</v>
      </c>
      <c r="L33" s="3">
        <f t="shared" si="2"/>
        <v>1435000</v>
      </c>
      <c r="M33" s="3">
        <f t="shared" si="2"/>
        <v>0</v>
      </c>
      <c r="N33" s="3">
        <f t="shared" si="1"/>
        <v>1435000</v>
      </c>
    </row>
    <row r="34" spans="1:15" x14ac:dyDescent="0.15">
      <c r="A34" s="1">
        <v>2002</v>
      </c>
      <c r="B34" s="3">
        <v>0</v>
      </c>
      <c r="C34" s="3">
        <v>0</v>
      </c>
      <c r="D34" s="3">
        <v>0</v>
      </c>
      <c r="E34" s="3">
        <v>0</v>
      </c>
      <c r="F34" s="3">
        <v>0</v>
      </c>
      <c r="G34" s="3">
        <v>0</v>
      </c>
      <c r="H34" s="3">
        <v>0</v>
      </c>
      <c r="I34" s="3">
        <v>1440000</v>
      </c>
      <c r="J34" s="3">
        <v>0</v>
      </c>
      <c r="K34" s="3">
        <f t="shared" si="2"/>
        <v>0</v>
      </c>
      <c r="L34" s="3">
        <f t="shared" si="2"/>
        <v>1440000</v>
      </c>
      <c r="M34" s="3">
        <f t="shared" si="2"/>
        <v>0</v>
      </c>
      <c r="N34" s="3">
        <f t="shared" si="1"/>
        <v>1440000</v>
      </c>
    </row>
    <row r="35" spans="1:15" x14ac:dyDescent="0.15">
      <c r="A35" s="1">
        <v>2003</v>
      </c>
      <c r="B35" s="3">
        <v>0</v>
      </c>
      <c r="C35" s="3">
        <v>0</v>
      </c>
      <c r="D35" s="3">
        <v>0</v>
      </c>
      <c r="E35" s="3">
        <v>0</v>
      </c>
      <c r="F35" s="3">
        <v>0</v>
      </c>
      <c r="G35" s="3">
        <v>0</v>
      </c>
      <c r="H35" s="3">
        <v>0</v>
      </c>
      <c r="I35" s="3">
        <v>0</v>
      </c>
      <c r="J35" s="3">
        <v>0</v>
      </c>
      <c r="K35" s="3">
        <f t="shared" si="2"/>
        <v>0</v>
      </c>
      <c r="L35" s="3">
        <f t="shared" si="2"/>
        <v>0</v>
      </c>
      <c r="M35" s="3">
        <f t="shared" si="2"/>
        <v>0</v>
      </c>
      <c r="N35" s="3">
        <f t="shared" si="1"/>
        <v>0</v>
      </c>
    </row>
    <row r="36" spans="1:15" ht="12.75" x14ac:dyDescent="0.2">
      <c r="A36" s="1">
        <v>2004</v>
      </c>
      <c r="B36" s="3">
        <v>0</v>
      </c>
      <c r="C36" s="3">
        <v>0</v>
      </c>
      <c r="D36" s="3">
        <v>0</v>
      </c>
      <c r="E36" s="3">
        <v>0</v>
      </c>
      <c r="F36" s="3">
        <v>0</v>
      </c>
      <c r="G36" s="3">
        <v>0</v>
      </c>
      <c r="H36" s="3">
        <v>0</v>
      </c>
      <c r="I36" s="3">
        <v>0</v>
      </c>
      <c r="J36" s="3">
        <v>0</v>
      </c>
      <c r="K36" s="3">
        <v>0</v>
      </c>
      <c r="L36" s="3">
        <v>0</v>
      </c>
      <c r="M36" s="3">
        <v>0</v>
      </c>
      <c r="N36" s="3">
        <v>0</v>
      </c>
      <c r="O36" s="12"/>
    </row>
    <row r="37" spans="1:15" ht="12.75" x14ac:dyDescent="0.2">
      <c r="A37" s="1">
        <v>2005</v>
      </c>
      <c r="B37" s="3">
        <v>0</v>
      </c>
      <c r="C37" s="3">
        <v>0</v>
      </c>
      <c r="D37" s="3">
        <v>0</v>
      </c>
      <c r="E37" s="3">
        <v>0</v>
      </c>
      <c r="F37" s="3">
        <v>0</v>
      </c>
      <c r="G37" s="3">
        <v>0</v>
      </c>
      <c r="H37" s="3">
        <v>0</v>
      </c>
      <c r="I37" s="3">
        <v>0</v>
      </c>
      <c r="J37" s="3">
        <v>0</v>
      </c>
      <c r="K37" s="3">
        <v>0</v>
      </c>
      <c r="L37" s="3">
        <v>0</v>
      </c>
      <c r="M37" s="3">
        <v>0</v>
      </c>
      <c r="N37" s="3">
        <v>0</v>
      </c>
      <c r="O37" s="12"/>
    </row>
    <row r="38" spans="1:15" x14ac:dyDescent="0.15">
      <c r="A38" s="1">
        <v>2006</v>
      </c>
      <c r="B38" s="3">
        <v>501972</v>
      </c>
      <c r="C38" s="3">
        <v>0</v>
      </c>
      <c r="D38" s="3">
        <v>0</v>
      </c>
      <c r="E38" s="3">
        <v>0</v>
      </c>
      <c r="F38" s="3">
        <v>0</v>
      </c>
      <c r="G38" s="3">
        <v>0</v>
      </c>
      <c r="H38" s="3">
        <v>0</v>
      </c>
      <c r="I38" s="3">
        <v>0</v>
      </c>
      <c r="J38" s="3">
        <v>0</v>
      </c>
      <c r="K38" s="3">
        <v>501972</v>
      </c>
      <c r="L38" s="3">
        <v>0</v>
      </c>
      <c r="M38" s="3">
        <v>0</v>
      </c>
      <c r="N38" s="3">
        <v>501972</v>
      </c>
      <c r="O38" s="1" t="s">
        <v>255</v>
      </c>
    </row>
    <row r="39" spans="1:15" x14ac:dyDescent="0.15">
      <c r="A39" s="1">
        <v>2007</v>
      </c>
      <c r="B39" s="3">
        <v>586639</v>
      </c>
      <c r="C39" s="3">
        <v>0</v>
      </c>
      <c r="D39" s="3">
        <v>0</v>
      </c>
      <c r="E39" s="3">
        <v>0</v>
      </c>
      <c r="F39" s="3">
        <v>0</v>
      </c>
      <c r="G39" s="3">
        <v>0</v>
      </c>
      <c r="H39" s="3">
        <v>0</v>
      </c>
      <c r="I39" s="3">
        <v>0</v>
      </c>
      <c r="J39" s="3">
        <v>0</v>
      </c>
      <c r="K39" s="3">
        <v>586639</v>
      </c>
      <c r="L39" s="3">
        <v>0</v>
      </c>
      <c r="M39" s="3">
        <v>0</v>
      </c>
      <c r="N39" s="3">
        <v>586639</v>
      </c>
    </row>
    <row r="40" spans="1:15" x14ac:dyDescent="0.15">
      <c r="A40" s="1">
        <v>2008</v>
      </c>
      <c r="B40" s="3">
        <v>670274</v>
      </c>
      <c r="C40" s="3">
        <v>0</v>
      </c>
      <c r="D40" s="3">
        <v>0</v>
      </c>
      <c r="E40" s="3">
        <v>0</v>
      </c>
      <c r="F40" s="3">
        <v>0</v>
      </c>
      <c r="G40" s="3">
        <v>0</v>
      </c>
      <c r="H40" s="3">
        <v>0</v>
      </c>
      <c r="I40" s="3">
        <v>0</v>
      </c>
      <c r="J40" s="3">
        <v>0</v>
      </c>
      <c r="K40" s="3">
        <v>670274</v>
      </c>
      <c r="L40" s="3">
        <v>0</v>
      </c>
      <c r="M40" s="3">
        <v>0</v>
      </c>
      <c r="N40" s="3">
        <v>670274</v>
      </c>
    </row>
    <row r="41" spans="1:15" x14ac:dyDescent="0.15">
      <c r="A41" s="1">
        <v>2009</v>
      </c>
      <c r="B41" s="3">
        <v>671121</v>
      </c>
      <c r="C41" s="3">
        <v>0</v>
      </c>
      <c r="D41" s="3">
        <v>0</v>
      </c>
      <c r="E41" s="3">
        <v>1306113</v>
      </c>
      <c r="F41" s="3">
        <v>0</v>
      </c>
      <c r="G41" s="3">
        <v>0</v>
      </c>
      <c r="H41" s="3">
        <v>0</v>
      </c>
      <c r="I41" s="3">
        <v>0</v>
      </c>
      <c r="J41" s="3">
        <v>0</v>
      </c>
      <c r="K41" s="3">
        <v>1977234</v>
      </c>
      <c r="L41" s="3">
        <v>0</v>
      </c>
      <c r="M41" s="3">
        <v>0</v>
      </c>
      <c r="N41" s="3">
        <v>1977234</v>
      </c>
    </row>
    <row r="42" spans="1:15" x14ac:dyDescent="0.15">
      <c r="A42" s="1">
        <v>2010</v>
      </c>
      <c r="B42" s="3">
        <v>855800</v>
      </c>
      <c r="C42" s="3">
        <v>0</v>
      </c>
      <c r="D42" s="3">
        <v>0</v>
      </c>
      <c r="E42" s="3">
        <v>0</v>
      </c>
      <c r="F42" s="3">
        <v>0</v>
      </c>
      <c r="G42" s="3">
        <v>0</v>
      </c>
      <c r="H42" s="3">
        <v>0</v>
      </c>
      <c r="I42" s="3">
        <v>0</v>
      </c>
      <c r="J42" s="3">
        <v>0</v>
      </c>
      <c r="K42" s="3">
        <v>855800</v>
      </c>
      <c r="L42" s="3">
        <v>0</v>
      </c>
      <c r="M42" s="3">
        <v>0</v>
      </c>
      <c r="N42" s="3">
        <v>855800</v>
      </c>
    </row>
    <row r="43" spans="1:15" x14ac:dyDescent="0.15">
      <c r="A43" s="1">
        <v>2011</v>
      </c>
      <c r="B43" s="3">
        <v>1513690</v>
      </c>
      <c r="C43" s="3">
        <v>0</v>
      </c>
      <c r="D43" s="3">
        <v>0</v>
      </c>
      <c r="E43" s="3">
        <v>0</v>
      </c>
      <c r="F43" s="3">
        <v>0</v>
      </c>
      <c r="G43" s="3">
        <v>0</v>
      </c>
      <c r="H43" s="3">
        <v>0</v>
      </c>
      <c r="I43" s="3">
        <v>0</v>
      </c>
      <c r="J43" s="3">
        <v>0</v>
      </c>
      <c r="K43" s="3">
        <v>1513690</v>
      </c>
      <c r="L43" s="3">
        <v>0</v>
      </c>
      <c r="M43" s="3">
        <v>0</v>
      </c>
      <c r="N43" s="3">
        <v>1513690</v>
      </c>
    </row>
    <row r="44" spans="1:15" x14ac:dyDescent="0.15">
      <c r="A44" s="1">
        <v>2012</v>
      </c>
      <c r="B44" s="3">
        <v>2829112</v>
      </c>
      <c r="C44" s="3">
        <v>0</v>
      </c>
      <c r="D44" s="3">
        <v>0</v>
      </c>
      <c r="E44" s="3">
        <v>0</v>
      </c>
      <c r="F44" s="3">
        <v>0</v>
      </c>
      <c r="G44" s="3">
        <v>0</v>
      </c>
      <c r="H44" s="3">
        <v>2996011</v>
      </c>
      <c r="I44" s="3">
        <v>0</v>
      </c>
      <c r="J44" s="3">
        <v>0</v>
      </c>
      <c r="K44" s="3">
        <v>5825123</v>
      </c>
      <c r="L44" s="3">
        <v>0</v>
      </c>
      <c r="M44" s="3">
        <v>0</v>
      </c>
      <c r="N44" s="3">
        <v>5825123</v>
      </c>
      <c r="O44" s="1" t="s">
        <v>256</v>
      </c>
    </row>
    <row r="45" spans="1:15" x14ac:dyDescent="0.15">
      <c r="A45" s="1">
        <v>2013</v>
      </c>
      <c r="B45" s="3">
        <v>3945045</v>
      </c>
      <c r="C45" s="3">
        <v>0</v>
      </c>
      <c r="D45" s="3">
        <v>0</v>
      </c>
      <c r="E45" s="3">
        <v>0</v>
      </c>
      <c r="F45" s="3">
        <v>0</v>
      </c>
      <c r="G45" s="3">
        <v>0</v>
      </c>
      <c r="H45" s="3">
        <v>5655304</v>
      </c>
      <c r="I45" s="3">
        <v>0</v>
      </c>
      <c r="J45" s="3">
        <v>0</v>
      </c>
      <c r="K45" s="3">
        <v>9600349</v>
      </c>
      <c r="L45" s="3">
        <v>0</v>
      </c>
      <c r="M45" s="3">
        <v>0</v>
      </c>
      <c r="N45" s="3">
        <v>9600349</v>
      </c>
    </row>
    <row r="46" spans="1:15" x14ac:dyDescent="0.15">
      <c r="A46" s="1">
        <v>2014</v>
      </c>
      <c r="B46" s="3">
        <v>3890170</v>
      </c>
      <c r="C46" s="3">
        <v>0</v>
      </c>
      <c r="D46" s="3">
        <v>0</v>
      </c>
      <c r="E46" s="3">
        <v>0</v>
      </c>
      <c r="F46" s="3">
        <v>0</v>
      </c>
      <c r="G46" s="3">
        <v>0</v>
      </c>
      <c r="H46" s="3">
        <v>7824057</v>
      </c>
      <c r="I46" s="3">
        <v>0</v>
      </c>
      <c r="J46" s="3">
        <v>0</v>
      </c>
      <c r="K46" s="3">
        <v>11714227</v>
      </c>
      <c r="L46" s="3">
        <v>0</v>
      </c>
      <c r="M46" s="3">
        <v>0</v>
      </c>
      <c r="N46" s="3">
        <v>11714227</v>
      </c>
    </row>
    <row r="47" spans="1:15" x14ac:dyDescent="0.15">
      <c r="A47" s="1">
        <v>2015</v>
      </c>
      <c r="B47" s="3">
        <v>5479895</v>
      </c>
      <c r="C47" s="3">
        <v>0</v>
      </c>
      <c r="D47" s="3">
        <v>0</v>
      </c>
      <c r="E47" s="3">
        <v>0</v>
      </c>
      <c r="F47" s="3">
        <v>0</v>
      </c>
      <c r="G47" s="3">
        <v>0</v>
      </c>
      <c r="H47" s="3">
        <v>10076953</v>
      </c>
      <c r="I47" s="3">
        <v>0</v>
      </c>
      <c r="J47" s="3">
        <v>0</v>
      </c>
      <c r="K47" s="3">
        <v>15556848</v>
      </c>
      <c r="L47" s="3">
        <v>0</v>
      </c>
      <c r="M47" s="3">
        <v>0</v>
      </c>
      <c r="N47" s="3">
        <v>15556848</v>
      </c>
    </row>
    <row r="48" spans="1:15" x14ac:dyDescent="0.15">
      <c r="A48" s="1">
        <v>2016</v>
      </c>
      <c r="B48" s="3">
        <v>5286667</v>
      </c>
      <c r="C48" s="3">
        <v>0</v>
      </c>
      <c r="D48" s="3">
        <v>0</v>
      </c>
      <c r="E48" s="3">
        <v>0</v>
      </c>
      <c r="F48" s="3">
        <v>0</v>
      </c>
      <c r="G48" s="3">
        <v>0</v>
      </c>
      <c r="H48" s="3">
        <v>11047616</v>
      </c>
      <c r="I48" s="3">
        <v>0</v>
      </c>
      <c r="J48" s="3">
        <v>0</v>
      </c>
      <c r="K48" s="3">
        <v>16334283</v>
      </c>
      <c r="L48" s="3">
        <v>0</v>
      </c>
      <c r="M48" s="3">
        <v>0</v>
      </c>
      <c r="N48" s="3">
        <v>16334283</v>
      </c>
    </row>
  </sheetData>
  <phoneticPr fontId="0"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34</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183217</v>
      </c>
      <c r="C6" s="3">
        <v>0</v>
      </c>
      <c r="D6" s="3">
        <v>0</v>
      </c>
      <c r="E6" s="3">
        <v>0</v>
      </c>
      <c r="F6" s="3">
        <v>0</v>
      </c>
      <c r="G6" s="3">
        <v>0</v>
      </c>
      <c r="H6" s="3">
        <v>0</v>
      </c>
      <c r="I6" s="3">
        <v>0</v>
      </c>
      <c r="J6" s="3">
        <v>0</v>
      </c>
      <c r="K6" s="3">
        <f t="shared" ref="K6:M21" si="0">+B6+E6+H6</f>
        <v>183217</v>
      </c>
      <c r="L6" s="3">
        <f t="shared" si="0"/>
        <v>0</v>
      </c>
      <c r="M6" s="3">
        <f t="shared" si="0"/>
        <v>0</v>
      </c>
      <c r="N6" s="3">
        <f t="shared" ref="N6:N35" si="1">+M6+L6+K6</f>
        <v>183217</v>
      </c>
      <c r="O6" s="1" t="s">
        <v>42</v>
      </c>
    </row>
    <row r="7" spans="1:15" x14ac:dyDescent="0.15">
      <c r="A7" s="1">
        <v>1975</v>
      </c>
      <c r="B7" s="3">
        <v>384000</v>
      </c>
      <c r="C7" s="3">
        <v>0</v>
      </c>
      <c r="D7" s="3">
        <v>0</v>
      </c>
      <c r="E7" s="3">
        <v>0</v>
      </c>
      <c r="F7" s="3">
        <v>0</v>
      </c>
      <c r="G7" s="3">
        <v>0</v>
      </c>
      <c r="H7" s="3">
        <v>0</v>
      </c>
      <c r="I7" s="3">
        <v>0</v>
      </c>
      <c r="J7" s="3">
        <v>0</v>
      </c>
      <c r="K7" s="3">
        <f t="shared" si="0"/>
        <v>384000</v>
      </c>
      <c r="L7" s="3">
        <f t="shared" si="0"/>
        <v>0</v>
      </c>
      <c r="M7" s="3">
        <f t="shared" si="0"/>
        <v>0</v>
      </c>
      <c r="N7" s="3">
        <f t="shared" si="1"/>
        <v>384000</v>
      </c>
    </row>
    <row r="8" spans="1:15" x14ac:dyDescent="0.15">
      <c r="A8" s="1">
        <v>1976</v>
      </c>
      <c r="B8" s="3">
        <v>425000</v>
      </c>
      <c r="C8" s="3">
        <v>0</v>
      </c>
      <c r="D8" s="3">
        <v>0</v>
      </c>
      <c r="E8" s="3">
        <v>50000</v>
      </c>
      <c r="F8" s="3">
        <v>0</v>
      </c>
      <c r="G8" s="3">
        <v>0</v>
      </c>
      <c r="H8" s="3">
        <v>0</v>
      </c>
      <c r="I8" s="3">
        <v>0</v>
      </c>
      <c r="J8" s="3">
        <v>0</v>
      </c>
      <c r="K8" s="3">
        <f t="shared" si="0"/>
        <v>475000</v>
      </c>
      <c r="L8" s="3">
        <f t="shared" si="0"/>
        <v>0</v>
      </c>
      <c r="M8" s="3">
        <f t="shared" si="0"/>
        <v>0</v>
      </c>
      <c r="N8" s="3">
        <f t="shared" si="1"/>
        <v>475000</v>
      </c>
    </row>
    <row r="9" spans="1:15" x14ac:dyDescent="0.15">
      <c r="A9" s="1">
        <v>1977</v>
      </c>
      <c r="B9" s="3">
        <v>437000</v>
      </c>
      <c r="C9" s="3">
        <v>0</v>
      </c>
      <c r="D9" s="3">
        <v>0</v>
      </c>
      <c r="E9" s="3">
        <v>50000</v>
      </c>
      <c r="F9" s="3">
        <v>0</v>
      </c>
      <c r="G9" s="3">
        <v>0</v>
      </c>
      <c r="H9" s="3">
        <v>0</v>
      </c>
      <c r="I9" s="3">
        <v>0</v>
      </c>
      <c r="J9" s="3">
        <v>0</v>
      </c>
      <c r="K9" s="3">
        <f t="shared" si="0"/>
        <v>487000</v>
      </c>
      <c r="L9" s="3">
        <f t="shared" si="0"/>
        <v>0</v>
      </c>
      <c r="M9" s="3">
        <f t="shared" si="0"/>
        <v>0</v>
      </c>
      <c r="N9" s="3">
        <f t="shared" si="1"/>
        <v>487000</v>
      </c>
    </row>
    <row r="10" spans="1:15" x14ac:dyDescent="0.15">
      <c r="A10" s="1">
        <v>1978</v>
      </c>
      <c r="B10" s="3">
        <v>460000</v>
      </c>
      <c r="C10" s="3">
        <v>0</v>
      </c>
      <c r="D10" s="3">
        <v>0</v>
      </c>
      <c r="E10" s="3">
        <v>71000</v>
      </c>
      <c r="F10" s="3">
        <v>0</v>
      </c>
      <c r="G10" s="3">
        <v>0</v>
      </c>
      <c r="H10" s="3">
        <v>0</v>
      </c>
      <c r="I10" s="3">
        <v>0</v>
      </c>
      <c r="J10" s="3">
        <v>0</v>
      </c>
      <c r="K10" s="3">
        <f t="shared" si="0"/>
        <v>531000</v>
      </c>
      <c r="L10" s="3">
        <f t="shared" si="0"/>
        <v>0</v>
      </c>
      <c r="M10" s="3">
        <f t="shared" si="0"/>
        <v>0</v>
      </c>
      <c r="N10" s="3">
        <f t="shared" si="1"/>
        <v>531000</v>
      </c>
      <c r="O10" s="1" t="s">
        <v>114</v>
      </c>
    </row>
    <row r="11" spans="1:15" x14ac:dyDescent="0.15">
      <c r="A11" s="1">
        <v>1979</v>
      </c>
      <c r="B11" s="3">
        <v>1091000</v>
      </c>
      <c r="C11" s="3">
        <v>0</v>
      </c>
      <c r="D11" s="3">
        <v>0</v>
      </c>
      <c r="E11" s="3">
        <v>0</v>
      </c>
      <c r="F11" s="3">
        <v>0</v>
      </c>
      <c r="G11" s="3">
        <v>0</v>
      </c>
      <c r="H11" s="3">
        <v>0</v>
      </c>
      <c r="I11" s="3">
        <v>0</v>
      </c>
      <c r="J11" s="3">
        <v>0</v>
      </c>
      <c r="K11" s="3">
        <f t="shared" si="0"/>
        <v>1091000</v>
      </c>
      <c r="L11" s="3">
        <f t="shared" si="0"/>
        <v>0</v>
      </c>
      <c r="M11" s="3">
        <f t="shared" si="0"/>
        <v>0</v>
      </c>
      <c r="N11" s="3">
        <f t="shared" si="1"/>
        <v>1091000</v>
      </c>
      <c r="O11" s="1" t="s">
        <v>106</v>
      </c>
    </row>
    <row r="12" spans="1:15" x14ac:dyDescent="0.15">
      <c r="A12" s="1">
        <v>1980</v>
      </c>
      <c r="B12" s="3">
        <v>1360000</v>
      </c>
      <c r="C12" s="3">
        <v>0</v>
      </c>
      <c r="D12" s="3">
        <v>0</v>
      </c>
      <c r="E12" s="3">
        <v>0</v>
      </c>
      <c r="F12" s="3">
        <v>0</v>
      </c>
      <c r="G12" s="3">
        <v>0</v>
      </c>
      <c r="H12" s="3">
        <v>0</v>
      </c>
      <c r="I12" s="3">
        <v>0</v>
      </c>
      <c r="J12" s="3">
        <v>0</v>
      </c>
      <c r="K12" s="3">
        <f t="shared" si="0"/>
        <v>1360000</v>
      </c>
      <c r="L12" s="3">
        <f t="shared" si="0"/>
        <v>0</v>
      </c>
      <c r="M12" s="3">
        <f t="shared" si="0"/>
        <v>0</v>
      </c>
      <c r="N12" s="3">
        <f t="shared" si="1"/>
        <v>1360000</v>
      </c>
      <c r="O12" s="1" t="s">
        <v>127</v>
      </c>
    </row>
    <row r="13" spans="1:15" x14ac:dyDescent="0.15">
      <c r="A13" s="1">
        <v>1981</v>
      </c>
      <c r="B13" s="3">
        <v>1179000</v>
      </c>
      <c r="C13" s="3">
        <v>0</v>
      </c>
      <c r="D13" s="3">
        <v>0</v>
      </c>
      <c r="E13" s="3">
        <v>0</v>
      </c>
      <c r="F13" s="3">
        <v>0</v>
      </c>
      <c r="G13" s="3">
        <v>0</v>
      </c>
      <c r="H13" s="3">
        <v>0</v>
      </c>
      <c r="I13" s="3">
        <v>0</v>
      </c>
      <c r="J13" s="3">
        <v>0</v>
      </c>
      <c r="K13" s="3">
        <f t="shared" si="0"/>
        <v>1179000</v>
      </c>
      <c r="L13" s="3">
        <f t="shared" si="0"/>
        <v>0</v>
      </c>
      <c r="M13" s="3">
        <f t="shared" si="0"/>
        <v>0</v>
      </c>
      <c r="N13" s="3">
        <f t="shared" si="1"/>
        <v>1179000</v>
      </c>
    </row>
    <row r="14" spans="1:15" x14ac:dyDescent="0.15">
      <c r="A14" s="1">
        <v>1982</v>
      </c>
      <c r="B14" s="3">
        <v>537000</v>
      </c>
      <c r="C14" s="3">
        <v>0</v>
      </c>
      <c r="D14" s="3">
        <v>0</v>
      </c>
      <c r="E14" s="3">
        <v>0</v>
      </c>
      <c r="F14" s="3">
        <v>0</v>
      </c>
      <c r="G14" s="3">
        <v>0</v>
      </c>
      <c r="H14" s="3">
        <v>0</v>
      </c>
      <c r="I14" s="3">
        <v>0</v>
      </c>
      <c r="J14" s="3">
        <v>0</v>
      </c>
      <c r="K14" s="3">
        <f t="shared" si="0"/>
        <v>537000</v>
      </c>
      <c r="L14" s="3">
        <f t="shared" si="0"/>
        <v>0</v>
      </c>
      <c r="M14" s="3">
        <f t="shared" si="0"/>
        <v>0</v>
      </c>
      <c r="N14" s="3">
        <f t="shared" si="1"/>
        <v>537000</v>
      </c>
    </row>
    <row r="15" spans="1:15" x14ac:dyDescent="0.15">
      <c r="A15" s="1">
        <v>1983</v>
      </c>
      <c r="B15" s="3">
        <v>550000</v>
      </c>
      <c r="C15" s="3">
        <v>0</v>
      </c>
      <c r="D15" s="3">
        <v>0</v>
      </c>
      <c r="E15" s="3">
        <v>0</v>
      </c>
      <c r="F15" s="3">
        <v>0</v>
      </c>
      <c r="G15" s="3">
        <v>0</v>
      </c>
      <c r="H15" s="3">
        <v>0</v>
      </c>
      <c r="I15" s="3">
        <v>0</v>
      </c>
      <c r="J15" s="3">
        <v>0</v>
      </c>
      <c r="K15" s="3">
        <f t="shared" si="0"/>
        <v>550000</v>
      </c>
      <c r="L15" s="3">
        <f t="shared" si="0"/>
        <v>0</v>
      </c>
      <c r="M15" s="3">
        <f t="shared" si="0"/>
        <v>0</v>
      </c>
      <c r="N15" s="3">
        <f t="shared" si="1"/>
        <v>550000</v>
      </c>
    </row>
    <row r="16" spans="1:15" x14ac:dyDescent="0.15">
      <c r="A16" s="1">
        <v>1984</v>
      </c>
      <c r="B16" s="3">
        <v>490000</v>
      </c>
      <c r="C16" s="3">
        <v>0</v>
      </c>
      <c r="D16" s="3">
        <v>0</v>
      </c>
      <c r="E16" s="3">
        <v>0</v>
      </c>
      <c r="F16" s="3">
        <v>0</v>
      </c>
      <c r="G16" s="3">
        <v>0</v>
      </c>
      <c r="H16" s="3">
        <v>0</v>
      </c>
      <c r="I16" s="3">
        <v>0</v>
      </c>
      <c r="J16" s="3">
        <v>0</v>
      </c>
      <c r="K16" s="3">
        <f t="shared" si="0"/>
        <v>490000</v>
      </c>
      <c r="L16" s="3">
        <f t="shared" si="0"/>
        <v>0</v>
      </c>
      <c r="M16" s="3">
        <f t="shared" si="0"/>
        <v>0</v>
      </c>
      <c r="N16" s="3">
        <f t="shared" si="1"/>
        <v>490000</v>
      </c>
    </row>
    <row r="17" spans="1:15" x14ac:dyDescent="0.15">
      <c r="A17" s="1">
        <v>1985</v>
      </c>
      <c r="B17" s="3">
        <v>547000</v>
      </c>
      <c r="C17" s="3">
        <v>0</v>
      </c>
      <c r="D17" s="3">
        <v>0</v>
      </c>
      <c r="E17" s="3">
        <v>0</v>
      </c>
      <c r="F17" s="3">
        <v>0</v>
      </c>
      <c r="G17" s="3">
        <v>0</v>
      </c>
      <c r="H17" s="3">
        <v>0</v>
      </c>
      <c r="I17" s="3">
        <v>0</v>
      </c>
      <c r="J17" s="3">
        <v>0</v>
      </c>
      <c r="K17" s="3">
        <f t="shared" si="0"/>
        <v>547000</v>
      </c>
      <c r="L17" s="3">
        <f t="shared" si="0"/>
        <v>0</v>
      </c>
      <c r="M17" s="3">
        <f t="shared" si="0"/>
        <v>0</v>
      </c>
      <c r="N17" s="3">
        <f t="shared" si="1"/>
        <v>547000</v>
      </c>
    </row>
    <row r="18" spans="1:15" x14ac:dyDescent="0.15">
      <c r="A18" s="1">
        <v>1986</v>
      </c>
      <c r="B18" s="3">
        <v>809000</v>
      </c>
      <c r="C18" s="3">
        <v>0</v>
      </c>
      <c r="D18" s="3">
        <v>0</v>
      </c>
      <c r="E18" s="3">
        <v>0</v>
      </c>
      <c r="F18" s="3">
        <v>0</v>
      </c>
      <c r="G18" s="3">
        <v>0</v>
      </c>
      <c r="H18" s="3">
        <v>375000</v>
      </c>
      <c r="I18" s="3">
        <v>125000</v>
      </c>
      <c r="J18" s="3">
        <v>0</v>
      </c>
      <c r="K18" s="3">
        <f t="shared" si="0"/>
        <v>1184000</v>
      </c>
      <c r="L18" s="3">
        <f t="shared" si="0"/>
        <v>125000</v>
      </c>
      <c r="M18" s="3">
        <f t="shared" si="0"/>
        <v>0</v>
      </c>
      <c r="N18" s="3">
        <f t="shared" si="1"/>
        <v>1309000</v>
      </c>
    </row>
    <row r="19" spans="1:15" x14ac:dyDescent="0.15">
      <c r="A19" s="1">
        <v>1987</v>
      </c>
      <c r="B19" s="3">
        <v>1161000</v>
      </c>
      <c r="C19" s="3">
        <v>0</v>
      </c>
      <c r="D19" s="3">
        <v>0</v>
      </c>
      <c r="E19" s="3">
        <v>0</v>
      </c>
      <c r="F19" s="3">
        <v>0</v>
      </c>
      <c r="G19" s="3">
        <v>0</v>
      </c>
      <c r="H19" s="3">
        <v>0</v>
      </c>
      <c r="I19" s="3">
        <v>0</v>
      </c>
      <c r="J19" s="3">
        <v>0</v>
      </c>
      <c r="K19" s="3">
        <f t="shared" si="0"/>
        <v>1161000</v>
      </c>
      <c r="L19" s="3">
        <f t="shared" si="0"/>
        <v>0</v>
      </c>
      <c r="M19" s="3">
        <f t="shared" si="0"/>
        <v>0</v>
      </c>
      <c r="N19" s="3">
        <f t="shared" si="1"/>
        <v>1161000</v>
      </c>
    </row>
    <row r="20" spans="1:15" x14ac:dyDescent="0.15">
      <c r="A20" s="1">
        <v>1988</v>
      </c>
      <c r="B20" s="3">
        <v>1422000</v>
      </c>
      <c r="C20" s="3">
        <v>0</v>
      </c>
      <c r="D20" s="3">
        <v>0</v>
      </c>
      <c r="E20" s="3">
        <v>0</v>
      </c>
      <c r="F20" s="3">
        <v>0</v>
      </c>
      <c r="G20" s="3">
        <v>0</v>
      </c>
      <c r="H20" s="3">
        <v>0</v>
      </c>
      <c r="I20" s="3">
        <v>0</v>
      </c>
      <c r="J20" s="3">
        <v>0</v>
      </c>
      <c r="K20" s="3">
        <f t="shared" si="0"/>
        <v>1422000</v>
      </c>
      <c r="L20" s="3">
        <f t="shared" si="0"/>
        <v>0</v>
      </c>
      <c r="M20" s="3">
        <f t="shared" si="0"/>
        <v>0</v>
      </c>
      <c r="N20" s="3">
        <f t="shared" si="1"/>
        <v>1422000</v>
      </c>
    </row>
    <row r="21" spans="1:15" x14ac:dyDescent="0.15">
      <c r="A21" s="1">
        <v>1989</v>
      </c>
      <c r="B21" s="3">
        <v>1411000</v>
      </c>
      <c r="C21" s="3">
        <v>0</v>
      </c>
      <c r="D21" s="3">
        <v>0</v>
      </c>
      <c r="E21" s="3">
        <v>0</v>
      </c>
      <c r="F21" s="3">
        <v>0</v>
      </c>
      <c r="G21" s="3">
        <v>0</v>
      </c>
      <c r="H21" s="3">
        <v>0</v>
      </c>
      <c r="I21" s="3">
        <v>0</v>
      </c>
      <c r="J21" s="3">
        <v>0</v>
      </c>
      <c r="K21" s="3">
        <f t="shared" si="0"/>
        <v>1411000</v>
      </c>
      <c r="L21" s="3">
        <f t="shared" si="0"/>
        <v>0</v>
      </c>
      <c r="M21" s="3">
        <f t="shared" si="0"/>
        <v>0</v>
      </c>
      <c r="N21" s="3">
        <f t="shared" si="1"/>
        <v>1411000</v>
      </c>
    </row>
    <row r="22" spans="1:15" x14ac:dyDescent="0.15">
      <c r="A22" s="1">
        <v>1990</v>
      </c>
      <c r="B22" s="3">
        <v>2008000</v>
      </c>
      <c r="C22" s="3">
        <v>0</v>
      </c>
      <c r="D22" s="3">
        <v>0</v>
      </c>
      <c r="E22" s="3">
        <v>0</v>
      </c>
      <c r="F22" s="3">
        <v>0</v>
      </c>
      <c r="G22" s="3">
        <v>0</v>
      </c>
      <c r="H22" s="3">
        <v>0</v>
      </c>
      <c r="I22" s="3">
        <v>0</v>
      </c>
      <c r="J22" s="3">
        <v>0</v>
      </c>
      <c r="K22" s="3">
        <f t="shared" ref="K22:M35" si="2">+B22+E22+H22</f>
        <v>2008000</v>
      </c>
      <c r="L22" s="3">
        <f t="shared" si="2"/>
        <v>0</v>
      </c>
      <c r="M22" s="3">
        <f t="shared" si="2"/>
        <v>0</v>
      </c>
      <c r="N22" s="3">
        <f t="shared" si="1"/>
        <v>2008000</v>
      </c>
    </row>
    <row r="23" spans="1:15" x14ac:dyDescent="0.15">
      <c r="A23" s="1">
        <v>1991</v>
      </c>
      <c r="B23" s="3">
        <v>5100000</v>
      </c>
      <c r="C23" s="3">
        <v>0</v>
      </c>
      <c r="D23" s="3">
        <v>0</v>
      </c>
      <c r="E23" s="3">
        <v>0</v>
      </c>
      <c r="F23" s="3">
        <v>0</v>
      </c>
      <c r="G23" s="3">
        <v>0</v>
      </c>
      <c r="H23" s="3">
        <v>0</v>
      </c>
      <c r="I23" s="3">
        <v>0</v>
      </c>
      <c r="J23" s="3">
        <v>0</v>
      </c>
      <c r="K23" s="3">
        <f t="shared" si="2"/>
        <v>5100000</v>
      </c>
      <c r="L23" s="3">
        <f t="shared" si="2"/>
        <v>0</v>
      </c>
      <c r="M23" s="3">
        <f t="shared" si="2"/>
        <v>0</v>
      </c>
      <c r="N23" s="3">
        <f t="shared" si="1"/>
        <v>5100000</v>
      </c>
    </row>
    <row r="24" spans="1:15" x14ac:dyDescent="0.15">
      <c r="A24" s="1">
        <v>1992</v>
      </c>
      <c r="B24" s="3">
        <v>5044000</v>
      </c>
      <c r="C24" s="3">
        <v>0</v>
      </c>
      <c r="D24" s="3">
        <v>0</v>
      </c>
      <c r="E24" s="3">
        <v>0</v>
      </c>
      <c r="F24" s="3">
        <v>0</v>
      </c>
      <c r="G24" s="3">
        <v>0</v>
      </c>
      <c r="H24" s="3">
        <v>0</v>
      </c>
      <c r="I24" s="3">
        <v>0</v>
      </c>
      <c r="J24" s="3">
        <v>0</v>
      </c>
      <c r="K24" s="3">
        <f t="shared" si="2"/>
        <v>5044000</v>
      </c>
      <c r="L24" s="3">
        <f t="shared" si="2"/>
        <v>0</v>
      </c>
      <c r="M24" s="3">
        <f t="shared" si="2"/>
        <v>0</v>
      </c>
      <c r="N24" s="3">
        <f t="shared" si="1"/>
        <v>5044000</v>
      </c>
    </row>
    <row r="25" spans="1:15" x14ac:dyDescent="0.15">
      <c r="A25" s="1">
        <v>1993</v>
      </c>
      <c r="B25" s="3">
        <v>5200000</v>
      </c>
      <c r="C25" s="3">
        <v>0</v>
      </c>
      <c r="D25" s="3">
        <v>0</v>
      </c>
      <c r="E25" s="3">
        <v>0</v>
      </c>
      <c r="F25" s="3">
        <v>0</v>
      </c>
      <c r="G25" s="3">
        <v>0</v>
      </c>
      <c r="H25" s="3">
        <v>0</v>
      </c>
      <c r="I25" s="3">
        <v>0</v>
      </c>
      <c r="J25" s="3">
        <v>0</v>
      </c>
      <c r="K25" s="3">
        <f t="shared" si="2"/>
        <v>5200000</v>
      </c>
      <c r="L25" s="3">
        <f t="shared" si="2"/>
        <v>0</v>
      </c>
      <c r="M25" s="3">
        <f t="shared" si="2"/>
        <v>0</v>
      </c>
      <c r="N25" s="3">
        <f t="shared" si="1"/>
        <v>5200000</v>
      </c>
    </row>
    <row r="26" spans="1:15" x14ac:dyDescent="0.15">
      <c r="A26" s="1">
        <v>1994</v>
      </c>
      <c r="B26" s="3">
        <v>5170000</v>
      </c>
      <c r="C26" s="3">
        <v>0</v>
      </c>
      <c r="D26" s="3">
        <v>0</v>
      </c>
      <c r="E26" s="3">
        <v>0</v>
      </c>
      <c r="F26" s="3">
        <v>0</v>
      </c>
      <c r="G26" s="3">
        <v>0</v>
      </c>
      <c r="H26" s="3">
        <v>0</v>
      </c>
      <c r="I26" s="3">
        <v>0</v>
      </c>
      <c r="J26" s="3">
        <v>0</v>
      </c>
      <c r="K26" s="3">
        <f t="shared" si="2"/>
        <v>5170000</v>
      </c>
      <c r="L26" s="3">
        <f t="shared" si="2"/>
        <v>0</v>
      </c>
      <c r="M26" s="3">
        <f t="shared" si="2"/>
        <v>0</v>
      </c>
      <c r="N26" s="3">
        <f t="shared" si="1"/>
        <v>5170000</v>
      </c>
    </row>
    <row r="27" spans="1:15" x14ac:dyDescent="0.15">
      <c r="A27" s="1">
        <v>1995</v>
      </c>
      <c r="B27" s="3">
        <v>0</v>
      </c>
      <c r="C27" s="3">
        <v>0</v>
      </c>
      <c r="D27" s="3">
        <v>0</v>
      </c>
      <c r="E27" s="3">
        <v>5787000</v>
      </c>
      <c r="F27" s="3">
        <v>402000</v>
      </c>
      <c r="G27" s="3">
        <v>0</v>
      </c>
      <c r="H27" s="3">
        <v>0</v>
      </c>
      <c r="I27" s="3">
        <v>901000</v>
      </c>
      <c r="J27" s="3">
        <v>0</v>
      </c>
      <c r="K27" s="3">
        <f t="shared" si="2"/>
        <v>5787000</v>
      </c>
      <c r="L27" s="3">
        <f t="shared" si="2"/>
        <v>1303000</v>
      </c>
      <c r="M27" s="3">
        <f t="shared" si="2"/>
        <v>0</v>
      </c>
      <c r="N27" s="3">
        <f t="shared" si="1"/>
        <v>7090000</v>
      </c>
      <c r="O27" s="1" t="s">
        <v>199</v>
      </c>
    </row>
    <row r="28" spans="1:15" x14ac:dyDescent="0.15">
      <c r="A28" s="1">
        <v>1996</v>
      </c>
      <c r="B28" s="3">
        <v>6988184</v>
      </c>
      <c r="C28" s="3">
        <v>0</v>
      </c>
      <c r="D28" s="3">
        <v>0</v>
      </c>
      <c r="E28" s="3">
        <v>0</v>
      </c>
      <c r="F28" s="3">
        <v>633000</v>
      </c>
      <c r="G28" s="3">
        <v>0</v>
      </c>
      <c r="H28" s="3">
        <v>0</v>
      </c>
      <c r="I28" s="3">
        <v>641000</v>
      </c>
      <c r="J28" s="3">
        <v>0</v>
      </c>
      <c r="K28" s="3">
        <f t="shared" si="2"/>
        <v>6988184</v>
      </c>
      <c r="L28" s="3">
        <f t="shared" si="2"/>
        <v>1274000</v>
      </c>
      <c r="M28" s="3">
        <f t="shared" si="2"/>
        <v>0</v>
      </c>
      <c r="N28" s="3">
        <f t="shared" si="1"/>
        <v>8262184</v>
      </c>
    </row>
    <row r="29" spans="1:15" x14ac:dyDescent="0.15">
      <c r="A29" s="1">
        <v>1997</v>
      </c>
      <c r="B29" s="3">
        <v>4579108</v>
      </c>
      <c r="C29" s="3">
        <v>0</v>
      </c>
      <c r="D29" s="3">
        <v>0</v>
      </c>
      <c r="E29" s="3">
        <f>6636000-B29</f>
        <v>2056892</v>
      </c>
      <c r="F29" s="3">
        <v>0</v>
      </c>
      <c r="G29" s="3">
        <v>0</v>
      </c>
      <c r="H29" s="3">
        <v>0</v>
      </c>
      <c r="I29" s="3">
        <v>400000</v>
      </c>
      <c r="J29" s="3">
        <v>0</v>
      </c>
      <c r="K29" s="3">
        <f t="shared" si="2"/>
        <v>6636000</v>
      </c>
      <c r="L29" s="3">
        <f t="shared" si="2"/>
        <v>400000</v>
      </c>
      <c r="M29" s="3">
        <f t="shared" si="2"/>
        <v>0</v>
      </c>
      <c r="N29" s="3">
        <f t="shared" si="1"/>
        <v>7036000</v>
      </c>
    </row>
    <row r="30" spans="1:15" x14ac:dyDescent="0.15">
      <c r="A30" s="1">
        <v>1998</v>
      </c>
      <c r="B30" s="3">
        <f>4697376+1771142+1232099</f>
        <v>7700617</v>
      </c>
      <c r="C30" s="3">
        <v>0</v>
      </c>
      <c r="D30" s="3">
        <v>0</v>
      </c>
      <c r="E30" s="3">
        <v>0</v>
      </c>
      <c r="F30" s="3">
        <v>380000</v>
      </c>
      <c r="G30" s="3">
        <v>0</v>
      </c>
      <c r="H30" s="3">
        <v>0</v>
      </c>
      <c r="I30" s="3">
        <v>0</v>
      </c>
      <c r="J30" s="3">
        <v>0</v>
      </c>
      <c r="K30" s="3">
        <f t="shared" si="2"/>
        <v>7700617</v>
      </c>
      <c r="L30" s="3">
        <f t="shared" si="2"/>
        <v>380000</v>
      </c>
      <c r="M30" s="3">
        <f t="shared" si="2"/>
        <v>0</v>
      </c>
      <c r="N30" s="3">
        <f t="shared" si="1"/>
        <v>8080617</v>
      </c>
    </row>
    <row r="31" spans="1:15" x14ac:dyDescent="0.15">
      <c r="A31" s="1">
        <v>1999</v>
      </c>
      <c r="B31" s="3">
        <f>4697376+1771142+1232099</f>
        <v>7700617</v>
      </c>
      <c r="C31" s="3">
        <v>0</v>
      </c>
      <c r="D31" s="3">
        <v>0</v>
      </c>
      <c r="E31" s="3">
        <v>0</v>
      </c>
      <c r="F31" s="3">
        <v>380000</v>
      </c>
      <c r="G31" s="3">
        <v>0</v>
      </c>
      <c r="H31" s="3">
        <v>0</v>
      </c>
      <c r="I31" s="3">
        <v>0</v>
      </c>
      <c r="J31" s="3">
        <v>0</v>
      </c>
      <c r="K31" s="3">
        <f t="shared" si="2"/>
        <v>7700617</v>
      </c>
      <c r="L31" s="3">
        <f t="shared" si="2"/>
        <v>380000</v>
      </c>
      <c r="M31" s="3">
        <f t="shared" si="2"/>
        <v>0</v>
      </c>
      <c r="N31" s="3">
        <f t="shared" si="1"/>
        <v>8080617</v>
      </c>
      <c r="O31" s="1" t="s">
        <v>144</v>
      </c>
    </row>
    <row r="32" spans="1:15" x14ac:dyDescent="0.15">
      <c r="A32" s="1">
        <v>2000</v>
      </c>
      <c r="B32" s="3">
        <v>10360152</v>
      </c>
      <c r="C32" s="3">
        <v>0</v>
      </c>
      <c r="D32" s="3">
        <v>0</v>
      </c>
      <c r="E32" s="3">
        <v>0</v>
      </c>
      <c r="F32" s="3">
        <v>492000</v>
      </c>
      <c r="G32" s="3">
        <v>0</v>
      </c>
      <c r="H32" s="3">
        <v>0</v>
      </c>
      <c r="I32" s="3">
        <v>0</v>
      </c>
      <c r="J32" s="3">
        <v>0</v>
      </c>
      <c r="K32" s="3">
        <f t="shared" si="2"/>
        <v>10360152</v>
      </c>
      <c r="L32" s="3">
        <f t="shared" si="2"/>
        <v>492000</v>
      </c>
      <c r="M32" s="3">
        <f t="shared" si="2"/>
        <v>0</v>
      </c>
      <c r="N32" s="3">
        <f t="shared" si="1"/>
        <v>10852152</v>
      </c>
    </row>
    <row r="33" spans="1:15" x14ac:dyDescent="0.15">
      <c r="A33" s="1">
        <v>2001</v>
      </c>
      <c r="B33" s="3">
        <f>7654761+2033323+2272537</f>
        <v>11960621</v>
      </c>
      <c r="C33" s="3">
        <v>0</v>
      </c>
      <c r="D33" s="3">
        <v>0</v>
      </c>
      <c r="E33" s="3">
        <v>0</v>
      </c>
      <c r="F33" s="3">
        <v>390000</v>
      </c>
      <c r="G33" s="3">
        <v>0</v>
      </c>
      <c r="H33" s="3">
        <v>0</v>
      </c>
      <c r="I33" s="3">
        <v>0</v>
      </c>
      <c r="J33" s="3">
        <v>0</v>
      </c>
      <c r="K33" s="3">
        <f t="shared" si="2"/>
        <v>11960621</v>
      </c>
      <c r="L33" s="3">
        <f t="shared" si="2"/>
        <v>390000</v>
      </c>
      <c r="M33" s="3">
        <f t="shared" si="2"/>
        <v>0</v>
      </c>
      <c r="N33" s="3">
        <f t="shared" si="1"/>
        <v>12350621</v>
      </c>
      <c r="O33" s="1" t="s">
        <v>238</v>
      </c>
    </row>
    <row r="34" spans="1:15" x14ac:dyDescent="0.15">
      <c r="A34" s="1">
        <v>2002</v>
      </c>
      <c r="B34" s="3">
        <v>12020552</v>
      </c>
      <c r="C34" s="3">
        <v>0</v>
      </c>
      <c r="D34" s="3">
        <v>0</v>
      </c>
      <c r="E34" s="3">
        <v>0</v>
      </c>
      <c r="F34" s="3">
        <v>395000</v>
      </c>
      <c r="G34" s="3">
        <v>0</v>
      </c>
      <c r="H34" s="3">
        <v>0</v>
      </c>
      <c r="I34" s="3">
        <v>0</v>
      </c>
      <c r="J34" s="3">
        <v>0</v>
      </c>
      <c r="K34" s="3">
        <f t="shared" si="2"/>
        <v>12020552</v>
      </c>
      <c r="L34" s="3">
        <f t="shared" si="2"/>
        <v>395000</v>
      </c>
      <c r="M34" s="3">
        <f t="shared" si="2"/>
        <v>0</v>
      </c>
      <c r="N34" s="3">
        <f t="shared" si="1"/>
        <v>12415552</v>
      </c>
    </row>
    <row r="35" spans="1:15" x14ac:dyDescent="0.15">
      <c r="A35" s="1">
        <v>2003</v>
      </c>
      <c r="B35" s="3">
        <v>12546561</v>
      </c>
      <c r="C35" s="3">
        <v>0</v>
      </c>
      <c r="D35" s="3">
        <v>0</v>
      </c>
      <c r="E35" s="3">
        <v>0</v>
      </c>
      <c r="F35" s="3">
        <v>0</v>
      </c>
      <c r="G35" s="3">
        <v>208945</v>
      </c>
      <c r="H35" s="3">
        <v>0</v>
      </c>
      <c r="I35" s="3">
        <v>387500</v>
      </c>
      <c r="J35" s="3">
        <v>0</v>
      </c>
      <c r="K35" s="3">
        <f t="shared" si="2"/>
        <v>12546561</v>
      </c>
      <c r="L35" s="3">
        <f t="shared" si="2"/>
        <v>387500</v>
      </c>
      <c r="M35" s="3">
        <f t="shared" si="2"/>
        <v>208945</v>
      </c>
      <c r="N35" s="3">
        <f t="shared" si="1"/>
        <v>13143006</v>
      </c>
      <c r="O35" s="1" t="s">
        <v>247</v>
      </c>
    </row>
    <row r="36" spans="1:15" x14ac:dyDescent="0.15">
      <c r="A36" s="1">
        <v>2004</v>
      </c>
      <c r="B36" s="3">
        <v>11736680</v>
      </c>
      <c r="C36" s="3">
        <v>0</v>
      </c>
      <c r="D36" s="3">
        <v>0</v>
      </c>
      <c r="E36" s="3">
        <v>823853</v>
      </c>
      <c r="F36" s="3">
        <v>0</v>
      </c>
      <c r="G36" s="3">
        <v>0</v>
      </c>
      <c r="H36" s="3">
        <v>0</v>
      </c>
      <c r="I36" s="3">
        <v>0</v>
      </c>
      <c r="J36" s="3">
        <v>0</v>
      </c>
      <c r="K36" s="3">
        <v>12560533</v>
      </c>
      <c r="L36" s="3">
        <v>0</v>
      </c>
      <c r="M36" s="3">
        <v>0</v>
      </c>
      <c r="N36" s="3">
        <v>12560533</v>
      </c>
    </row>
    <row r="37" spans="1:15" x14ac:dyDescent="0.15">
      <c r="A37" s="1">
        <v>2005</v>
      </c>
      <c r="B37" s="3">
        <v>11525279</v>
      </c>
      <c r="C37" s="3">
        <v>0</v>
      </c>
      <c r="D37" s="3">
        <v>0</v>
      </c>
      <c r="E37" s="3">
        <v>1083397</v>
      </c>
      <c r="F37" s="3">
        <v>375000</v>
      </c>
      <c r="G37" s="3">
        <v>0</v>
      </c>
      <c r="H37" s="3">
        <v>0</v>
      </c>
      <c r="I37" s="3">
        <v>0</v>
      </c>
      <c r="J37" s="3">
        <v>0</v>
      </c>
      <c r="K37" s="3">
        <v>12608676</v>
      </c>
      <c r="L37" s="3">
        <v>375000</v>
      </c>
      <c r="M37" s="3">
        <v>0</v>
      </c>
      <c r="N37" s="3">
        <v>12983676</v>
      </c>
    </row>
    <row r="38" spans="1:15" x14ac:dyDescent="0.15">
      <c r="A38" s="1">
        <v>2006</v>
      </c>
      <c r="B38" s="3">
        <v>11120696</v>
      </c>
      <c r="C38" s="3">
        <v>0</v>
      </c>
      <c r="D38" s="3">
        <v>0</v>
      </c>
      <c r="E38" s="3">
        <v>2265970</v>
      </c>
      <c r="F38" s="3">
        <v>0</v>
      </c>
      <c r="G38" s="3">
        <v>0</v>
      </c>
      <c r="H38" s="3">
        <v>0</v>
      </c>
      <c r="I38" s="3">
        <v>0</v>
      </c>
      <c r="J38" s="3">
        <v>0</v>
      </c>
      <c r="K38" s="3">
        <v>13386666</v>
      </c>
      <c r="L38" s="3">
        <v>0</v>
      </c>
      <c r="M38" s="3">
        <v>0</v>
      </c>
      <c r="N38" s="3">
        <v>13386666</v>
      </c>
      <c r="O38" s="1" t="s">
        <v>275</v>
      </c>
    </row>
    <row r="39" spans="1:15" x14ac:dyDescent="0.15">
      <c r="A39" s="1">
        <v>2007</v>
      </c>
      <c r="B39" s="3">
        <v>15555534</v>
      </c>
      <c r="C39" s="3">
        <v>0</v>
      </c>
      <c r="D39" s="3">
        <v>0</v>
      </c>
      <c r="E39" s="3">
        <v>0</v>
      </c>
      <c r="F39" s="3">
        <v>0</v>
      </c>
      <c r="G39" s="3">
        <v>0</v>
      </c>
      <c r="H39" s="3">
        <v>0</v>
      </c>
      <c r="I39" s="3">
        <v>0</v>
      </c>
      <c r="J39" s="3">
        <v>0</v>
      </c>
      <c r="K39" s="3">
        <v>15555534</v>
      </c>
      <c r="L39" s="3">
        <v>0</v>
      </c>
      <c r="M39" s="3">
        <v>0</v>
      </c>
      <c r="N39" s="3">
        <v>15555534</v>
      </c>
    </row>
    <row r="40" spans="1:15" x14ac:dyDescent="0.15">
      <c r="A40" s="1">
        <v>2008</v>
      </c>
      <c r="B40" s="3">
        <v>17915925</v>
      </c>
      <c r="C40" s="3">
        <v>0</v>
      </c>
      <c r="D40" s="3">
        <v>0</v>
      </c>
      <c r="E40" s="3">
        <v>0</v>
      </c>
      <c r="F40" s="3">
        <v>0</v>
      </c>
      <c r="G40" s="3">
        <v>0</v>
      </c>
      <c r="H40" s="3">
        <v>0</v>
      </c>
      <c r="I40" s="3">
        <v>0</v>
      </c>
      <c r="J40" s="3">
        <v>0</v>
      </c>
      <c r="K40" s="3">
        <v>17915925</v>
      </c>
      <c r="L40" s="3">
        <v>0</v>
      </c>
      <c r="M40" s="3">
        <v>0</v>
      </c>
      <c r="N40" s="3">
        <v>17915925</v>
      </c>
    </row>
    <row r="41" spans="1:15" x14ac:dyDescent="0.15">
      <c r="A41" s="1">
        <v>2009</v>
      </c>
      <c r="B41" s="3">
        <v>16289947</v>
      </c>
      <c r="C41" s="3">
        <v>0</v>
      </c>
      <c r="D41" s="3">
        <v>0</v>
      </c>
      <c r="E41" s="3">
        <v>0</v>
      </c>
      <c r="F41" s="3">
        <v>0</v>
      </c>
      <c r="G41" s="3">
        <v>0</v>
      </c>
      <c r="H41" s="3">
        <v>0</v>
      </c>
      <c r="I41" s="3">
        <v>0</v>
      </c>
      <c r="J41" s="3">
        <v>0</v>
      </c>
      <c r="K41" s="3">
        <v>16289947</v>
      </c>
      <c r="L41" s="3">
        <v>0</v>
      </c>
      <c r="M41" s="3">
        <v>0</v>
      </c>
      <c r="N41" s="3">
        <v>16289947</v>
      </c>
    </row>
    <row r="42" spans="1:15" x14ac:dyDescent="0.15">
      <c r="A42" s="1">
        <v>2010</v>
      </c>
      <c r="B42" s="3">
        <v>13720134</v>
      </c>
      <c r="C42" s="3">
        <v>0</v>
      </c>
      <c r="D42" s="3">
        <v>0</v>
      </c>
      <c r="E42" s="3">
        <v>0</v>
      </c>
      <c r="F42" s="3">
        <v>0</v>
      </c>
      <c r="G42" s="3">
        <v>0</v>
      </c>
      <c r="H42" s="3">
        <v>0</v>
      </c>
      <c r="I42" s="3">
        <v>0</v>
      </c>
      <c r="J42" s="3">
        <v>0</v>
      </c>
      <c r="K42" s="3">
        <v>13720134</v>
      </c>
      <c r="L42" s="3">
        <v>0</v>
      </c>
      <c r="M42" s="3">
        <v>0</v>
      </c>
      <c r="N42" s="3">
        <v>13720134</v>
      </c>
    </row>
    <row r="43" spans="1:15" x14ac:dyDescent="0.15">
      <c r="A43" s="1">
        <v>2011</v>
      </c>
      <c r="B43" s="3">
        <v>15229971</v>
      </c>
      <c r="C43" s="3">
        <v>0</v>
      </c>
      <c r="D43" s="3">
        <v>0</v>
      </c>
      <c r="E43" s="3">
        <v>0</v>
      </c>
      <c r="F43" s="3">
        <v>0</v>
      </c>
      <c r="G43" s="3">
        <v>0</v>
      </c>
      <c r="H43" s="3">
        <v>0</v>
      </c>
      <c r="I43" s="3">
        <v>0</v>
      </c>
      <c r="J43" s="3">
        <v>0</v>
      </c>
      <c r="K43" s="3">
        <v>15229971</v>
      </c>
      <c r="L43" s="3">
        <v>0</v>
      </c>
      <c r="M43" s="3">
        <v>0</v>
      </c>
      <c r="N43" s="3">
        <v>15229971</v>
      </c>
    </row>
    <row r="44" spans="1:15" x14ac:dyDescent="0.15">
      <c r="A44" s="1">
        <v>2012</v>
      </c>
      <c r="B44" s="3">
        <v>15439583</v>
      </c>
      <c r="C44" s="3">
        <v>0</v>
      </c>
      <c r="D44" s="3">
        <v>0</v>
      </c>
      <c r="E44" s="3">
        <v>0</v>
      </c>
      <c r="F44" s="3">
        <v>0</v>
      </c>
      <c r="G44" s="3">
        <v>0</v>
      </c>
      <c r="H44" s="3">
        <v>0</v>
      </c>
      <c r="I44" s="3">
        <v>0</v>
      </c>
      <c r="J44" s="3">
        <v>0</v>
      </c>
      <c r="K44" s="3">
        <v>15439583</v>
      </c>
      <c r="L44" s="3">
        <v>0</v>
      </c>
      <c r="M44" s="3">
        <v>0</v>
      </c>
      <c r="N44" s="3">
        <v>15439583</v>
      </c>
    </row>
    <row r="45" spans="1:15" x14ac:dyDescent="0.15">
      <c r="A45" s="1">
        <v>2013</v>
      </c>
      <c r="B45" s="3">
        <v>16407353</v>
      </c>
      <c r="C45" s="3">
        <v>0</v>
      </c>
      <c r="D45" s="3">
        <v>0</v>
      </c>
      <c r="E45" s="3">
        <v>0</v>
      </c>
      <c r="F45" s="3">
        <v>0</v>
      </c>
      <c r="G45" s="3">
        <v>0</v>
      </c>
      <c r="H45" s="3">
        <v>0</v>
      </c>
      <c r="I45" s="3">
        <v>0</v>
      </c>
      <c r="J45" s="3">
        <v>0</v>
      </c>
      <c r="K45" s="3">
        <v>16407353</v>
      </c>
      <c r="L45" s="3">
        <v>0</v>
      </c>
      <c r="M45" s="3">
        <v>0</v>
      </c>
      <c r="N45" s="3">
        <v>16407353</v>
      </c>
    </row>
    <row r="46" spans="1:15" x14ac:dyDescent="0.15">
      <c r="A46" s="1">
        <v>2014</v>
      </c>
      <c r="B46" s="3">
        <v>12064759</v>
      </c>
      <c r="C46" s="3">
        <v>0</v>
      </c>
      <c r="D46" s="3">
        <v>0</v>
      </c>
      <c r="E46" s="3">
        <v>0</v>
      </c>
      <c r="F46" s="3">
        <v>0</v>
      </c>
      <c r="G46" s="3">
        <v>0</v>
      </c>
      <c r="H46" s="3">
        <v>0</v>
      </c>
      <c r="I46" s="3">
        <v>0</v>
      </c>
      <c r="J46" s="3">
        <v>0</v>
      </c>
      <c r="K46" s="3">
        <v>12064759</v>
      </c>
      <c r="L46" s="3">
        <v>0</v>
      </c>
      <c r="M46" s="3">
        <v>0</v>
      </c>
      <c r="N46" s="3">
        <v>12064759</v>
      </c>
    </row>
    <row r="47" spans="1:15" x14ac:dyDescent="0.15">
      <c r="A47" s="1">
        <v>2015</v>
      </c>
      <c r="B47" s="3">
        <v>14008575</v>
      </c>
      <c r="C47" s="3">
        <v>0</v>
      </c>
      <c r="D47" s="3">
        <v>0</v>
      </c>
      <c r="E47" s="3">
        <v>0</v>
      </c>
      <c r="F47" s="3">
        <v>0</v>
      </c>
      <c r="G47" s="3">
        <v>0</v>
      </c>
      <c r="H47" s="3">
        <v>0</v>
      </c>
      <c r="I47" s="3">
        <v>0</v>
      </c>
      <c r="J47" s="3">
        <v>0</v>
      </c>
      <c r="K47" s="3">
        <v>14008575</v>
      </c>
      <c r="L47" s="3">
        <v>0</v>
      </c>
      <c r="M47" s="3">
        <v>0</v>
      </c>
      <c r="N47" s="3">
        <v>14008575</v>
      </c>
    </row>
    <row r="48" spans="1:15" x14ac:dyDescent="0.15">
      <c r="A48" s="1">
        <v>2016</v>
      </c>
      <c r="B48" s="3">
        <v>18327711</v>
      </c>
      <c r="C48" s="3">
        <v>0</v>
      </c>
      <c r="D48" s="3">
        <v>0</v>
      </c>
      <c r="E48" s="3">
        <v>0</v>
      </c>
      <c r="F48" s="3">
        <v>0</v>
      </c>
      <c r="G48" s="3">
        <v>0</v>
      </c>
      <c r="H48" s="3">
        <v>0</v>
      </c>
      <c r="I48" s="3">
        <v>0</v>
      </c>
      <c r="J48" s="3">
        <v>0</v>
      </c>
      <c r="K48" s="3">
        <v>18327711</v>
      </c>
      <c r="L48" s="3">
        <v>0</v>
      </c>
      <c r="M48" s="3">
        <v>0</v>
      </c>
      <c r="N48" s="3">
        <v>18327711</v>
      </c>
    </row>
  </sheetData>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0" width="10.625" style="1"/>
    <col min="11" max="11" width="12.125" style="1" customWidth="1"/>
    <col min="12" max="13" width="10.625" style="1"/>
    <col min="14" max="14" width="11.375" style="1" customWidth="1"/>
    <col min="15" max="16384" width="10.625" style="1"/>
  </cols>
  <sheetData>
    <row r="1" spans="1:15" x14ac:dyDescent="0.15">
      <c r="A1" s="1" t="s">
        <v>33</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327300</v>
      </c>
      <c r="C6" s="3">
        <v>0</v>
      </c>
      <c r="D6" s="3">
        <v>0</v>
      </c>
      <c r="E6" s="3">
        <v>0</v>
      </c>
      <c r="F6" s="3">
        <v>0</v>
      </c>
      <c r="G6" s="3">
        <v>0</v>
      </c>
      <c r="H6" s="3">
        <v>0</v>
      </c>
      <c r="I6" s="3">
        <v>0</v>
      </c>
      <c r="J6" s="3">
        <v>0</v>
      </c>
      <c r="K6" s="3">
        <f t="shared" ref="K6:M21" si="0">+B6+E6+H6</f>
        <v>327300</v>
      </c>
      <c r="L6" s="3">
        <f t="shared" si="0"/>
        <v>0</v>
      </c>
      <c r="M6" s="3">
        <f t="shared" si="0"/>
        <v>0</v>
      </c>
      <c r="N6" s="3">
        <f t="shared" ref="N6:N35" si="1">+M6+L6+K6</f>
        <v>327300</v>
      </c>
      <c r="O6" s="1" t="s">
        <v>43</v>
      </c>
    </row>
    <row r="7" spans="1:15" x14ac:dyDescent="0.15">
      <c r="A7" s="1">
        <v>1975</v>
      </c>
      <c r="B7" s="3">
        <v>1300000</v>
      </c>
      <c r="C7" s="3">
        <v>0</v>
      </c>
      <c r="D7" s="3">
        <v>0</v>
      </c>
      <c r="E7" s="3">
        <v>0</v>
      </c>
      <c r="F7" s="3">
        <v>0</v>
      </c>
      <c r="G7" s="3">
        <v>0</v>
      </c>
      <c r="H7" s="3">
        <v>0</v>
      </c>
      <c r="I7" s="3">
        <v>0</v>
      </c>
      <c r="J7" s="3">
        <v>0</v>
      </c>
      <c r="K7" s="3">
        <f t="shared" si="0"/>
        <v>1300000</v>
      </c>
      <c r="L7" s="3">
        <f t="shared" si="0"/>
        <v>0</v>
      </c>
      <c r="M7" s="3">
        <f t="shared" si="0"/>
        <v>0</v>
      </c>
      <c r="N7" s="3">
        <f t="shared" si="1"/>
        <v>1300000</v>
      </c>
    </row>
    <row r="8" spans="1:15" x14ac:dyDescent="0.15">
      <c r="A8" s="1">
        <v>1976</v>
      </c>
      <c r="B8" s="3">
        <v>1340000</v>
      </c>
      <c r="C8" s="3">
        <v>0</v>
      </c>
      <c r="D8" s="3">
        <v>0</v>
      </c>
      <c r="E8" s="3">
        <v>0</v>
      </c>
      <c r="F8" s="3">
        <v>0</v>
      </c>
      <c r="G8" s="3">
        <v>0</v>
      </c>
      <c r="H8" s="3">
        <v>0</v>
      </c>
      <c r="I8" s="3">
        <v>0</v>
      </c>
      <c r="J8" s="3">
        <v>0</v>
      </c>
      <c r="K8" s="3">
        <f t="shared" si="0"/>
        <v>1340000</v>
      </c>
      <c r="L8" s="3">
        <f t="shared" si="0"/>
        <v>0</v>
      </c>
      <c r="M8" s="3">
        <f t="shared" si="0"/>
        <v>0</v>
      </c>
      <c r="N8" s="3">
        <f t="shared" si="1"/>
        <v>1340000</v>
      </c>
    </row>
    <row r="9" spans="1:15" x14ac:dyDescent="0.15">
      <c r="A9" s="1">
        <v>1977</v>
      </c>
      <c r="B9" s="3">
        <v>1729000</v>
      </c>
      <c r="C9" s="3">
        <v>0</v>
      </c>
      <c r="D9" s="3">
        <v>0</v>
      </c>
      <c r="E9" s="3">
        <v>0</v>
      </c>
      <c r="F9" s="3">
        <v>0</v>
      </c>
      <c r="G9" s="3">
        <v>0</v>
      </c>
      <c r="H9" s="3">
        <v>0</v>
      </c>
      <c r="I9" s="3">
        <v>0</v>
      </c>
      <c r="J9" s="3">
        <v>0</v>
      </c>
      <c r="K9" s="3">
        <f t="shared" si="0"/>
        <v>1729000</v>
      </c>
      <c r="L9" s="3">
        <f t="shared" si="0"/>
        <v>0</v>
      </c>
      <c r="M9" s="3">
        <f t="shared" si="0"/>
        <v>0</v>
      </c>
      <c r="N9" s="3">
        <f t="shared" si="1"/>
        <v>1729000</v>
      </c>
    </row>
    <row r="10" spans="1:15" x14ac:dyDescent="0.15">
      <c r="A10" s="1">
        <v>1978</v>
      </c>
      <c r="B10" s="3">
        <v>2117000</v>
      </c>
      <c r="C10" s="3">
        <v>0</v>
      </c>
      <c r="D10" s="3">
        <v>0</v>
      </c>
      <c r="E10" s="3">
        <v>2372000</v>
      </c>
      <c r="F10" s="3">
        <v>0</v>
      </c>
      <c r="G10" s="3">
        <v>0</v>
      </c>
      <c r="H10" s="3">
        <v>0</v>
      </c>
      <c r="I10" s="3">
        <v>0</v>
      </c>
      <c r="J10" s="3">
        <v>0</v>
      </c>
      <c r="K10" s="3">
        <f t="shared" si="0"/>
        <v>4489000</v>
      </c>
      <c r="L10" s="3">
        <f t="shared" si="0"/>
        <v>0</v>
      </c>
      <c r="M10" s="3">
        <f t="shared" si="0"/>
        <v>0</v>
      </c>
      <c r="N10" s="3">
        <f t="shared" si="1"/>
        <v>4489000</v>
      </c>
    </row>
    <row r="11" spans="1:15" x14ac:dyDescent="0.15">
      <c r="A11" s="1">
        <v>1979</v>
      </c>
      <c r="B11" s="3">
        <v>2316000</v>
      </c>
      <c r="C11" s="3">
        <v>0</v>
      </c>
      <c r="D11" s="3">
        <v>0</v>
      </c>
      <c r="E11" s="3">
        <v>2622000</v>
      </c>
      <c r="F11" s="3">
        <v>0</v>
      </c>
      <c r="G11" s="3">
        <v>0</v>
      </c>
      <c r="H11" s="3">
        <v>0</v>
      </c>
      <c r="I11" s="3">
        <v>0</v>
      </c>
      <c r="J11" s="3">
        <v>0</v>
      </c>
      <c r="K11" s="3">
        <f t="shared" si="0"/>
        <v>4938000</v>
      </c>
      <c r="L11" s="3">
        <f t="shared" si="0"/>
        <v>0</v>
      </c>
      <c r="M11" s="3">
        <f t="shared" si="0"/>
        <v>0</v>
      </c>
      <c r="N11" s="3">
        <f t="shared" si="1"/>
        <v>4938000</v>
      </c>
    </row>
    <row r="12" spans="1:15" x14ac:dyDescent="0.15">
      <c r="A12" s="1">
        <v>1980</v>
      </c>
      <c r="B12" s="3">
        <v>2823000</v>
      </c>
      <c r="C12" s="3">
        <v>0</v>
      </c>
      <c r="D12" s="3">
        <v>0</v>
      </c>
      <c r="E12" s="3">
        <f>2633000+96000</f>
        <v>2729000</v>
      </c>
      <c r="F12" s="3">
        <v>0</v>
      </c>
      <c r="G12" s="3">
        <v>0</v>
      </c>
      <c r="H12" s="3">
        <v>0</v>
      </c>
      <c r="I12" s="3">
        <v>0</v>
      </c>
      <c r="J12" s="3">
        <v>0</v>
      </c>
      <c r="K12" s="3">
        <f t="shared" si="0"/>
        <v>5552000</v>
      </c>
      <c r="L12" s="3">
        <f t="shared" si="0"/>
        <v>0</v>
      </c>
      <c r="M12" s="3">
        <f t="shared" si="0"/>
        <v>0</v>
      </c>
      <c r="N12" s="3">
        <f t="shared" si="1"/>
        <v>5552000</v>
      </c>
    </row>
    <row r="13" spans="1:15" x14ac:dyDescent="0.15">
      <c r="A13" s="1">
        <v>1981</v>
      </c>
      <c r="B13" s="3">
        <v>3044000</v>
      </c>
      <c r="C13" s="3">
        <v>0</v>
      </c>
      <c r="D13" s="3">
        <v>0</v>
      </c>
      <c r="E13" s="3">
        <f>2598000+99000</f>
        <v>2697000</v>
      </c>
      <c r="F13" s="3">
        <v>0</v>
      </c>
      <c r="G13" s="3">
        <v>0</v>
      </c>
      <c r="H13" s="3">
        <v>0</v>
      </c>
      <c r="I13" s="3">
        <v>0</v>
      </c>
      <c r="J13" s="3">
        <v>0</v>
      </c>
      <c r="K13" s="3">
        <f t="shared" si="0"/>
        <v>5741000</v>
      </c>
      <c r="L13" s="3">
        <f t="shared" si="0"/>
        <v>0</v>
      </c>
      <c r="M13" s="3">
        <f t="shared" si="0"/>
        <v>0</v>
      </c>
      <c r="N13" s="3">
        <f t="shared" si="1"/>
        <v>5741000</v>
      </c>
    </row>
    <row r="14" spans="1:15" x14ac:dyDescent="0.15">
      <c r="A14" s="1">
        <v>1982</v>
      </c>
      <c r="B14" s="3">
        <v>3125000</v>
      </c>
      <c r="C14" s="3">
        <v>0</v>
      </c>
      <c r="D14" s="3">
        <v>0</v>
      </c>
      <c r="E14" s="3">
        <f>2668000+100000+22000+6000</f>
        <v>2796000</v>
      </c>
      <c r="F14" s="3">
        <f>54000+33000+150000+30000</f>
        <v>267000</v>
      </c>
      <c r="G14" s="3">
        <v>0</v>
      </c>
      <c r="H14" s="3">
        <v>989000</v>
      </c>
      <c r="I14" s="3">
        <v>0</v>
      </c>
      <c r="J14" s="3">
        <v>0</v>
      </c>
      <c r="K14" s="3">
        <f t="shared" si="0"/>
        <v>6910000</v>
      </c>
      <c r="L14" s="3">
        <f t="shared" si="0"/>
        <v>267000</v>
      </c>
      <c r="M14" s="3">
        <f t="shared" si="0"/>
        <v>0</v>
      </c>
      <c r="N14" s="3">
        <f t="shared" si="1"/>
        <v>7177000</v>
      </c>
    </row>
    <row r="15" spans="1:15" x14ac:dyDescent="0.15">
      <c r="A15" s="1">
        <v>1983</v>
      </c>
      <c r="B15" s="3">
        <v>3100000</v>
      </c>
      <c r="C15" s="3">
        <v>0</v>
      </c>
      <c r="D15" s="3">
        <v>0</v>
      </c>
      <c r="E15" s="3">
        <f>2675000+100000+5000+6000</f>
        <v>2786000</v>
      </c>
      <c r="F15" s="3">
        <f>55000+33000+150000+60000</f>
        <v>298000</v>
      </c>
      <c r="G15" s="3">
        <v>0</v>
      </c>
      <c r="H15" s="3">
        <v>1204000</v>
      </c>
      <c r="I15" s="3">
        <v>0</v>
      </c>
      <c r="J15" s="3">
        <v>0</v>
      </c>
      <c r="K15" s="3">
        <f t="shared" si="0"/>
        <v>7090000</v>
      </c>
      <c r="L15" s="3">
        <f t="shared" si="0"/>
        <v>298000</v>
      </c>
      <c r="M15" s="3">
        <f t="shared" si="0"/>
        <v>0</v>
      </c>
      <c r="N15" s="3">
        <f t="shared" si="1"/>
        <v>7388000</v>
      </c>
    </row>
    <row r="16" spans="1:15" x14ac:dyDescent="0.15">
      <c r="A16" s="1">
        <v>1984</v>
      </c>
      <c r="B16" s="3">
        <v>2800000</v>
      </c>
      <c r="C16" s="3">
        <v>0</v>
      </c>
      <c r="D16" s="3">
        <v>0</v>
      </c>
      <c r="E16" s="3">
        <f>2619000+100000+6000</f>
        <v>2725000</v>
      </c>
      <c r="F16" s="3">
        <v>256000</v>
      </c>
      <c r="G16" s="3">
        <v>0</v>
      </c>
      <c r="H16" s="3">
        <v>1271000</v>
      </c>
      <c r="I16" s="3">
        <v>15000</v>
      </c>
      <c r="J16" s="3">
        <v>0</v>
      </c>
      <c r="K16" s="3">
        <f t="shared" si="0"/>
        <v>6796000</v>
      </c>
      <c r="L16" s="3">
        <f t="shared" si="0"/>
        <v>271000</v>
      </c>
      <c r="M16" s="3">
        <f t="shared" si="0"/>
        <v>0</v>
      </c>
      <c r="N16" s="3">
        <f t="shared" si="1"/>
        <v>7067000</v>
      </c>
    </row>
    <row r="17" spans="1:15" x14ac:dyDescent="0.15">
      <c r="A17" s="1">
        <v>1985</v>
      </c>
      <c r="B17" s="3">
        <v>4648000</v>
      </c>
      <c r="C17" s="3">
        <v>0</v>
      </c>
      <c r="D17" s="3">
        <v>0</v>
      </c>
      <c r="E17" s="3">
        <f>2508000+200000+5000</f>
        <v>2713000</v>
      </c>
      <c r="F17" s="3">
        <v>399000</v>
      </c>
      <c r="G17" s="3">
        <v>0</v>
      </c>
      <c r="H17" s="3">
        <v>1425000</v>
      </c>
      <c r="I17" s="3">
        <v>39000</v>
      </c>
      <c r="J17" s="3">
        <v>0</v>
      </c>
      <c r="K17" s="3">
        <f t="shared" si="0"/>
        <v>8786000</v>
      </c>
      <c r="L17" s="3">
        <f t="shared" si="0"/>
        <v>438000</v>
      </c>
      <c r="M17" s="3">
        <f t="shared" si="0"/>
        <v>0</v>
      </c>
      <c r="N17" s="3">
        <f t="shared" si="1"/>
        <v>9224000</v>
      </c>
    </row>
    <row r="18" spans="1:15" x14ac:dyDescent="0.15">
      <c r="A18" s="1">
        <v>1986</v>
      </c>
      <c r="B18" s="3">
        <v>4648000</v>
      </c>
      <c r="C18" s="3">
        <v>0</v>
      </c>
      <c r="D18" s="3">
        <v>0</v>
      </c>
      <c r="E18" s="3">
        <f>2508000+200000+5000</f>
        <v>2713000</v>
      </c>
      <c r="F18" s="3">
        <v>399000</v>
      </c>
      <c r="G18" s="3">
        <v>0</v>
      </c>
      <c r="H18" s="3">
        <v>1425000</v>
      </c>
      <c r="I18" s="3">
        <v>39000</v>
      </c>
      <c r="J18" s="3">
        <v>0</v>
      </c>
      <c r="K18" s="3">
        <f t="shared" si="0"/>
        <v>8786000</v>
      </c>
      <c r="L18" s="3">
        <f t="shared" si="0"/>
        <v>438000</v>
      </c>
      <c r="M18" s="3">
        <f t="shared" si="0"/>
        <v>0</v>
      </c>
      <c r="N18" s="3">
        <f t="shared" si="1"/>
        <v>9224000</v>
      </c>
      <c r="O18" s="1" t="s">
        <v>146</v>
      </c>
    </row>
    <row r="19" spans="1:15" x14ac:dyDescent="0.15">
      <c r="A19" s="1">
        <v>1987</v>
      </c>
      <c r="B19" s="3">
        <v>5019000</v>
      </c>
      <c r="C19" s="3">
        <v>0</v>
      </c>
      <c r="D19" s="3">
        <v>0</v>
      </c>
      <c r="E19" s="3">
        <f>1990000+200000+5000</f>
        <v>2195000</v>
      </c>
      <c r="F19" s="3">
        <v>941000</v>
      </c>
      <c r="G19" s="3">
        <v>0</v>
      </c>
      <c r="H19" s="3">
        <v>1560000</v>
      </c>
      <c r="I19" s="3">
        <v>141000</v>
      </c>
      <c r="J19" s="3">
        <v>0</v>
      </c>
      <c r="K19" s="3">
        <f t="shared" si="0"/>
        <v>8774000</v>
      </c>
      <c r="L19" s="3">
        <f t="shared" si="0"/>
        <v>1082000</v>
      </c>
      <c r="M19" s="3">
        <f t="shared" si="0"/>
        <v>0</v>
      </c>
      <c r="N19" s="3">
        <f t="shared" si="1"/>
        <v>9856000</v>
      </c>
    </row>
    <row r="20" spans="1:15" x14ac:dyDescent="0.15">
      <c r="A20" s="1">
        <v>1988</v>
      </c>
      <c r="B20" s="3">
        <v>5177000</v>
      </c>
      <c r="C20" s="3">
        <v>0</v>
      </c>
      <c r="D20" s="3">
        <v>0</v>
      </c>
      <c r="E20" s="3">
        <f>2671000+200000+3000+1000000</f>
        <v>3874000</v>
      </c>
      <c r="F20" s="3">
        <v>243000</v>
      </c>
      <c r="G20" s="3">
        <v>0</v>
      </c>
      <c r="H20" s="3">
        <v>2671000</v>
      </c>
      <c r="I20" s="3">
        <v>11000</v>
      </c>
      <c r="J20" s="3">
        <v>0</v>
      </c>
      <c r="K20" s="3">
        <f t="shared" si="0"/>
        <v>11722000</v>
      </c>
      <c r="L20" s="3">
        <f t="shared" si="0"/>
        <v>254000</v>
      </c>
      <c r="M20" s="3">
        <f t="shared" si="0"/>
        <v>0</v>
      </c>
      <c r="N20" s="3">
        <f t="shared" si="1"/>
        <v>11976000</v>
      </c>
    </row>
    <row r="21" spans="1:15" x14ac:dyDescent="0.15">
      <c r="A21" s="1">
        <v>1989</v>
      </c>
      <c r="B21" s="3">
        <v>9639000</v>
      </c>
      <c r="C21" s="3">
        <v>0</v>
      </c>
      <c r="D21" s="3">
        <v>0</v>
      </c>
      <c r="E21" s="3">
        <f>2872000+200000+3000+15000</f>
        <v>3090000</v>
      </c>
      <c r="F21" s="3">
        <v>269000</v>
      </c>
      <c r="G21" s="3">
        <v>0</v>
      </c>
      <c r="H21" s="3">
        <v>4573000</v>
      </c>
      <c r="I21" s="3">
        <v>61000</v>
      </c>
      <c r="J21" s="3">
        <v>0</v>
      </c>
      <c r="K21" s="3">
        <f t="shared" si="0"/>
        <v>17302000</v>
      </c>
      <c r="L21" s="3">
        <f t="shared" si="0"/>
        <v>330000</v>
      </c>
      <c r="M21" s="3">
        <f t="shared" si="0"/>
        <v>0</v>
      </c>
      <c r="N21" s="3">
        <f t="shared" si="1"/>
        <v>17632000</v>
      </c>
    </row>
    <row r="22" spans="1:15" x14ac:dyDescent="0.15">
      <c r="A22" s="1">
        <v>1990</v>
      </c>
      <c r="B22" s="3">
        <v>11639000</v>
      </c>
      <c r="C22" s="3">
        <v>0</v>
      </c>
      <c r="D22" s="3">
        <v>0</v>
      </c>
      <c r="E22" s="3">
        <f>3328000+200000+3000+15000</f>
        <v>3546000</v>
      </c>
      <c r="F22" s="3">
        <v>283000</v>
      </c>
      <c r="G22" s="3">
        <v>0</v>
      </c>
      <c r="H22" s="3">
        <v>5803000</v>
      </c>
      <c r="I22" s="3">
        <v>96000</v>
      </c>
      <c r="J22" s="3">
        <v>0</v>
      </c>
      <c r="K22" s="3">
        <f t="shared" ref="K22:M35" si="2">+B22+E22+H22</f>
        <v>20988000</v>
      </c>
      <c r="L22" s="3">
        <f t="shared" si="2"/>
        <v>379000</v>
      </c>
      <c r="M22" s="3">
        <f t="shared" si="2"/>
        <v>0</v>
      </c>
      <c r="N22" s="3">
        <f t="shared" si="1"/>
        <v>21367000</v>
      </c>
    </row>
    <row r="23" spans="1:15" x14ac:dyDescent="0.15">
      <c r="A23" s="1">
        <v>1991</v>
      </c>
      <c r="B23" s="3">
        <v>11391000</v>
      </c>
      <c r="C23" s="3">
        <v>0</v>
      </c>
      <c r="D23" s="3">
        <v>0</v>
      </c>
      <c r="E23" s="3">
        <f>3469000+200000+16000</f>
        <v>3685000</v>
      </c>
      <c r="F23" s="3">
        <v>593000</v>
      </c>
      <c r="G23" s="3">
        <v>0</v>
      </c>
      <c r="H23" s="3">
        <v>4989000</v>
      </c>
      <c r="I23" s="3">
        <v>121000</v>
      </c>
      <c r="J23" s="3">
        <v>0</v>
      </c>
      <c r="K23" s="3">
        <f t="shared" si="2"/>
        <v>20065000</v>
      </c>
      <c r="L23" s="3">
        <f t="shared" si="2"/>
        <v>714000</v>
      </c>
      <c r="M23" s="3">
        <f t="shared" si="2"/>
        <v>0</v>
      </c>
      <c r="N23" s="3">
        <f t="shared" si="1"/>
        <v>20779000</v>
      </c>
    </row>
    <row r="24" spans="1:15" x14ac:dyDescent="0.15">
      <c r="A24" s="1">
        <v>1992</v>
      </c>
      <c r="B24" s="3">
        <v>11371000</v>
      </c>
      <c r="C24" s="3">
        <v>0</v>
      </c>
      <c r="D24" s="3">
        <v>0</v>
      </c>
      <c r="E24" s="3">
        <f>4828000+200000+12000</f>
        <v>5040000</v>
      </c>
      <c r="F24" s="3">
        <v>241000</v>
      </c>
      <c r="G24" s="3">
        <v>0</v>
      </c>
      <c r="H24" s="3">
        <v>5424000</v>
      </c>
      <c r="I24" s="3">
        <v>25000</v>
      </c>
      <c r="J24" s="3">
        <v>0</v>
      </c>
      <c r="K24" s="3">
        <f t="shared" si="2"/>
        <v>21835000</v>
      </c>
      <c r="L24" s="3">
        <f t="shared" si="2"/>
        <v>266000</v>
      </c>
      <c r="M24" s="3">
        <f t="shared" si="2"/>
        <v>0</v>
      </c>
      <c r="N24" s="3">
        <f t="shared" si="1"/>
        <v>22101000</v>
      </c>
    </row>
    <row r="25" spans="1:15" x14ac:dyDescent="0.15">
      <c r="A25" s="1">
        <v>1993</v>
      </c>
      <c r="B25" s="3">
        <v>14714000</v>
      </c>
      <c r="C25" s="3">
        <v>0</v>
      </c>
      <c r="D25" s="3">
        <v>0</v>
      </c>
      <c r="E25" s="3">
        <f>5912000+200000+2000</f>
        <v>6114000</v>
      </c>
      <c r="F25" s="3">
        <v>274000</v>
      </c>
      <c r="G25" s="3">
        <v>0</v>
      </c>
      <c r="H25" s="3">
        <v>5681000</v>
      </c>
      <c r="I25" s="3">
        <v>42000</v>
      </c>
      <c r="J25" s="3">
        <v>0</v>
      </c>
      <c r="K25" s="3">
        <f t="shared" si="2"/>
        <v>26509000</v>
      </c>
      <c r="L25" s="3">
        <f t="shared" si="2"/>
        <v>316000</v>
      </c>
      <c r="M25" s="3">
        <f t="shared" si="2"/>
        <v>0</v>
      </c>
      <c r="N25" s="3">
        <f t="shared" si="1"/>
        <v>26825000</v>
      </c>
    </row>
    <row r="26" spans="1:15" x14ac:dyDescent="0.15">
      <c r="A26" s="1">
        <v>1994</v>
      </c>
      <c r="B26" s="3">
        <v>16161000</v>
      </c>
      <c r="C26" s="3">
        <v>0</v>
      </c>
      <c r="D26" s="3">
        <v>0</v>
      </c>
      <c r="E26" s="3">
        <f>6596000+200000+6000+750000</f>
        <v>7552000</v>
      </c>
      <c r="F26" s="3">
        <v>299000</v>
      </c>
      <c r="G26" s="3">
        <v>0</v>
      </c>
      <c r="H26" s="3">
        <v>6092000</v>
      </c>
      <c r="I26" s="3">
        <v>47000</v>
      </c>
      <c r="J26" s="3">
        <v>0</v>
      </c>
      <c r="K26" s="3">
        <f t="shared" si="2"/>
        <v>29805000</v>
      </c>
      <c r="L26" s="3">
        <f t="shared" si="2"/>
        <v>346000</v>
      </c>
      <c r="M26" s="3">
        <f t="shared" si="2"/>
        <v>0</v>
      </c>
      <c r="N26" s="3">
        <f t="shared" si="1"/>
        <v>30151000</v>
      </c>
    </row>
    <row r="27" spans="1:15" x14ac:dyDescent="0.15">
      <c r="A27" s="1">
        <v>1995</v>
      </c>
      <c r="B27" s="3">
        <v>18268698</v>
      </c>
      <c r="C27" s="3">
        <v>0</v>
      </c>
      <c r="D27" s="3">
        <v>0</v>
      </c>
      <c r="E27" s="3">
        <f>24571000-B27</f>
        <v>6302302</v>
      </c>
      <c r="F27" s="3">
        <v>262000</v>
      </c>
      <c r="G27" s="3">
        <v>0</v>
      </c>
      <c r="H27" s="3">
        <v>7064000</v>
      </c>
      <c r="I27" s="3">
        <v>230000</v>
      </c>
      <c r="J27" s="3">
        <v>0</v>
      </c>
      <c r="K27" s="3">
        <f t="shared" si="2"/>
        <v>31635000</v>
      </c>
      <c r="L27" s="3">
        <f t="shared" si="2"/>
        <v>492000</v>
      </c>
      <c r="M27" s="3">
        <f t="shared" si="2"/>
        <v>0</v>
      </c>
      <c r="N27" s="3">
        <f t="shared" si="1"/>
        <v>32127000</v>
      </c>
    </row>
    <row r="28" spans="1:15" x14ac:dyDescent="0.15">
      <c r="A28" s="1">
        <v>1996</v>
      </c>
      <c r="B28" s="3">
        <v>23795351</v>
      </c>
      <c r="C28" s="3">
        <v>0</v>
      </c>
      <c r="D28" s="3">
        <v>0</v>
      </c>
      <c r="E28" s="3">
        <f>30350000-B28</f>
        <v>6554649</v>
      </c>
      <c r="F28" s="3">
        <v>235000</v>
      </c>
      <c r="G28" s="3">
        <v>0</v>
      </c>
      <c r="H28" s="3">
        <v>5716000</v>
      </c>
      <c r="I28" s="3">
        <v>27000</v>
      </c>
      <c r="J28" s="3">
        <v>0</v>
      </c>
      <c r="K28" s="3">
        <f t="shared" si="2"/>
        <v>36066000</v>
      </c>
      <c r="L28" s="3">
        <f t="shared" si="2"/>
        <v>262000</v>
      </c>
      <c r="M28" s="3">
        <f t="shared" si="2"/>
        <v>0</v>
      </c>
      <c r="N28" s="3">
        <f t="shared" si="1"/>
        <v>36328000</v>
      </c>
      <c r="O28" s="1" t="s">
        <v>209</v>
      </c>
    </row>
    <row r="29" spans="1:15" x14ac:dyDescent="0.15">
      <c r="A29" s="1">
        <v>1997</v>
      </c>
      <c r="B29" s="3">
        <v>29494744</v>
      </c>
      <c r="C29" s="3">
        <v>0</v>
      </c>
      <c r="D29" s="3">
        <v>0</v>
      </c>
      <c r="E29" s="3">
        <f>36264000-B29</f>
        <v>6769256</v>
      </c>
      <c r="F29" s="3">
        <v>370000</v>
      </c>
      <c r="G29" s="3">
        <v>0</v>
      </c>
      <c r="H29" s="3">
        <v>5924000</v>
      </c>
      <c r="I29" s="3">
        <v>64000</v>
      </c>
      <c r="J29" s="3">
        <v>0</v>
      </c>
      <c r="K29" s="3">
        <f t="shared" si="2"/>
        <v>42188000</v>
      </c>
      <c r="L29" s="3">
        <f t="shared" si="2"/>
        <v>434000</v>
      </c>
      <c r="M29" s="3">
        <f t="shared" si="2"/>
        <v>0</v>
      </c>
      <c r="N29" s="3">
        <f t="shared" si="1"/>
        <v>42622000</v>
      </c>
    </row>
    <row r="30" spans="1:15" x14ac:dyDescent="0.15">
      <c r="A30" s="1">
        <v>1998</v>
      </c>
      <c r="B30" s="3">
        <f>20671977+9162020</f>
        <v>29833997</v>
      </c>
      <c r="C30" s="3">
        <v>0</v>
      </c>
      <c r="D30" s="3">
        <v>0</v>
      </c>
      <c r="E30" s="3">
        <f>37192000-B30</f>
        <v>7358003</v>
      </c>
      <c r="F30" s="3">
        <v>438000</v>
      </c>
      <c r="G30" s="3">
        <v>0</v>
      </c>
      <c r="H30" s="3">
        <v>6204000</v>
      </c>
      <c r="I30" s="3">
        <v>80000</v>
      </c>
      <c r="J30" s="3">
        <v>0</v>
      </c>
      <c r="K30" s="3">
        <f t="shared" si="2"/>
        <v>43396000</v>
      </c>
      <c r="L30" s="3">
        <f t="shared" si="2"/>
        <v>518000</v>
      </c>
      <c r="M30" s="3">
        <f t="shared" si="2"/>
        <v>0</v>
      </c>
      <c r="N30" s="3">
        <f t="shared" si="1"/>
        <v>43914000</v>
      </c>
    </row>
    <row r="31" spans="1:15" x14ac:dyDescent="0.15">
      <c r="A31" s="1">
        <v>1999</v>
      </c>
      <c r="B31" s="3">
        <v>31775510</v>
      </c>
      <c r="C31" s="3">
        <v>0</v>
      </c>
      <c r="D31" s="3">
        <v>0</v>
      </c>
      <c r="E31" s="3">
        <f>38515000-B31</f>
        <v>6739490</v>
      </c>
      <c r="F31" s="3">
        <v>320000</v>
      </c>
      <c r="G31" s="3">
        <v>0</v>
      </c>
      <c r="H31" s="3">
        <v>6824000</v>
      </c>
      <c r="I31" s="3">
        <v>59000</v>
      </c>
      <c r="J31" s="3">
        <v>0</v>
      </c>
      <c r="K31" s="3">
        <f t="shared" si="2"/>
        <v>45339000</v>
      </c>
      <c r="L31" s="3">
        <f t="shared" si="2"/>
        <v>379000</v>
      </c>
      <c r="M31" s="3">
        <f t="shared" si="2"/>
        <v>0</v>
      </c>
      <c r="N31" s="3">
        <f t="shared" si="1"/>
        <v>45718000</v>
      </c>
    </row>
    <row r="32" spans="1:15" x14ac:dyDescent="0.15">
      <c r="A32" s="1">
        <v>2000</v>
      </c>
      <c r="B32" s="3">
        <v>29439193</v>
      </c>
      <c r="C32" s="3">
        <v>0</v>
      </c>
      <c r="D32" s="3">
        <v>0</v>
      </c>
      <c r="E32" s="3">
        <f>39592000-B32</f>
        <v>10152807</v>
      </c>
      <c r="F32" s="3">
        <v>519000</v>
      </c>
      <c r="G32" s="3">
        <v>0</v>
      </c>
      <c r="H32" s="3">
        <v>6091000</v>
      </c>
      <c r="I32" s="3">
        <v>29000</v>
      </c>
      <c r="J32" s="3">
        <v>0</v>
      </c>
      <c r="K32" s="3">
        <f t="shared" si="2"/>
        <v>45683000</v>
      </c>
      <c r="L32" s="3">
        <f t="shared" si="2"/>
        <v>548000</v>
      </c>
      <c r="M32" s="3">
        <f t="shared" si="2"/>
        <v>0</v>
      </c>
      <c r="N32" s="3">
        <f t="shared" si="1"/>
        <v>46231000</v>
      </c>
      <c r="O32" s="1" t="s">
        <v>238</v>
      </c>
    </row>
    <row r="33" spans="1:15" x14ac:dyDescent="0.15">
      <c r="A33" s="1">
        <v>2001</v>
      </c>
      <c r="B33" s="3">
        <f>25436558+5966600</f>
        <v>31403158</v>
      </c>
      <c r="C33" s="3">
        <v>0</v>
      </c>
      <c r="D33" s="3">
        <v>0</v>
      </c>
      <c r="E33" s="3">
        <f>43665000-B33</f>
        <v>12261842</v>
      </c>
      <c r="F33" s="3">
        <v>634000</v>
      </c>
      <c r="G33" s="3">
        <v>0</v>
      </c>
      <c r="H33" s="3">
        <v>6751000</v>
      </c>
      <c r="I33" s="3">
        <v>46000</v>
      </c>
      <c r="J33" s="3">
        <v>0</v>
      </c>
      <c r="K33" s="3">
        <f t="shared" si="2"/>
        <v>50416000</v>
      </c>
      <c r="L33" s="3">
        <f t="shared" si="2"/>
        <v>680000</v>
      </c>
      <c r="M33" s="3">
        <f t="shared" si="2"/>
        <v>0</v>
      </c>
      <c r="N33" s="3">
        <f t="shared" si="1"/>
        <v>51096000</v>
      </c>
    </row>
    <row r="34" spans="1:15" x14ac:dyDescent="0.15">
      <c r="A34" s="1">
        <v>2002</v>
      </c>
      <c r="B34" s="3">
        <v>32009568</v>
      </c>
      <c r="C34" s="3">
        <v>0</v>
      </c>
      <c r="D34" s="3">
        <v>0</v>
      </c>
      <c r="E34" s="3">
        <f>45535000-B34</f>
        <v>13525432</v>
      </c>
      <c r="F34" s="3">
        <v>746000</v>
      </c>
      <c r="G34" s="3">
        <v>0</v>
      </c>
      <c r="H34" s="3">
        <v>6375000</v>
      </c>
      <c r="I34" s="3">
        <v>265000</v>
      </c>
      <c r="J34" s="3">
        <v>0</v>
      </c>
      <c r="K34" s="3">
        <f t="shared" si="2"/>
        <v>51910000</v>
      </c>
      <c r="L34" s="3">
        <f t="shared" si="2"/>
        <v>1011000</v>
      </c>
      <c r="M34" s="3">
        <f t="shared" si="2"/>
        <v>0</v>
      </c>
      <c r="N34" s="3">
        <f t="shared" si="1"/>
        <v>52921000</v>
      </c>
    </row>
    <row r="35" spans="1:15" x14ac:dyDescent="0.15">
      <c r="A35" s="1">
        <v>2003</v>
      </c>
      <c r="B35" s="3">
        <v>32167807</v>
      </c>
      <c r="C35" s="3">
        <v>0</v>
      </c>
      <c r="D35" s="3">
        <v>0</v>
      </c>
      <c r="E35" s="3">
        <v>7344378</v>
      </c>
      <c r="F35" s="3">
        <v>196968</v>
      </c>
      <c r="G35" s="3">
        <v>7189075</v>
      </c>
      <c r="H35" s="3">
        <v>4000500</v>
      </c>
      <c r="I35" s="3">
        <v>0</v>
      </c>
      <c r="J35" s="3">
        <v>3422181</v>
      </c>
      <c r="K35" s="3">
        <f t="shared" si="2"/>
        <v>43512685</v>
      </c>
      <c r="L35" s="3">
        <f t="shared" si="2"/>
        <v>196968</v>
      </c>
      <c r="M35" s="3">
        <f t="shared" si="2"/>
        <v>10611256</v>
      </c>
      <c r="N35" s="3">
        <f t="shared" si="1"/>
        <v>54320909</v>
      </c>
    </row>
    <row r="36" spans="1:15" x14ac:dyDescent="0.15">
      <c r="A36" s="1">
        <v>2004</v>
      </c>
      <c r="B36" s="3">
        <v>35360517</v>
      </c>
      <c r="C36" s="3">
        <v>0</v>
      </c>
      <c r="D36" s="3">
        <v>0</v>
      </c>
      <c r="E36" s="3">
        <v>11141664</v>
      </c>
      <c r="F36" s="3">
        <v>241284</v>
      </c>
      <c r="G36" s="3">
        <v>9187430</v>
      </c>
      <c r="H36" s="3">
        <v>3888000</v>
      </c>
      <c r="I36" s="3">
        <v>0</v>
      </c>
      <c r="J36" s="3">
        <v>293270</v>
      </c>
      <c r="K36" s="3">
        <v>50390181</v>
      </c>
      <c r="L36" s="3">
        <v>241284</v>
      </c>
      <c r="M36" s="3">
        <v>9480700</v>
      </c>
      <c r="N36" s="3">
        <v>60112165</v>
      </c>
      <c r="O36" s="1" t="s">
        <v>276</v>
      </c>
    </row>
    <row r="37" spans="1:15" x14ac:dyDescent="0.15">
      <c r="A37" s="1">
        <v>2005</v>
      </c>
      <c r="B37" s="3">
        <v>40250800</v>
      </c>
      <c r="C37" s="3">
        <v>0</v>
      </c>
      <c r="D37" s="3">
        <v>0</v>
      </c>
      <c r="E37" s="3">
        <v>12484826</v>
      </c>
      <c r="F37" s="3">
        <v>189854</v>
      </c>
      <c r="G37" s="3">
        <v>10264393</v>
      </c>
      <c r="H37" s="3">
        <v>4166622</v>
      </c>
      <c r="I37" s="3">
        <v>66706</v>
      </c>
      <c r="J37" s="3">
        <v>0</v>
      </c>
      <c r="K37" s="3">
        <v>56902248</v>
      </c>
      <c r="L37" s="3">
        <v>256560</v>
      </c>
      <c r="M37" s="3">
        <v>10264393</v>
      </c>
      <c r="N37" s="3">
        <v>67423201</v>
      </c>
    </row>
    <row r="38" spans="1:15" x14ac:dyDescent="0.15">
      <c r="A38" s="1">
        <v>2006</v>
      </c>
      <c r="B38" s="3">
        <v>48519829</v>
      </c>
      <c r="C38" s="3">
        <v>0</v>
      </c>
      <c r="D38" s="3">
        <v>0</v>
      </c>
      <c r="E38" s="3">
        <v>23595352</v>
      </c>
      <c r="F38" s="3">
        <v>1392639</v>
      </c>
      <c r="G38" s="3">
        <v>4617275</v>
      </c>
      <c r="H38" s="3">
        <v>4246775</v>
      </c>
      <c r="I38" s="3">
        <v>86741</v>
      </c>
      <c r="J38" s="3">
        <v>0</v>
      </c>
      <c r="K38" s="3">
        <v>76361956</v>
      </c>
      <c r="L38" s="3">
        <v>1479380</v>
      </c>
      <c r="M38" s="3">
        <v>4617275</v>
      </c>
      <c r="N38" s="3">
        <v>82458611</v>
      </c>
    </row>
    <row r="39" spans="1:15" x14ac:dyDescent="0.15">
      <c r="A39" s="1">
        <v>2007</v>
      </c>
      <c r="B39" s="3">
        <v>60540506</v>
      </c>
      <c r="C39" s="3">
        <v>0</v>
      </c>
      <c r="D39" s="3">
        <v>0</v>
      </c>
      <c r="E39" s="3">
        <v>30189464</v>
      </c>
      <c r="F39" s="3">
        <v>1327455</v>
      </c>
      <c r="G39" s="3">
        <v>1478389</v>
      </c>
      <c r="H39" s="3">
        <v>4358918</v>
      </c>
      <c r="I39" s="3">
        <v>144834</v>
      </c>
      <c r="J39" s="3">
        <v>0</v>
      </c>
      <c r="K39" s="3">
        <v>95088888</v>
      </c>
      <c r="L39" s="3">
        <v>1472289</v>
      </c>
      <c r="M39" s="3">
        <v>1478389</v>
      </c>
      <c r="N39" s="3">
        <v>98039566</v>
      </c>
    </row>
    <row r="40" spans="1:15" x14ac:dyDescent="0.15">
      <c r="A40" s="1">
        <v>2008</v>
      </c>
      <c r="B40" s="3">
        <v>63234000</v>
      </c>
      <c r="C40" s="3">
        <v>0</v>
      </c>
      <c r="D40" s="3">
        <v>0</v>
      </c>
      <c r="E40" s="3">
        <v>31343548</v>
      </c>
      <c r="F40" s="3">
        <v>1098142</v>
      </c>
      <c r="G40" s="3">
        <v>1500000</v>
      </c>
      <c r="H40" s="3">
        <v>5148226</v>
      </c>
      <c r="I40" s="3">
        <v>134942</v>
      </c>
      <c r="J40" s="3">
        <v>0</v>
      </c>
      <c r="K40" s="3">
        <v>99725774</v>
      </c>
      <c r="L40" s="3">
        <v>1233084</v>
      </c>
      <c r="M40" s="3">
        <v>1500000</v>
      </c>
      <c r="N40" s="3">
        <v>102458858</v>
      </c>
    </row>
    <row r="41" spans="1:15" x14ac:dyDescent="0.15">
      <c r="A41" s="1">
        <v>2009</v>
      </c>
      <c r="B41" s="3">
        <v>62010901</v>
      </c>
      <c r="C41" s="3">
        <v>0</v>
      </c>
      <c r="D41" s="3">
        <v>0</v>
      </c>
      <c r="E41" s="3">
        <v>30762203</v>
      </c>
      <c r="F41" s="3">
        <v>1270673</v>
      </c>
      <c r="G41" s="3">
        <v>1188166</v>
      </c>
      <c r="H41" s="3">
        <v>5373293</v>
      </c>
      <c r="I41" s="3">
        <v>72889</v>
      </c>
      <c r="J41" s="3">
        <v>0</v>
      </c>
      <c r="K41" s="3">
        <v>98146397</v>
      </c>
      <c r="L41" s="3">
        <v>1343562</v>
      </c>
      <c r="M41" s="3">
        <v>1188166</v>
      </c>
      <c r="N41" s="3">
        <v>100678125</v>
      </c>
    </row>
    <row r="42" spans="1:15" x14ac:dyDescent="0.15">
      <c r="A42" s="1">
        <v>2010</v>
      </c>
      <c r="B42" s="3">
        <v>60151975</v>
      </c>
      <c r="C42" s="3">
        <v>0</v>
      </c>
      <c r="D42" s="3">
        <v>0</v>
      </c>
      <c r="E42" s="3">
        <v>31448273</v>
      </c>
      <c r="F42" s="3">
        <v>2708135</v>
      </c>
      <c r="G42" s="3">
        <v>0</v>
      </c>
      <c r="H42" s="3">
        <v>5159296</v>
      </c>
      <c r="I42" s="3">
        <v>80462</v>
      </c>
      <c r="J42" s="3">
        <v>0</v>
      </c>
      <c r="K42" s="3">
        <v>96759544</v>
      </c>
      <c r="L42" s="3">
        <v>2788597</v>
      </c>
      <c r="M42" s="3">
        <v>0</v>
      </c>
      <c r="N42" s="3">
        <v>99548141</v>
      </c>
    </row>
    <row r="43" spans="1:15" x14ac:dyDescent="0.15">
      <c r="A43" s="1">
        <v>2011</v>
      </c>
      <c r="B43" s="3">
        <v>55224174</v>
      </c>
      <c r="C43" s="3">
        <v>0</v>
      </c>
      <c r="D43" s="3">
        <v>0</v>
      </c>
      <c r="E43" s="3">
        <v>31168046</v>
      </c>
      <c r="F43" s="3">
        <v>2265253</v>
      </c>
      <c r="G43" s="3">
        <v>0</v>
      </c>
      <c r="H43" s="3">
        <v>4143166</v>
      </c>
      <c r="I43" s="3">
        <v>0</v>
      </c>
      <c r="J43" s="3">
        <v>970474</v>
      </c>
      <c r="K43" s="3">
        <v>90535386</v>
      </c>
      <c r="L43" s="3">
        <v>2265253</v>
      </c>
      <c r="M43" s="3">
        <v>970474</v>
      </c>
      <c r="N43" s="3">
        <v>93771113</v>
      </c>
    </row>
    <row r="44" spans="1:15" x14ac:dyDescent="0.15">
      <c r="A44" s="1">
        <v>2012</v>
      </c>
      <c r="B44" s="3">
        <v>52926375</v>
      </c>
      <c r="C44" s="3">
        <v>0</v>
      </c>
      <c r="D44" s="3">
        <v>0</v>
      </c>
      <c r="E44" s="3">
        <v>32801312</v>
      </c>
      <c r="F44" s="3">
        <v>2358027</v>
      </c>
      <c r="G44" s="3">
        <v>0</v>
      </c>
      <c r="H44" s="3">
        <v>4084484</v>
      </c>
      <c r="I44" s="3">
        <v>0</v>
      </c>
      <c r="J44" s="3">
        <v>850929</v>
      </c>
      <c r="K44" s="3">
        <v>89812171</v>
      </c>
      <c r="L44" s="3">
        <v>2358027</v>
      </c>
      <c r="M44" s="3">
        <v>850929</v>
      </c>
      <c r="N44" s="3">
        <v>93021127</v>
      </c>
    </row>
    <row r="45" spans="1:15" x14ac:dyDescent="0.15">
      <c r="A45" s="1">
        <v>2013</v>
      </c>
      <c r="B45" s="3">
        <v>54190950</v>
      </c>
      <c r="C45" s="3">
        <v>0</v>
      </c>
      <c r="D45" s="3">
        <v>0</v>
      </c>
      <c r="E45" s="3">
        <v>33397119</v>
      </c>
      <c r="F45" s="3">
        <v>925751</v>
      </c>
      <c r="G45" s="3">
        <v>0</v>
      </c>
      <c r="H45" s="3">
        <v>3056768</v>
      </c>
      <c r="I45" s="3">
        <v>1166809</v>
      </c>
      <c r="J45" s="3">
        <v>860012</v>
      </c>
      <c r="K45" s="3">
        <v>90644837</v>
      </c>
      <c r="L45" s="3">
        <v>2092560</v>
      </c>
      <c r="M45" s="3">
        <v>860012</v>
      </c>
      <c r="N45" s="3">
        <v>93597409</v>
      </c>
      <c r="O45" s="1" t="s">
        <v>277</v>
      </c>
    </row>
    <row r="46" spans="1:15" x14ac:dyDescent="0.15">
      <c r="A46" s="1">
        <v>2014</v>
      </c>
      <c r="B46" s="3">
        <v>72146355</v>
      </c>
      <c r="C46" s="3">
        <v>0</v>
      </c>
      <c r="D46" s="3">
        <v>0</v>
      </c>
      <c r="E46" s="3">
        <v>34574614</v>
      </c>
      <c r="F46" s="3">
        <v>1333491</v>
      </c>
      <c r="G46" s="3">
        <v>0</v>
      </c>
      <c r="H46" s="3">
        <v>2880023</v>
      </c>
      <c r="I46" s="3">
        <v>1174473</v>
      </c>
      <c r="J46" s="3">
        <v>1102910</v>
      </c>
      <c r="K46" s="3">
        <v>109600992</v>
      </c>
      <c r="L46" s="3">
        <v>2507964</v>
      </c>
      <c r="M46" s="3">
        <v>1102910</v>
      </c>
      <c r="N46" s="3">
        <v>113211866</v>
      </c>
    </row>
    <row r="47" spans="1:15" x14ac:dyDescent="0.15">
      <c r="A47" s="1">
        <v>2015</v>
      </c>
      <c r="B47" s="3">
        <v>81011425</v>
      </c>
      <c r="C47" s="3">
        <v>0</v>
      </c>
      <c r="D47" s="3">
        <v>0</v>
      </c>
      <c r="E47" s="3">
        <v>17104717</v>
      </c>
      <c r="F47" s="3">
        <v>3812765</v>
      </c>
      <c r="G47" s="3">
        <v>0</v>
      </c>
      <c r="H47" s="3">
        <v>1383502</v>
      </c>
      <c r="I47" s="3">
        <v>1165665</v>
      </c>
      <c r="J47" s="3">
        <v>820474</v>
      </c>
      <c r="K47" s="3">
        <v>99499644</v>
      </c>
      <c r="L47" s="3">
        <v>4978430</v>
      </c>
      <c r="M47" s="3">
        <v>820474</v>
      </c>
      <c r="N47" s="3">
        <v>105298548</v>
      </c>
    </row>
    <row r="48" spans="1:15" x14ac:dyDescent="0.15">
      <c r="A48" s="1">
        <v>2016</v>
      </c>
      <c r="B48" s="3">
        <v>75022250</v>
      </c>
      <c r="C48" s="3">
        <v>0</v>
      </c>
      <c r="D48" s="3">
        <v>0</v>
      </c>
      <c r="E48" s="3">
        <v>17696337</v>
      </c>
      <c r="F48" s="3">
        <v>3989022</v>
      </c>
      <c r="G48" s="3">
        <v>0</v>
      </c>
      <c r="H48" s="3">
        <v>660155</v>
      </c>
      <c r="I48" s="3">
        <v>1084916</v>
      </c>
      <c r="J48" s="3">
        <v>569634</v>
      </c>
      <c r="K48" s="3">
        <v>93378742</v>
      </c>
      <c r="L48" s="3">
        <v>5073938</v>
      </c>
      <c r="M48" s="3">
        <v>569634</v>
      </c>
      <c r="N48" s="3">
        <v>99022314</v>
      </c>
    </row>
  </sheetData>
  <phoneticPr fontId="0"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0" width="10.625" style="1"/>
    <col min="11" max="11" width="10.875" style="1" customWidth="1"/>
    <col min="12" max="13" width="10.625" style="1"/>
    <col min="14" max="14" width="11.5" style="1" customWidth="1"/>
    <col min="15" max="16384" width="10.625" style="1"/>
  </cols>
  <sheetData>
    <row r="1" spans="1:15" x14ac:dyDescent="0.15">
      <c r="A1" s="1" t="s">
        <v>32</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9498350</v>
      </c>
      <c r="C6" s="3">
        <v>0</v>
      </c>
      <c r="D6" s="3">
        <v>0</v>
      </c>
      <c r="E6" s="3">
        <v>0</v>
      </c>
      <c r="F6" s="3">
        <v>0</v>
      </c>
      <c r="G6" s="3">
        <v>0</v>
      </c>
      <c r="H6" s="3">
        <v>0</v>
      </c>
      <c r="I6" s="3">
        <v>0</v>
      </c>
      <c r="J6" s="3">
        <v>0</v>
      </c>
      <c r="K6" s="3">
        <f t="shared" ref="K6:M21" si="0">+B6+E6+H6</f>
        <v>9498350</v>
      </c>
      <c r="L6" s="3">
        <f t="shared" si="0"/>
        <v>0</v>
      </c>
      <c r="M6" s="3">
        <f t="shared" si="0"/>
        <v>0</v>
      </c>
      <c r="N6" s="3">
        <f t="shared" ref="N6:N35" si="1">+M6+L6+K6</f>
        <v>9498350</v>
      </c>
      <c r="O6" s="1" t="s">
        <v>44</v>
      </c>
    </row>
    <row r="7" spans="1:15" x14ac:dyDescent="0.15">
      <c r="A7" s="1">
        <v>1975</v>
      </c>
      <c r="B7" s="3">
        <v>11252000</v>
      </c>
      <c r="C7" s="3">
        <v>0</v>
      </c>
      <c r="D7" s="3">
        <v>0</v>
      </c>
      <c r="E7" s="3">
        <f>163000+15000</f>
        <v>178000</v>
      </c>
      <c r="F7" s="3">
        <v>0</v>
      </c>
      <c r="G7" s="3">
        <v>0</v>
      </c>
      <c r="H7" s="3">
        <v>0</v>
      </c>
      <c r="I7" s="3">
        <v>0</v>
      </c>
      <c r="J7" s="3">
        <v>0</v>
      </c>
      <c r="K7" s="3">
        <f t="shared" si="0"/>
        <v>11430000</v>
      </c>
      <c r="L7" s="3">
        <f t="shared" si="0"/>
        <v>0</v>
      </c>
      <c r="M7" s="3">
        <f t="shared" si="0"/>
        <v>0</v>
      </c>
      <c r="N7" s="3">
        <f t="shared" si="1"/>
        <v>11430000</v>
      </c>
    </row>
    <row r="8" spans="1:15" x14ac:dyDescent="0.15">
      <c r="A8" s="1">
        <v>1976</v>
      </c>
      <c r="B8" s="3">
        <v>12190000</v>
      </c>
      <c r="C8" s="3">
        <v>0</v>
      </c>
      <c r="D8" s="3">
        <v>0</v>
      </c>
      <c r="E8" s="3">
        <f>155000+14000</f>
        <v>169000</v>
      </c>
      <c r="F8" s="3">
        <v>0</v>
      </c>
      <c r="G8" s="3">
        <v>0</v>
      </c>
      <c r="H8" s="3">
        <v>0</v>
      </c>
      <c r="I8" s="3">
        <v>0</v>
      </c>
      <c r="J8" s="3">
        <v>0</v>
      </c>
      <c r="K8" s="3">
        <f t="shared" si="0"/>
        <v>12359000</v>
      </c>
      <c r="L8" s="3">
        <f t="shared" si="0"/>
        <v>0</v>
      </c>
      <c r="M8" s="3">
        <f t="shared" si="0"/>
        <v>0</v>
      </c>
      <c r="N8" s="3">
        <f t="shared" si="1"/>
        <v>12359000</v>
      </c>
    </row>
    <row r="9" spans="1:15" x14ac:dyDescent="0.15">
      <c r="A9" s="1">
        <v>1977</v>
      </c>
      <c r="B9" s="3">
        <v>13085000</v>
      </c>
      <c r="C9" s="3">
        <v>0</v>
      </c>
      <c r="D9" s="3">
        <v>0</v>
      </c>
      <c r="E9" s="3">
        <f>130000+10000+150000+95000</f>
        <v>385000</v>
      </c>
      <c r="F9" s="3">
        <v>0</v>
      </c>
      <c r="G9" s="3">
        <v>0</v>
      </c>
      <c r="H9" s="3">
        <v>0</v>
      </c>
      <c r="I9" s="3">
        <v>0</v>
      </c>
      <c r="J9" s="3">
        <v>0</v>
      </c>
      <c r="K9" s="3">
        <f t="shared" si="0"/>
        <v>13470000</v>
      </c>
      <c r="L9" s="3">
        <f t="shared" si="0"/>
        <v>0</v>
      </c>
      <c r="M9" s="3">
        <f t="shared" si="0"/>
        <v>0</v>
      </c>
      <c r="N9" s="3">
        <f t="shared" si="1"/>
        <v>13470000</v>
      </c>
    </row>
    <row r="10" spans="1:15" x14ac:dyDescent="0.15">
      <c r="A10" s="1">
        <v>1978</v>
      </c>
      <c r="B10" s="3">
        <v>14212000</v>
      </c>
      <c r="C10" s="3">
        <v>0</v>
      </c>
      <c r="D10" s="3">
        <v>0</v>
      </c>
      <c r="E10" s="3">
        <f>125000+13000+150000+99000</f>
        <v>387000</v>
      </c>
      <c r="F10" s="3">
        <v>0</v>
      </c>
      <c r="G10" s="3">
        <v>0</v>
      </c>
      <c r="H10" s="3">
        <v>0</v>
      </c>
      <c r="I10" s="3">
        <v>0</v>
      </c>
      <c r="J10" s="3">
        <v>0</v>
      </c>
      <c r="K10" s="3">
        <f t="shared" si="0"/>
        <v>14599000</v>
      </c>
      <c r="L10" s="3">
        <f t="shared" si="0"/>
        <v>0</v>
      </c>
      <c r="M10" s="3">
        <f t="shared" si="0"/>
        <v>0</v>
      </c>
      <c r="N10" s="3">
        <f t="shared" si="1"/>
        <v>14599000</v>
      </c>
    </row>
    <row r="11" spans="1:15" x14ac:dyDescent="0.15">
      <c r="A11" s="1">
        <v>1979</v>
      </c>
      <c r="B11" s="3">
        <v>15200000</v>
      </c>
      <c r="C11" s="3">
        <v>0</v>
      </c>
      <c r="D11" s="3">
        <v>0</v>
      </c>
      <c r="E11" s="3">
        <f>115000+150000</f>
        <v>265000</v>
      </c>
      <c r="F11" s="3">
        <v>0</v>
      </c>
      <c r="G11" s="3">
        <v>0</v>
      </c>
      <c r="H11" s="3">
        <v>0</v>
      </c>
      <c r="I11" s="3">
        <v>0</v>
      </c>
      <c r="J11" s="3">
        <v>0</v>
      </c>
      <c r="K11" s="3">
        <f t="shared" si="0"/>
        <v>15465000</v>
      </c>
      <c r="L11" s="3">
        <f t="shared" si="0"/>
        <v>0</v>
      </c>
      <c r="M11" s="3">
        <f t="shared" si="0"/>
        <v>0</v>
      </c>
      <c r="N11" s="3">
        <f t="shared" si="1"/>
        <v>15465000</v>
      </c>
    </row>
    <row r="12" spans="1:15" x14ac:dyDescent="0.15">
      <c r="A12" s="1">
        <v>1980</v>
      </c>
      <c r="B12" s="3">
        <v>13500000</v>
      </c>
      <c r="C12" s="3">
        <v>0</v>
      </c>
      <c r="D12" s="3">
        <v>0</v>
      </c>
      <c r="E12" s="3">
        <v>150000</v>
      </c>
      <c r="F12" s="3">
        <v>0</v>
      </c>
      <c r="G12" s="3">
        <v>0</v>
      </c>
      <c r="H12" s="3">
        <v>0</v>
      </c>
      <c r="I12" s="3">
        <v>0</v>
      </c>
      <c r="J12" s="3">
        <v>0</v>
      </c>
      <c r="K12" s="3">
        <f t="shared" si="0"/>
        <v>13650000</v>
      </c>
      <c r="L12" s="3">
        <f t="shared" si="0"/>
        <v>0</v>
      </c>
      <c r="M12" s="3">
        <f t="shared" si="0"/>
        <v>0</v>
      </c>
      <c r="N12" s="3">
        <f t="shared" si="1"/>
        <v>13650000</v>
      </c>
    </row>
    <row r="13" spans="1:15" x14ac:dyDescent="0.15">
      <c r="A13" s="1">
        <v>1981</v>
      </c>
      <c r="B13" s="3">
        <v>16365000</v>
      </c>
      <c r="C13" s="3">
        <v>0</v>
      </c>
      <c r="D13" s="3">
        <v>0</v>
      </c>
      <c r="E13" s="3">
        <v>0</v>
      </c>
      <c r="F13" s="3">
        <v>0</v>
      </c>
      <c r="G13" s="3">
        <v>0</v>
      </c>
      <c r="H13" s="3">
        <v>0</v>
      </c>
      <c r="I13" s="3">
        <v>0</v>
      </c>
      <c r="J13" s="3">
        <v>0</v>
      </c>
      <c r="K13" s="3">
        <f t="shared" si="0"/>
        <v>16365000</v>
      </c>
      <c r="L13" s="3">
        <f t="shared" si="0"/>
        <v>0</v>
      </c>
      <c r="M13" s="3">
        <f t="shared" si="0"/>
        <v>0</v>
      </c>
      <c r="N13" s="3">
        <f t="shared" si="1"/>
        <v>16365000</v>
      </c>
      <c r="O13" s="1" t="s">
        <v>135</v>
      </c>
    </row>
    <row r="14" spans="1:15" x14ac:dyDescent="0.15">
      <c r="A14" s="1">
        <v>1982</v>
      </c>
      <c r="B14" s="3">
        <v>17071000</v>
      </c>
      <c r="C14" s="3">
        <v>438000</v>
      </c>
      <c r="D14" s="3">
        <v>0</v>
      </c>
      <c r="E14" s="3">
        <v>0</v>
      </c>
      <c r="F14" s="3">
        <v>838000</v>
      </c>
      <c r="G14" s="3">
        <v>0</v>
      </c>
      <c r="H14" s="3">
        <v>980000</v>
      </c>
      <c r="I14" s="3">
        <v>0</v>
      </c>
      <c r="J14" s="3">
        <v>0</v>
      </c>
      <c r="K14" s="3">
        <f t="shared" si="0"/>
        <v>18051000</v>
      </c>
      <c r="L14" s="3">
        <f t="shared" si="0"/>
        <v>1276000</v>
      </c>
      <c r="M14" s="3">
        <f t="shared" si="0"/>
        <v>0</v>
      </c>
      <c r="N14" s="3">
        <f t="shared" si="1"/>
        <v>19327000</v>
      </c>
    </row>
    <row r="15" spans="1:15" x14ac:dyDescent="0.15">
      <c r="A15" s="1">
        <v>1983</v>
      </c>
      <c r="B15" s="3">
        <v>16805000</v>
      </c>
      <c r="C15" s="3">
        <v>431000</v>
      </c>
      <c r="D15" s="3">
        <v>0</v>
      </c>
      <c r="E15" s="3">
        <v>0</v>
      </c>
      <c r="F15" s="3">
        <v>831000</v>
      </c>
      <c r="G15" s="3">
        <v>0</v>
      </c>
      <c r="H15" s="3">
        <v>950000</v>
      </c>
      <c r="I15" s="3">
        <v>0</v>
      </c>
      <c r="J15" s="3">
        <v>0</v>
      </c>
      <c r="K15" s="3">
        <f t="shared" si="0"/>
        <v>17755000</v>
      </c>
      <c r="L15" s="3">
        <f t="shared" si="0"/>
        <v>1262000</v>
      </c>
      <c r="M15" s="3">
        <f t="shared" si="0"/>
        <v>0</v>
      </c>
      <c r="N15" s="3">
        <f t="shared" si="1"/>
        <v>19017000</v>
      </c>
    </row>
    <row r="16" spans="1:15" x14ac:dyDescent="0.15">
      <c r="A16" s="1">
        <v>1984</v>
      </c>
      <c r="B16" s="3">
        <v>26811000</v>
      </c>
      <c r="C16" s="3">
        <v>1117000</v>
      </c>
      <c r="D16" s="3">
        <v>0</v>
      </c>
      <c r="E16" s="3">
        <v>290000</v>
      </c>
      <c r="F16" s="3">
        <f>700000+750000</f>
        <v>1450000</v>
      </c>
      <c r="G16" s="3">
        <v>0</v>
      </c>
      <c r="H16" s="3">
        <v>800000</v>
      </c>
      <c r="I16" s="3">
        <v>0</v>
      </c>
      <c r="J16" s="3">
        <v>0</v>
      </c>
      <c r="K16" s="3">
        <f t="shared" si="0"/>
        <v>27901000</v>
      </c>
      <c r="L16" s="3">
        <f t="shared" si="0"/>
        <v>2567000</v>
      </c>
      <c r="M16" s="3">
        <f t="shared" si="0"/>
        <v>0</v>
      </c>
      <c r="N16" s="3">
        <f t="shared" si="1"/>
        <v>30468000</v>
      </c>
    </row>
    <row r="17" spans="1:15" x14ac:dyDescent="0.15">
      <c r="A17" s="1">
        <v>1985</v>
      </c>
      <c r="B17" s="3">
        <v>38400000</v>
      </c>
      <c r="C17" s="3">
        <v>0</v>
      </c>
      <c r="D17" s="3">
        <v>0</v>
      </c>
      <c r="E17" s="3">
        <v>263000</v>
      </c>
      <c r="F17" s="3">
        <v>2250000</v>
      </c>
      <c r="G17" s="3">
        <v>0</v>
      </c>
      <c r="H17" s="3">
        <v>845000</v>
      </c>
      <c r="I17" s="3">
        <v>0</v>
      </c>
      <c r="J17" s="3">
        <v>0</v>
      </c>
      <c r="K17" s="3">
        <f t="shared" si="0"/>
        <v>39508000</v>
      </c>
      <c r="L17" s="3">
        <f t="shared" si="0"/>
        <v>2250000</v>
      </c>
      <c r="M17" s="3">
        <f t="shared" si="0"/>
        <v>0</v>
      </c>
      <c r="N17" s="3">
        <f t="shared" si="1"/>
        <v>41758000</v>
      </c>
    </row>
    <row r="18" spans="1:15" x14ac:dyDescent="0.15">
      <c r="A18" s="1">
        <v>1986</v>
      </c>
      <c r="B18" s="3">
        <v>42958000</v>
      </c>
      <c r="C18" s="3">
        <v>0</v>
      </c>
      <c r="D18" s="3">
        <v>0</v>
      </c>
      <c r="E18" s="3">
        <f>384000+300000</f>
        <v>684000</v>
      </c>
      <c r="F18" s="3">
        <v>2533000</v>
      </c>
      <c r="G18" s="3">
        <v>0</v>
      </c>
      <c r="H18" s="3">
        <v>1931000</v>
      </c>
      <c r="I18" s="3">
        <v>0</v>
      </c>
      <c r="J18" s="3">
        <v>0</v>
      </c>
      <c r="K18" s="3">
        <f t="shared" si="0"/>
        <v>45573000</v>
      </c>
      <c r="L18" s="3">
        <f t="shared" si="0"/>
        <v>2533000</v>
      </c>
      <c r="M18" s="3">
        <f t="shared" si="0"/>
        <v>0</v>
      </c>
      <c r="N18" s="3">
        <f t="shared" si="1"/>
        <v>48106000</v>
      </c>
    </row>
    <row r="19" spans="1:15" x14ac:dyDescent="0.15">
      <c r="A19" s="1">
        <v>1987</v>
      </c>
      <c r="B19" s="3">
        <v>52372000</v>
      </c>
      <c r="C19" s="3">
        <v>0</v>
      </c>
      <c r="D19" s="3">
        <v>0</v>
      </c>
      <c r="E19" s="3">
        <f>400000+300000+4000000</f>
        <v>4700000</v>
      </c>
      <c r="F19" s="3">
        <v>3470000</v>
      </c>
      <c r="G19" s="3">
        <v>0</v>
      </c>
      <c r="H19" s="3">
        <v>1960000</v>
      </c>
      <c r="I19" s="3">
        <v>0</v>
      </c>
      <c r="J19" s="3">
        <v>0</v>
      </c>
      <c r="K19" s="3">
        <f t="shared" si="0"/>
        <v>59032000</v>
      </c>
      <c r="L19" s="3">
        <f t="shared" si="0"/>
        <v>3470000</v>
      </c>
      <c r="M19" s="3">
        <f t="shared" si="0"/>
        <v>0</v>
      </c>
      <c r="N19" s="3">
        <f t="shared" si="1"/>
        <v>62502000</v>
      </c>
    </row>
    <row r="20" spans="1:15" x14ac:dyDescent="0.15">
      <c r="A20" s="1">
        <v>1988</v>
      </c>
      <c r="B20" s="3">
        <v>56910000</v>
      </c>
      <c r="C20" s="3">
        <v>0</v>
      </c>
      <c r="D20" s="3">
        <v>0</v>
      </c>
      <c r="E20" s="3">
        <f>444000+300000+4000000</f>
        <v>4744000</v>
      </c>
      <c r="F20" s="3">
        <v>5276000</v>
      </c>
      <c r="G20" s="3">
        <v>0</v>
      </c>
      <c r="H20" s="3">
        <v>1900000</v>
      </c>
      <c r="I20" s="3">
        <v>300000</v>
      </c>
      <c r="J20" s="3">
        <v>0</v>
      </c>
      <c r="K20" s="3">
        <f t="shared" si="0"/>
        <v>63554000</v>
      </c>
      <c r="L20" s="3">
        <f t="shared" si="0"/>
        <v>5576000</v>
      </c>
      <c r="M20" s="3">
        <f t="shared" si="0"/>
        <v>0</v>
      </c>
      <c r="N20" s="3">
        <f t="shared" si="1"/>
        <v>69130000</v>
      </c>
    </row>
    <row r="21" spans="1:15" x14ac:dyDescent="0.15">
      <c r="A21" s="1">
        <v>1989</v>
      </c>
      <c r="B21" s="3">
        <v>59232000</v>
      </c>
      <c r="C21" s="3">
        <v>0</v>
      </c>
      <c r="D21" s="3">
        <v>0</v>
      </c>
      <c r="E21" s="3">
        <f>486000+300000+4000000</f>
        <v>4786000</v>
      </c>
      <c r="F21" s="3">
        <v>5300000</v>
      </c>
      <c r="G21" s="3">
        <v>0</v>
      </c>
      <c r="H21" s="3">
        <v>1850000</v>
      </c>
      <c r="I21" s="3">
        <v>300000</v>
      </c>
      <c r="J21" s="3">
        <v>0</v>
      </c>
      <c r="K21" s="3">
        <f t="shared" si="0"/>
        <v>65868000</v>
      </c>
      <c r="L21" s="3">
        <f t="shared" si="0"/>
        <v>5600000</v>
      </c>
      <c r="M21" s="3">
        <f t="shared" si="0"/>
        <v>0</v>
      </c>
      <c r="N21" s="3">
        <f t="shared" si="1"/>
        <v>71468000</v>
      </c>
    </row>
    <row r="22" spans="1:15" x14ac:dyDescent="0.15">
      <c r="A22" s="1">
        <v>1990</v>
      </c>
      <c r="B22" s="3">
        <v>55694000</v>
      </c>
      <c r="C22" s="3">
        <v>0</v>
      </c>
      <c r="D22" s="3">
        <v>0</v>
      </c>
      <c r="E22" s="3">
        <f>550000+150000+3100000</f>
        <v>3800000</v>
      </c>
      <c r="F22" s="3">
        <v>6000000</v>
      </c>
      <c r="G22" s="3">
        <v>0</v>
      </c>
      <c r="H22" s="3">
        <v>1569000</v>
      </c>
      <c r="I22" s="3">
        <v>0</v>
      </c>
      <c r="J22" s="3">
        <v>0</v>
      </c>
      <c r="K22" s="3">
        <f t="shared" ref="K22:M35" si="2">+B22+E22+H22</f>
        <v>61063000</v>
      </c>
      <c r="L22" s="3">
        <f t="shared" si="2"/>
        <v>6000000</v>
      </c>
      <c r="M22" s="3">
        <f t="shared" si="2"/>
        <v>0</v>
      </c>
      <c r="N22" s="3">
        <f t="shared" si="1"/>
        <v>67063000</v>
      </c>
    </row>
    <row r="23" spans="1:15" x14ac:dyDescent="0.15">
      <c r="A23" s="1">
        <v>1991</v>
      </c>
      <c r="B23" s="3">
        <v>48483000</v>
      </c>
      <c r="C23" s="3">
        <v>0</v>
      </c>
      <c r="D23" s="3">
        <v>0</v>
      </c>
      <c r="E23" s="3">
        <v>1920000</v>
      </c>
      <c r="F23" s="3">
        <v>2880000</v>
      </c>
      <c r="G23" s="3">
        <v>0</v>
      </c>
      <c r="H23" s="3">
        <v>48000</v>
      </c>
      <c r="I23" s="3">
        <v>0</v>
      </c>
      <c r="J23" s="3">
        <v>0</v>
      </c>
      <c r="K23" s="3">
        <f t="shared" si="2"/>
        <v>50451000</v>
      </c>
      <c r="L23" s="3">
        <f t="shared" si="2"/>
        <v>2880000</v>
      </c>
      <c r="M23" s="3">
        <f t="shared" si="2"/>
        <v>0</v>
      </c>
      <c r="N23" s="3">
        <f t="shared" si="1"/>
        <v>53331000</v>
      </c>
    </row>
    <row r="24" spans="1:15" x14ac:dyDescent="0.15">
      <c r="A24" s="1">
        <v>1992</v>
      </c>
      <c r="B24" s="3">
        <v>23748000</v>
      </c>
      <c r="C24" s="3">
        <v>0</v>
      </c>
      <c r="D24" s="3">
        <v>0</v>
      </c>
      <c r="E24" s="3">
        <v>0</v>
      </c>
      <c r="F24" s="3">
        <v>0</v>
      </c>
      <c r="G24" s="3">
        <v>0</v>
      </c>
      <c r="H24" s="3">
        <v>0</v>
      </c>
      <c r="I24" s="3">
        <v>0</v>
      </c>
      <c r="J24" s="3">
        <v>0</v>
      </c>
      <c r="K24" s="3">
        <f t="shared" si="2"/>
        <v>23748000</v>
      </c>
      <c r="L24" s="3">
        <f t="shared" si="2"/>
        <v>0</v>
      </c>
      <c r="M24" s="3">
        <f t="shared" si="2"/>
        <v>0</v>
      </c>
      <c r="N24" s="3">
        <f t="shared" si="1"/>
        <v>23748000</v>
      </c>
      <c r="O24" s="1" t="s">
        <v>187</v>
      </c>
    </row>
    <row r="25" spans="1:15" x14ac:dyDescent="0.15">
      <c r="A25" s="1">
        <v>1993</v>
      </c>
      <c r="B25" s="3">
        <v>35239000</v>
      </c>
      <c r="C25" s="3">
        <v>0</v>
      </c>
      <c r="D25" s="3">
        <v>0</v>
      </c>
      <c r="E25" s="3">
        <f>750000+10000000</f>
        <v>10750000</v>
      </c>
      <c r="F25" s="3">
        <v>0</v>
      </c>
      <c r="G25" s="3">
        <v>0</v>
      </c>
      <c r="H25" s="3">
        <v>250000</v>
      </c>
      <c r="I25" s="3">
        <v>0</v>
      </c>
      <c r="J25" s="3">
        <v>0</v>
      </c>
      <c r="K25" s="3">
        <f t="shared" si="2"/>
        <v>46239000</v>
      </c>
      <c r="L25" s="3">
        <f t="shared" si="2"/>
        <v>0</v>
      </c>
      <c r="M25" s="3">
        <f t="shared" si="2"/>
        <v>0</v>
      </c>
      <c r="N25" s="3">
        <f t="shared" si="1"/>
        <v>46239000</v>
      </c>
      <c r="O25" s="1" t="s">
        <v>190</v>
      </c>
    </row>
    <row r="26" spans="1:15" x14ac:dyDescent="0.15">
      <c r="A26" s="1">
        <v>1994</v>
      </c>
      <c r="B26" s="3">
        <v>34309000</v>
      </c>
      <c r="C26" s="3">
        <v>0</v>
      </c>
      <c r="D26" s="3">
        <v>0</v>
      </c>
      <c r="E26" s="3">
        <f>750000+10000000</f>
        <v>10750000</v>
      </c>
      <c r="F26" s="3">
        <v>0</v>
      </c>
      <c r="G26" s="3">
        <v>0</v>
      </c>
      <c r="H26" s="3">
        <v>250000</v>
      </c>
      <c r="I26" s="3">
        <v>0</v>
      </c>
      <c r="J26" s="3">
        <v>0</v>
      </c>
      <c r="K26" s="3">
        <f t="shared" si="2"/>
        <v>45309000</v>
      </c>
      <c r="L26" s="3">
        <f t="shared" si="2"/>
        <v>0</v>
      </c>
      <c r="M26" s="3">
        <f t="shared" si="2"/>
        <v>0</v>
      </c>
      <c r="N26" s="3">
        <f t="shared" si="1"/>
        <v>45309000</v>
      </c>
    </row>
    <row r="27" spans="1:15" x14ac:dyDescent="0.15">
      <c r="A27" s="1">
        <v>1995</v>
      </c>
      <c r="B27" s="3">
        <v>34370655</v>
      </c>
      <c r="C27" s="3">
        <v>0</v>
      </c>
      <c r="D27" s="3">
        <v>0</v>
      </c>
      <c r="E27" s="3">
        <f>61850000-B27</f>
        <v>27479345</v>
      </c>
      <c r="F27" s="3">
        <v>0</v>
      </c>
      <c r="G27" s="3">
        <v>0</v>
      </c>
      <c r="H27" s="3">
        <v>95000</v>
      </c>
      <c r="I27" s="3">
        <v>0</v>
      </c>
      <c r="J27" s="3">
        <v>0</v>
      </c>
      <c r="K27" s="3">
        <f t="shared" si="2"/>
        <v>61945000</v>
      </c>
      <c r="L27" s="3">
        <f t="shared" si="2"/>
        <v>0</v>
      </c>
      <c r="M27" s="3">
        <f t="shared" si="2"/>
        <v>0</v>
      </c>
      <c r="N27" s="3">
        <f t="shared" si="1"/>
        <v>61945000</v>
      </c>
      <c r="O27" s="1" t="s">
        <v>200</v>
      </c>
    </row>
    <row r="28" spans="1:15" x14ac:dyDescent="0.15">
      <c r="A28" s="1">
        <v>1996</v>
      </c>
      <c r="B28" s="3">
        <v>32362291</v>
      </c>
      <c r="C28" s="3">
        <v>0</v>
      </c>
      <c r="D28" s="3">
        <v>0</v>
      </c>
      <c r="E28" s="3">
        <f>54565000-B28</f>
        <v>22202709</v>
      </c>
      <c r="F28" s="3">
        <v>0</v>
      </c>
      <c r="G28" s="3">
        <v>0</v>
      </c>
      <c r="H28" s="3">
        <v>81000</v>
      </c>
      <c r="I28" s="3">
        <v>0</v>
      </c>
      <c r="J28" s="3">
        <v>0</v>
      </c>
      <c r="K28" s="3">
        <f t="shared" si="2"/>
        <v>54646000</v>
      </c>
      <c r="L28" s="3">
        <f t="shared" si="2"/>
        <v>0</v>
      </c>
      <c r="M28" s="3">
        <f t="shared" si="2"/>
        <v>0</v>
      </c>
      <c r="N28" s="3">
        <f t="shared" si="1"/>
        <v>54646000</v>
      </c>
    </row>
    <row r="29" spans="1:15" x14ac:dyDescent="0.15">
      <c r="A29" s="1">
        <v>1997</v>
      </c>
      <c r="B29" s="3">
        <v>31954591</v>
      </c>
      <c r="C29" s="3">
        <v>0</v>
      </c>
      <c r="D29" s="3">
        <v>0</v>
      </c>
      <c r="E29" s="3">
        <f>57413000-B29</f>
        <v>25458409</v>
      </c>
      <c r="F29" s="3">
        <v>0</v>
      </c>
      <c r="G29" s="3">
        <v>0</v>
      </c>
      <c r="H29" s="3">
        <v>64000</v>
      </c>
      <c r="I29" s="3">
        <v>0</v>
      </c>
      <c r="J29" s="3">
        <v>0</v>
      </c>
      <c r="K29" s="3">
        <f t="shared" si="2"/>
        <v>57477000</v>
      </c>
      <c r="L29" s="3">
        <f t="shared" si="2"/>
        <v>0</v>
      </c>
      <c r="M29" s="3">
        <f t="shared" si="2"/>
        <v>0</v>
      </c>
      <c r="N29" s="3">
        <f t="shared" si="1"/>
        <v>57477000</v>
      </c>
      <c r="O29" s="1" t="s">
        <v>214</v>
      </c>
    </row>
    <row r="30" spans="1:15" x14ac:dyDescent="0.15">
      <c r="A30" s="1">
        <v>1998</v>
      </c>
      <c r="B30" s="3">
        <f>32660680+19887444+970119</f>
        <v>53518243</v>
      </c>
      <c r="C30" s="3">
        <v>0</v>
      </c>
      <c r="D30" s="3">
        <v>0</v>
      </c>
      <c r="E30" s="3">
        <f>74344000-B30</f>
        <v>20825757</v>
      </c>
      <c r="F30" s="3">
        <v>0</v>
      </c>
      <c r="G30" s="3">
        <v>0</v>
      </c>
      <c r="H30" s="3">
        <v>61000</v>
      </c>
      <c r="I30" s="3">
        <v>0</v>
      </c>
      <c r="J30" s="3">
        <v>0</v>
      </c>
      <c r="K30" s="3">
        <f t="shared" si="2"/>
        <v>74405000</v>
      </c>
      <c r="L30" s="3">
        <f t="shared" si="2"/>
        <v>0</v>
      </c>
      <c r="M30" s="3">
        <f t="shared" si="2"/>
        <v>0</v>
      </c>
      <c r="N30" s="3">
        <f t="shared" si="1"/>
        <v>74405000</v>
      </c>
      <c r="O30" s="1" t="s">
        <v>222</v>
      </c>
    </row>
    <row r="31" spans="1:15" x14ac:dyDescent="0.15">
      <c r="A31" s="1">
        <v>1999</v>
      </c>
      <c r="B31" s="3">
        <v>32773373</v>
      </c>
      <c r="C31" s="3">
        <v>0</v>
      </c>
      <c r="D31" s="3">
        <v>0</v>
      </c>
      <c r="E31" s="3">
        <f>92127000-B31</f>
        <v>59353627</v>
      </c>
      <c r="F31" s="3">
        <v>0</v>
      </c>
      <c r="G31" s="3">
        <v>0</v>
      </c>
      <c r="H31" s="3">
        <v>46000</v>
      </c>
      <c r="I31" s="3">
        <v>0</v>
      </c>
      <c r="J31" s="3">
        <v>0</v>
      </c>
      <c r="K31" s="3">
        <f t="shared" si="2"/>
        <v>92173000</v>
      </c>
      <c r="L31" s="3">
        <f t="shared" si="2"/>
        <v>0</v>
      </c>
      <c r="M31" s="3">
        <f t="shared" si="2"/>
        <v>0</v>
      </c>
      <c r="N31" s="3">
        <f t="shared" si="1"/>
        <v>92173000</v>
      </c>
    </row>
    <row r="32" spans="1:15" x14ac:dyDescent="0.15">
      <c r="A32" s="1">
        <v>2000</v>
      </c>
      <c r="B32" s="3">
        <v>29998864</v>
      </c>
      <c r="C32" s="3">
        <v>0</v>
      </c>
      <c r="D32" s="3">
        <v>0</v>
      </c>
      <c r="E32" s="3">
        <f>102056000-B32</f>
        <v>72057136</v>
      </c>
      <c r="F32" s="3">
        <v>0</v>
      </c>
      <c r="G32" s="3">
        <v>0</v>
      </c>
      <c r="H32" s="3">
        <v>1245000</v>
      </c>
      <c r="I32" s="3">
        <v>0</v>
      </c>
      <c r="J32" s="3">
        <v>0</v>
      </c>
      <c r="K32" s="3">
        <f t="shared" si="2"/>
        <v>103301000</v>
      </c>
      <c r="L32" s="3">
        <f t="shared" si="2"/>
        <v>0</v>
      </c>
      <c r="M32" s="3">
        <f t="shared" si="2"/>
        <v>0</v>
      </c>
      <c r="N32" s="3">
        <f t="shared" si="1"/>
        <v>103301000</v>
      </c>
    </row>
    <row r="33" spans="1:15" x14ac:dyDescent="0.15">
      <c r="A33" s="1">
        <v>2001</v>
      </c>
      <c r="B33" s="3">
        <f>10669624+19764514+1703283</f>
        <v>32137421</v>
      </c>
      <c r="C33" s="3">
        <v>0</v>
      </c>
      <c r="D33" s="3">
        <v>0</v>
      </c>
      <c r="E33" s="3">
        <f>114058000-B33</f>
        <v>81920579</v>
      </c>
      <c r="F33" s="3">
        <v>0</v>
      </c>
      <c r="G33" s="3">
        <v>0</v>
      </c>
      <c r="H33" s="3">
        <v>2834000</v>
      </c>
      <c r="I33" s="3">
        <v>0</v>
      </c>
      <c r="J33" s="3">
        <v>0</v>
      </c>
      <c r="K33" s="3">
        <f t="shared" si="2"/>
        <v>116892000</v>
      </c>
      <c r="L33" s="3">
        <f t="shared" si="2"/>
        <v>0</v>
      </c>
      <c r="M33" s="3">
        <f t="shared" si="2"/>
        <v>0</v>
      </c>
      <c r="N33" s="3">
        <f t="shared" si="1"/>
        <v>116892000</v>
      </c>
    </row>
    <row r="34" spans="1:15" x14ac:dyDescent="0.15">
      <c r="A34" s="1">
        <v>2002</v>
      </c>
      <c r="B34" s="3">
        <v>27604250</v>
      </c>
      <c r="C34" s="3">
        <v>0</v>
      </c>
      <c r="D34" s="3">
        <v>0</v>
      </c>
      <c r="E34" s="3">
        <f>110711000-B34</f>
        <v>83106750</v>
      </c>
      <c r="F34" s="3">
        <v>0</v>
      </c>
      <c r="G34" s="3">
        <v>0</v>
      </c>
      <c r="H34" s="3">
        <v>3889000</v>
      </c>
      <c r="I34" s="3">
        <v>0</v>
      </c>
      <c r="J34" s="3">
        <v>0</v>
      </c>
      <c r="K34" s="3">
        <f t="shared" si="2"/>
        <v>114600000</v>
      </c>
      <c r="L34" s="3">
        <f t="shared" si="2"/>
        <v>0</v>
      </c>
      <c r="M34" s="3">
        <f t="shared" si="2"/>
        <v>0</v>
      </c>
      <c r="N34" s="3">
        <f t="shared" si="1"/>
        <v>114600000</v>
      </c>
    </row>
    <row r="35" spans="1:15" x14ac:dyDescent="0.15">
      <c r="A35" s="1">
        <v>2003</v>
      </c>
      <c r="B35" s="3">
        <v>25376529</v>
      </c>
      <c r="C35" s="3">
        <v>0</v>
      </c>
      <c r="D35" s="3">
        <v>0</v>
      </c>
      <c r="E35" s="3">
        <v>57800068</v>
      </c>
      <c r="F35" s="3">
        <v>0</v>
      </c>
      <c r="G35" s="3">
        <v>3500000</v>
      </c>
      <c r="H35" s="3">
        <v>30882</v>
      </c>
      <c r="I35" s="3">
        <v>0</v>
      </c>
      <c r="J35" s="3">
        <v>978000</v>
      </c>
      <c r="K35" s="3">
        <f t="shared" si="2"/>
        <v>83207479</v>
      </c>
      <c r="L35" s="3">
        <f t="shared" si="2"/>
        <v>0</v>
      </c>
      <c r="M35" s="3">
        <f t="shared" si="2"/>
        <v>4478000</v>
      </c>
      <c r="N35" s="3">
        <f t="shared" si="1"/>
        <v>87685479</v>
      </c>
      <c r="O35" s="1" t="s">
        <v>248</v>
      </c>
    </row>
    <row r="36" spans="1:15" x14ac:dyDescent="0.15">
      <c r="A36" s="1">
        <v>2004</v>
      </c>
      <c r="B36" s="3">
        <v>24116174</v>
      </c>
      <c r="C36" s="3">
        <v>0</v>
      </c>
      <c r="D36" s="3">
        <v>0</v>
      </c>
      <c r="E36" s="3">
        <v>55597916</v>
      </c>
      <c r="F36" s="3">
        <v>0</v>
      </c>
      <c r="G36" s="3">
        <v>0</v>
      </c>
      <c r="H36" s="3">
        <v>20755</v>
      </c>
      <c r="I36" s="3">
        <v>0</v>
      </c>
      <c r="J36" s="3">
        <v>0</v>
      </c>
      <c r="K36" s="3">
        <v>79734845</v>
      </c>
      <c r="L36" s="3">
        <v>0</v>
      </c>
      <c r="M36" s="3">
        <v>0</v>
      </c>
      <c r="N36" s="3">
        <v>79734845</v>
      </c>
    </row>
    <row r="37" spans="1:15" x14ac:dyDescent="0.15">
      <c r="A37" s="1">
        <v>2005</v>
      </c>
      <c r="B37" s="3">
        <v>24007308</v>
      </c>
      <c r="C37" s="3">
        <v>0</v>
      </c>
      <c r="D37" s="3">
        <v>0</v>
      </c>
      <c r="E37" s="3">
        <v>55495799</v>
      </c>
      <c r="F37" s="3">
        <v>0</v>
      </c>
      <c r="G37" s="3">
        <v>0</v>
      </c>
      <c r="H37" s="3">
        <v>22667</v>
      </c>
      <c r="I37" s="3">
        <v>0</v>
      </c>
      <c r="J37" s="3">
        <v>0</v>
      </c>
      <c r="K37" s="3">
        <v>79525774</v>
      </c>
      <c r="L37" s="3">
        <v>0</v>
      </c>
      <c r="M37" s="3">
        <v>0</v>
      </c>
      <c r="N37" s="3">
        <v>79525774</v>
      </c>
    </row>
    <row r="38" spans="1:15" x14ac:dyDescent="0.15">
      <c r="A38" s="1">
        <v>2006</v>
      </c>
      <c r="B38" s="3">
        <v>23936468</v>
      </c>
      <c r="C38" s="3">
        <v>0</v>
      </c>
      <c r="D38" s="3">
        <v>0</v>
      </c>
      <c r="E38" s="3">
        <v>56144521</v>
      </c>
      <c r="F38" s="3">
        <v>0</v>
      </c>
      <c r="G38" s="3">
        <v>0</v>
      </c>
      <c r="H38" s="3">
        <v>11994</v>
      </c>
      <c r="I38" s="3">
        <v>0</v>
      </c>
      <c r="J38" s="3">
        <v>0</v>
      </c>
      <c r="K38" s="3">
        <v>80092983</v>
      </c>
      <c r="L38" s="3">
        <v>0</v>
      </c>
      <c r="M38" s="3">
        <v>0</v>
      </c>
      <c r="N38" s="3">
        <v>80092983</v>
      </c>
    </row>
    <row r="39" spans="1:15" x14ac:dyDescent="0.15">
      <c r="A39" s="1">
        <v>2007</v>
      </c>
      <c r="B39" s="3">
        <v>26191222</v>
      </c>
      <c r="C39" s="3">
        <v>0</v>
      </c>
      <c r="D39" s="3">
        <v>0</v>
      </c>
      <c r="E39" s="3">
        <v>57457886</v>
      </c>
      <c r="F39" s="3">
        <v>0</v>
      </c>
      <c r="G39" s="3">
        <v>0</v>
      </c>
      <c r="H39" s="3">
        <v>32550</v>
      </c>
      <c r="I39" s="3">
        <v>0</v>
      </c>
      <c r="J39" s="3">
        <v>0</v>
      </c>
      <c r="K39" s="3">
        <v>83681658</v>
      </c>
      <c r="L39" s="3">
        <v>0</v>
      </c>
      <c r="M39" s="3">
        <v>0</v>
      </c>
      <c r="N39" s="3">
        <v>83681658</v>
      </c>
    </row>
    <row r="40" spans="1:15" x14ac:dyDescent="0.15">
      <c r="A40" s="1">
        <v>2008</v>
      </c>
      <c r="B40" s="3">
        <v>27790168</v>
      </c>
      <c r="C40" s="3">
        <v>0</v>
      </c>
      <c r="D40" s="3">
        <v>0</v>
      </c>
      <c r="E40" s="3">
        <v>58530360</v>
      </c>
      <c r="F40" s="3">
        <v>0</v>
      </c>
      <c r="G40" s="3">
        <v>0</v>
      </c>
      <c r="H40" s="3">
        <v>21642</v>
      </c>
      <c r="I40" s="3">
        <v>0</v>
      </c>
      <c r="J40" s="3">
        <v>0</v>
      </c>
      <c r="K40" s="3">
        <v>86342170</v>
      </c>
      <c r="L40" s="3">
        <v>0</v>
      </c>
      <c r="M40" s="3">
        <v>0</v>
      </c>
      <c r="N40" s="3">
        <v>86342170</v>
      </c>
    </row>
    <row r="41" spans="1:15" x14ac:dyDescent="0.15">
      <c r="A41" s="1">
        <v>2009</v>
      </c>
      <c r="B41" s="3">
        <v>29704428</v>
      </c>
      <c r="C41" s="3">
        <v>0</v>
      </c>
      <c r="D41" s="3">
        <v>0</v>
      </c>
      <c r="E41" s="3">
        <v>59808096</v>
      </c>
      <c r="F41" s="3">
        <v>0</v>
      </c>
      <c r="G41" s="3">
        <v>0</v>
      </c>
      <c r="H41" s="3">
        <v>5773711</v>
      </c>
      <c r="I41" s="3">
        <v>0</v>
      </c>
      <c r="J41" s="3">
        <v>0</v>
      </c>
      <c r="K41" s="3">
        <v>95286235</v>
      </c>
      <c r="L41" s="3">
        <v>0</v>
      </c>
      <c r="M41" s="3">
        <v>0</v>
      </c>
      <c r="N41" s="3">
        <v>95286235</v>
      </c>
    </row>
    <row r="42" spans="1:15" x14ac:dyDescent="0.15">
      <c r="A42" s="1">
        <v>2010</v>
      </c>
      <c r="B42" s="3">
        <v>33848047</v>
      </c>
      <c r="C42" s="3">
        <v>0</v>
      </c>
      <c r="D42" s="3">
        <v>0</v>
      </c>
      <c r="E42" s="3">
        <v>47870194</v>
      </c>
      <c r="F42" s="3">
        <v>0</v>
      </c>
      <c r="G42" s="3">
        <v>0</v>
      </c>
      <c r="H42" s="3">
        <v>5208366</v>
      </c>
      <c r="I42" s="3">
        <v>0</v>
      </c>
      <c r="J42" s="3">
        <v>0</v>
      </c>
      <c r="K42" s="3">
        <v>86926607</v>
      </c>
      <c r="L42" s="3">
        <v>0</v>
      </c>
      <c r="M42" s="3">
        <v>0</v>
      </c>
      <c r="N42" s="3">
        <v>86926607</v>
      </c>
    </row>
    <row r="43" spans="1:15" x14ac:dyDescent="0.15">
      <c r="A43" s="1">
        <v>2011</v>
      </c>
      <c r="B43" s="3">
        <v>36221652</v>
      </c>
      <c r="C43" s="3">
        <v>0</v>
      </c>
      <c r="D43" s="3">
        <v>0</v>
      </c>
      <c r="E43" s="3">
        <v>46176659</v>
      </c>
      <c r="F43" s="3">
        <v>0</v>
      </c>
      <c r="G43" s="3">
        <v>0</v>
      </c>
      <c r="H43" s="3">
        <v>5425148</v>
      </c>
      <c r="I43" s="3">
        <v>0</v>
      </c>
      <c r="J43" s="3">
        <v>0</v>
      </c>
      <c r="K43" s="3">
        <v>87823459</v>
      </c>
      <c r="L43" s="3">
        <v>0</v>
      </c>
      <c r="M43" s="3">
        <v>0</v>
      </c>
      <c r="N43" s="3">
        <v>87823459</v>
      </c>
    </row>
    <row r="44" spans="1:15" x14ac:dyDescent="0.15">
      <c r="A44" s="1">
        <v>2012</v>
      </c>
      <c r="B44" s="3">
        <v>36847833</v>
      </c>
      <c r="C44" s="3">
        <v>0</v>
      </c>
      <c r="D44" s="3">
        <v>0</v>
      </c>
      <c r="E44" s="3">
        <v>45740835</v>
      </c>
      <c r="F44" s="3">
        <v>0</v>
      </c>
      <c r="G44" s="3">
        <v>0</v>
      </c>
      <c r="H44" s="3">
        <v>5242758</v>
      </c>
      <c r="I44" s="3">
        <v>0</v>
      </c>
      <c r="J44" s="3">
        <v>0</v>
      </c>
      <c r="K44" s="3">
        <v>87831426</v>
      </c>
      <c r="L44" s="3">
        <v>0</v>
      </c>
      <c r="M44" s="3">
        <v>0</v>
      </c>
      <c r="N44" s="3">
        <v>87831426</v>
      </c>
    </row>
    <row r="45" spans="1:15" x14ac:dyDescent="0.15">
      <c r="A45" s="1">
        <v>2013</v>
      </c>
      <c r="B45" s="3">
        <v>35555793</v>
      </c>
      <c r="C45" s="3">
        <v>0</v>
      </c>
      <c r="D45" s="3">
        <v>0</v>
      </c>
      <c r="E45" s="3">
        <v>49991019</v>
      </c>
      <c r="F45" s="3">
        <v>0</v>
      </c>
      <c r="G45" s="3">
        <v>0</v>
      </c>
      <c r="H45" s="3">
        <v>7295893</v>
      </c>
      <c r="I45" s="3">
        <v>0</v>
      </c>
      <c r="J45" s="3">
        <v>0</v>
      </c>
      <c r="K45" s="3">
        <v>92842705</v>
      </c>
      <c r="L45" s="3">
        <v>0</v>
      </c>
      <c r="M45" s="3">
        <v>0</v>
      </c>
      <c r="N45" s="3">
        <v>92842705</v>
      </c>
    </row>
    <row r="46" spans="1:15" x14ac:dyDescent="0.15">
      <c r="A46" s="1">
        <v>2014</v>
      </c>
      <c r="B46" s="3">
        <v>38599661</v>
      </c>
      <c r="C46" s="3">
        <v>0</v>
      </c>
      <c r="D46" s="3">
        <v>0</v>
      </c>
      <c r="E46" s="3">
        <v>48443196</v>
      </c>
      <c r="F46" s="3">
        <v>0</v>
      </c>
      <c r="G46" s="3">
        <v>0</v>
      </c>
      <c r="H46" s="3">
        <v>4062459</v>
      </c>
      <c r="I46" s="3">
        <v>0</v>
      </c>
      <c r="J46" s="3">
        <v>0</v>
      </c>
      <c r="K46" s="3">
        <v>91105316</v>
      </c>
      <c r="L46" s="3">
        <v>0</v>
      </c>
      <c r="M46" s="3">
        <v>0</v>
      </c>
      <c r="N46" s="3">
        <v>91105316</v>
      </c>
    </row>
    <row r="47" spans="1:15" x14ac:dyDescent="0.15">
      <c r="A47" s="1">
        <v>2015</v>
      </c>
      <c r="B47" s="3">
        <v>41449630</v>
      </c>
      <c r="C47" s="3">
        <v>0</v>
      </c>
      <c r="D47" s="3">
        <v>0</v>
      </c>
      <c r="E47" s="3">
        <v>47370736</v>
      </c>
      <c r="F47" s="3">
        <v>0</v>
      </c>
      <c r="G47" s="3">
        <v>0</v>
      </c>
      <c r="H47" s="3">
        <v>3348535</v>
      </c>
      <c r="I47" s="3">
        <v>0</v>
      </c>
      <c r="J47" s="3">
        <v>0</v>
      </c>
      <c r="K47" s="3">
        <v>92168901</v>
      </c>
      <c r="L47" s="3">
        <v>0</v>
      </c>
      <c r="M47" s="3">
        <v>0</v>
      </c>
      <c r="N47" s="3">
        <v>92168901</v>
      </c>
    </row>
    <row r="48" spans="1:15" x14ac:dyDescent="0.15">
      <c r="A48" s="1">
        <v>2016</v>
      </c>
      <c r="B48" s="3">
        <v>42677946</v>
      </c>
      <c r="C48" s="3">
        <v>0</v>
      </c>
      <c r="D48" s="3">
        <v>0</v>
      </c>
      <c r="E48" s="3">
        <v>44625983</v>
      </c>
      <c r="F48" s="3">
        <v>0</v>
      </c>
      <c r="G48" s="3">
        <v>0</v>
      </c>
      <c r="H48" s="3">
        <v>2945754</v>
      </c>
      <c r="I48" s="3">
        <v>0</v>
      </c>
      <c r="J48" s="3">
        <v>0</v>
      </c>
      <c r="K48" s="3">
        <v>90249683</v>
      </c>
      <c r="L48" s="3">
        <v>0</v>
      </c>
      <c r="M48" s="3">
        <v>0</v>
      </c>
      <c r="N48" s="3">
        <v>90249683</v>
      </c>
    </row>
  </sheetData>
  <phoneticPr fontId="0"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7" width="10.625" style="1"/>
    <col min="8" max="8" width="11.5" style="1" customWidth="1"/>
    <col min="9" max="9" width="10.625" style="1"/>
    <col min="10" max="10" width="11.375" style="1" customWidth="1"/>
    <col min="11" max="11" width="11.625" style="1" customWidth="1"/>
    <col min="12" max="12" width="10.625" style="1"/>
    <col min="13" max="13" width="12" style="1" customWidth="1"/>
    <col min="14" max="14" width="11.625" style="1" customWidth="1"/>
    <col min="15" max="16384" width="10.625" style="1"/>
  </cols>
  <sheetData>
    <row r="1" spans="1:15" x14ac:dyDescent="0.15">
      <c r="A1" s="1" t="s">
        <v>31</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8712904</v>
      </c>
      <c r="C6" s="3">
        <v>0</v>
      </c>
      <c r="D6" s="3">
        <v>0</v>
      </c>
      <c r="E6" s="3">
        <v>7865521</v>
      </c>
      <c r="F6" s="3">
        <v>0</v>
      </c>
      <c r="G6" s="3">
        <v>0</v>
      </c>
      <c r="H6" s="3">
        <v>0</v>
      </c>
      <c r="I6" s="3">
        <v>0</v>
      </c>
      <c r="J6" s="3">
        <v>0</v>
      </c>
      <c r="K6" s="3">
        <f t="shared" ref="K6:M21" si="0">+B6+E6+H6</f>
        <v>16578425</v>
      </c>
      <c r="L6" s="3">
        <f t="shared" si="0"/>
        <v>0</v>
      </c>
      <c r="M6" s="3">
        <f t="shared" si="0"/>
        <v>0</v>
      </c>
      <c r="N6" s="3">
        <f t="shared" ref="N6:N35" si="1">+M6+L6+K6</f>
        <v>16578425</v>
      </c>
      <c r="O6" s="1" t="s">
        <v>45</v>
      </c>
    </row>
    <row r="7" spans="1:15" x14ac:dyDescent="0.15">
      <c r="A7" s="1">
        <v>1975</v>
      </c>
      <c r="B7" s="3">
        <v>10431000</v>
      </c>
      <c r="C7" s="3">
        <v>0</v>
      </c>
      <c r="D7" s="3">
        <v>0</v>
      </c>
      <c r="E7" s="3">
        <v>8841000</v>
      </c>
      <c r="F7" s="3">
        <v>0</v>
      </c>
      <c r="G7" s="3">
        <v>0</v>
      </c>
      <c r="H7" s="3">
        <v>0</v>
      </c>
      <c r="I7" s="3">
        <v>0</v>
      </c>
      <c r="J7" s="3">
        <v>0</v>
      </c>
      <c r="K7" s="3">
        <f t="shared" si="0"/>
        <v>19272000</v>
      </c>
      <c r="L7" s="3">
        <f t="shared" si="0"/>
        <v>0</v>
      </c>
      <c r="M7" s="3">
        <f t="shared" si="0"/>
        <v>0</v>
      </c>
      <c r="N7" s="3">
        <f t="shared" si="1"/>
        <v>19272000</v>
      </c>
    </row>
    <row r="8" spans="1:15" x14ac:dyDescent="0.15">
      <c r="A8" s="1">
        <v>1976</v>
      </c>
      <c r="B8" s="3">
        <v>10691000</v>
      </c>
      <c r="C8" s="3">
        <v>0</v>
      </c>
      <c r="D8" s="3">
        <v>0</v>
      </c>
      <c r="E8" s="3">
        <v>9749000</v>
      </c>
      <c r="F8" s="3">
        <v>0</v>
      </c>
      <c r="G8" s="3">
        <v>0</v>
      </c>
      <c r="H8" s="3">
        <v>0</v>
      </c>
      <c r="I8" s="3">
        <v>0</v>
      </c>
      <c r="J8" s="3">
        <v>0</v>
      </c>
      <c r="K8" s="3">
        <f t="shared" si="0"/>
        <v>20440000</v>
      </c>
      <c r="L8" s="3">
        <f t="shared" si="0"/>
        <v>0</v>
      </c>
      <c r="M8" s="3">
        <f t="shared" si="0"/>
        <v>0</v>
      </c>
      <c r="N8" s="3">
        <f t="shared" si="1"/>
        <v>20440000</v>
      </c>
    </row>
    <row r="9" spans="1:15" x14ac:dyDescent="0.15">
      <c r="A9" s="1">
        <v>1977</v>
      </c>
      <c r="B9" s="3">
        <v>13028000</v>
      </c>
      <c r="C9" s="3">
        <v>0</v>
      </c>
      <c r="D9" s="3">
        <v>0</v>
      </c>
      <c r="E9" s="3">
        <v>11900000</v>
      </c>
      <c r="F9" s="3">
        <v>0</v>
      </c>
      <c r="G9" s="3">
        <v>0</v>
      </c>
      <c r="H9" s="3">
        <v>0</v>
      </c>
      <c r="I9" s="3">
        <v>0</v>
      </c>
      <c r="J9" s="3">
        <v>0</v>
      </c>
      <c r="K9" s="3">
        <f t="shared" si="0"/>
        <v>24928000</v>
      </c>
      <c r="L9" s="3">
        <f t="shared" si="0"/>
        <v>0</v>
      </c>
      <c r="M9" s="3">
        <f t="shared" si="0"/>
        <v>0</v>
      </c>
      <c r="N9" s="3">
        <f t="shared" si="1"/>
        <v>24928000</v>
      </c>
    </row>
    <row r="10" spans="1:15" x14ac:dyDescent="0.15">
      <c r="A10" s="1">
        <v>1978</v>
      </c>
      <c r="B10" s="3">
        <v>14267000</v>
      </c>
      <c r="C10" s="3">
        <v>0</v>
      </c>
      <c r="D10" s="3">
        <v>0</v>
      </c>
      <c r="E10" s="3">
        <v>13432000</v>
      </c>
      <c r="F10" s="3">
        <v>0</v>
      </c>
      <c r="G10" s="3">
        <v>0</v>
      </c>
      <c r="H10" s="3">
        <v>0</v>
      </c>
      <c r="I10" s="3">
        <v>0</v>
      </c>
      <c r="J10" s="3">
        <v>0</v>
      </c>
      <c r="K10" s="3">
        <f t="shared" si="0"/>
        <v>27699000</v>
      </c>
      <c r="L10" s="3">
        <f t="shared" si="0"/>
        <v>0</v>
      </c>
      <c r="M10" s="3">
        <f t="shared" si="0"/>
        <v>0</v>
      </c>
      <c r="N10" s="3">
        <f t="shared" si="1"/>
        <v>27699000</v>
      </c>
    </row>
    <row r="11" spans="1:15" x14ac:dyDescent="0.15">
      <c r="A11" s="1">
        <v>1979</v>
      </c>
      <c r="B11" s="3">
        <v>14965000</v>
      </c>
      <c r="C11" s="3">
        <v>0</v>
      </c>
      <c r="D11" s="3">
        <v>0</v>
      </c>
      <c r="E11" s="3">
        <v>13851000</v>
      </c>
      <c r="F11" s="3">
        <v>0</v>
      </c>
      <c r="G11" s="3">
        <v>0</v>
      </c>
      <c r="H11" s="3">
        <v>0</v>
      </c>
      <c r="I11" s="3">
        <v>0</v>
      </c>
      <c r="J11" s="3">
        <v>0</v>
      </c>
      <c r="K11" s="3">
        <f t="shared" si="0"/>
        <v>28816000</v>
      </c>
      <c r="L11" s="3">
        <f t="shared" si="0"/>
        <v>0</v>
      </c>
      <c r="M11" s="3">
        <f t="shared" si="0"/>
        <v>0</v>
      </c>
      <c r="N11" s="3">
        <f t="shared" si="1"/>
        <v>28816000</v>
      </c>
    </row>
    <row r="12" spans="1:15" x14ac:dyDescent="0.15">
      <c r="A12" s="1">
        <v>1980</v>
      </c>
      <c r="B12" s="3">
        <v>16031000</v>
      </c>
      <c r="C12" s="3">
        <v>0</v>
      </c>
      <c r="D12" s="3">
        <v>0</v>
      </c>
      <c r="E12" s="3">
        <v>14500000</v>
      </c>
      <c r="F12" s="3">
        <v>0</v>
      </c>
      <c r="G12" s="3">
        <v>0</v>
      </c>
      <c r="H12" s="3">
        <v>0</v>
      </c>
      <c r="I12" s="3">
        <v>0</v>
      </c>
      <c r="J12" s="3">
        <v>0</v>
      </c>
      <c r="K12" s="3">
        <f t="shared" si="0"/>
        <v>30531000</v>
      </c>
      <c r="L12" s="3">
        <f t="shared" si="0"/>
        <v>0</v>
      </c>
      <c r="M12" s="3">
        <f t="shared" si="0"/>
        <v>0</v>
      </c>
      <c r="N12" s="3">
        <f t="shared" si="1"/>
        <v>30531000</v>
      </c>
    </row>
    <row r="13" spans="1:15" x14ac:dyDescent="0.15">
      <c r="A13" s="1">
        <v>1981</v>
      </c>
      <c r="B13" s="3">
        <v>15620000</v>
      </c>
      <c r="C13" s="3">
        <v>0</v>
      </c>
      <c r="D13" s="3">
        <v>0</v>
      </c>
      <c r="E13" s="3">
        <v>12201000</v>
      </c>
      <c r="F13" s="3">
        <v>0</v>
      </c>
      <c r="G13" s="3">
        <v>0</v>
      </c>
      <c r="H13" s="3">
        <v>0</v>
      </c>
      <c r="I13" s="3">
        <v>0</v>
      </c>
      <c r="J13" s="3">
        <v>0</v>
      </c>
      <c r="K13" s="3">
        <f t="shared" si="0"/>
        <v>27821000</v>
      </c>
      <c r="L13" s="3">
        <f t="shared" si="0"/>
        <v>0</v>
      </c>
      <c r="M13" s="3">
        <f t="shared" si="0"/>
        <v>0</v>
      </c>
      <c r="N13" s="3">
        <f t="shared" si="1"/>
        <v>27821000</v>
      </c>
    </row>
    <row r="14" spans="1:15" x14ac:dyDescent="0.15">
      <c r="A14" s="1">
        <v>1982</v>
      </c>
      <c r="B14" s="3">
        <v>16356000</v>
      </c>
      <c r="C14" s="3">
        <v>0</v>
      </c>
      <c r="D14" s="3">
        <v>0</v>
      </c>
      <c r="E14" s="3">
        <v>12270000</v>
      </c>
      <c r="F14" s="3">
        <v>1067000</v>
      </c>
      <c r="G14" s="3">
        <v>0</v>
      </c>
      <c r="H14" s="3">
        <v>15041000</v>
      </c>
      <c r="I14" s="3">
        <v>0</v>
      </c>
      <c r="J14" s="3">
        <v>0</v>
      </c>
      <c r="K14" s="3">
        <f t="shared" si="0"/>
        <v>43667000</v>
      </c>
      <c r="L14" s="3">
        <f t="shared" si="0"/>
        <v>1067000</v>
      </c>
      <c r="M14" s="3">
        <f t="shared" si="0"/>
        <v>0</v>
      </c>
      <c r="N14" s="3">
        <f t="shared" si="1"/>
        <v>44734000</v>
      </c>
    </row>
    <row r="15" spans="1:15" x14ac:dyDescent="0.15">
      <c r="A15" s="1">
        <v>1983</v>
      </c>
      <c r="B15" s="3">
        <v>15155000</v>
      </c>
      <c r="C15" s="3">
        <v>0</v>
      </c>
      <c r="D15" s="3">
        <v>0</v>
      </c>
      <c r="E15" s="3">
        <v>15732000</v>
      </c>
      <c r="F15" s="3">
        <v>1368000</v>
      </c>
      <c r="G15" s="3">
        <v>0</v>
      </c>
      <c r="H15" s="3">
        <v>17000000</v>
      </c>
      <c r="I15" s="3">
        <v>0</v>
      </c>
      <c r="J15" s="3">
        <v>0</v>
      </c>
      <c r="K15" s="3">
        <f t="shared" si="0"/>
        <v>47887000</v>
      </c>
      <c r="L15" s="3">
        <f t="shared" si="0"/>
        <v>1368000</v>
      </c>
      <c r="M15" s="3">
        <f t="shared" si="0"/>
        <v>0</v>
      </c>
      <c r="N15" s="3">
        <f t="shared" si="1"/>
        <v>49255000</v>
      </c>
    </row>
    <row r="16" spans="1:15" x14ac:dyDescent="0.15">
      <c r="A16" s="1">
        <v>1984</v>
      </c>
      <c r="B16" s="3">
        <v>14900000</v>
      </c>
      <c r="C16" s="3">
        <v>0</v>
      </c>
      <c r="D16" s="3">
        <v>0</v>
      </c>
      <c r="E16" s="3">
        <v>15732000</v>
      </c>
      <c r="F16" s="3">
        <v>1368000</v>
      </c>
      <c r="G16" s="3">
        <v>0</v>
      </c>
      <c r="H16" s="3">
        <v>15492000</v>
      </c>
      <c r="I16" s="3">
        <v>0</v>
      </c>
      <c r="J16" s="3">
        <v>0</v>
      </c>
      <c r="K16" s="3">
        <f t="shared" si="0"/>
        <v>46124000</v>
      </c>
      <c r="L16" s="3">
        <f t="shared" si="0"/>
        <v>1368000</v>
      </c>
      <c r="M16" s="3">
        <f t="shared" si="0"/>
        <v>0</v>
      </c>
      <c r="N16" s="3">
        <f t="shared" si="1"/>
        <v>47492000</v>
      </c>
    </row>
    <row r="17" spans="1:14" x14ac:dyDescent="0.15">
      <c r="A17" s="1">
        <v>1985</v>
      </c>
      <c r="B17" s="3">
        <v>16599000</v>
      </c>
      <c r="C17" s="3">
        <v>0</v>
      </c>
      <c r="D17" s="3">
        <v>0</v>
      </c>
      <c r="E17" s="3">
        <v>17878000</v>
      </c>
      <c r="F17" s="3">
        <v>1346000</v>
      </c>
      <c r="G17" s="3">
        <v>0</v>
      </c>
      <c r="H17" s="3">
        <v>15615000</v>
      </c>
      <c r="I17" s="3">
        <v>0</v>
      </c>
      <c r="J17" s="3">
        <v>0</v>
      </c>
      <c r="K17" s="3">
        <f t="shared" si="0"/>
        <v>50092000</v>
      </c>
      <c r="L17" s="3">
        <f t="shared" si="0"/>
        <v>1346000</v>
      </c>
      <c r="M17" s="3">
        <f t="shared" si="0"/>
        <v>0</v>
      </c>
      <c r="N17" s="3">
        <f t="shared" si="1"/>
        <v>51438000</v>
      </c>
    </row>
    <row r="18" spans="1:14" x14ac:dyDescent="0.15">
      <c r="A18" s="1">
        <v>1986</v>
      </c>
      <c r="B18" s="3">
        <v>24600000</v>
      </c>
      <c r="C18" s="3">
        <v>0</v>
      </c>
      <c r="D18" s="3">
        <v>0</v>
      </c>
      <c r="E18" s="3">
        <v>34830000</v>
      </c>
      <c r="F18" s="3">
        <v>2160000</v>
      </c>
      <c r="G18" s="3">
        <v>0</v>
      </c>
      <c r="H18" s="3">
        <v>3957000</v>
      </c>
      <c r="I18" s="3">
        <v>0</v>
      </c>
      <c r="J18" s="3">
        <v>0</v>
      </c>
      <c r="K18" s="3">
        <f t="shared" si="0"/>
        <v>63387000</v>
      </c>
      <c r="L18" s="3">
        <f t="shared" si="0"/>
        <v>2160000</v>
      </c>
      <c r="M18" s="3">
        <f t="shared" si="0"/>
        <v>0</v>
      </c>
      <c r="N18" s="3">
        <f t="shared" si="1"/>
        <v>65547000</v>
      </c>
    </row>
    <row r="19" spans="1:14" x14ac:dyDescent="0.15">
      <c r="A19" s="1">
        <v>1987</v>
      </c>
      <c r="B19" s="3">
        <v>25404000</v>
      </c>
      <c r="C19" s="3">
        <v>0</v>
      </c>
      <c r="D19" s="3">
        <v>0</v>
      </c>
      <c r="E19" s="3">
        <f>38539000+1000000+2000000</f>
        <v>41539000</v>
      </c>
      <c r="F19" s="3">
        <v>3351000</v>
      </c>
      <c r="G19" s="3">
        <v>0</v>
      </c>
      <c r="H19" s="3">
        <v>1072000</v>
      </c>
      <c r="I19" s="3">
        <v>0</v>
      </c>
      <c r="J19" s="3">
        <v>0</v>
      </c>
      <c r="K19" s="3">
        <f t="shared" si="0"/>
        <v>68015000</v>
      </c>
      <c r="L19" s="3">
        <f t="shared" si="0"/>
        <v>3351000</v>
      </c>
      <c r="M19" s="3">
        <f t="shared" si="0"/>
        <v>0</v>
      </c>
      <c r="N19" s="3">
        <f t="shared" si="1"/>
        <v>71366000</v>
      </c>
    </row>
    <row r="20" spans="1:14" x14ac:dyDescent="0.15">
      <c r="A20" s="1">
        <v>1988</v>
      </c>
      <c r="B20" s="3">
        <v>25539000</v>
      </c>
      <c r="C20" s="3">
        <v>0</v>
      </c>
      <c r="D20" s="3">
        <v>0</v>
      </c>
      <c r="E20" s="3">
        <f>39841000+1000000+2000000</f>
        <v>42841000</v>
      </c>
      <c r="F20" s="3">
        <v>2999000</v>
      </c>
      <c r="G20" s="3">
        <v>0</v>
      </c>
      <c r="H20" s="3">
        <v>0</v>
      </c>
      <c r="I20" s="3">
        <v>0</v>
      </c>
      <c r="J20" s="3">
        <v>0</v>
      </c>
      <c r="K20" s="3">
        <f t="shared" si="0"/>
        <v>68380000</v>
      </c>
      <c r="L20" s="3">
        <f t="shared" si="0"/>
        <v>2999000</v>
      </c>
      <c r="M20" s="3">
        <f t="shared" si="0"/>
        <v>0</v>
      </c>
      <c r="N20" s="3">
        <f t="shared" si="1"/>
        <v>71379000</v>
      </c>
    </row>
    <row r="21" spans="1:14" x14ac:dyDescent="0.15">
      <c r="A21" s="1">
        <v>1989</v>
      </c>
      <c r="B21" s="3">
        <v>25640000</v>
      </c>
      <c r="C21" s="3">
        <v>0</v>
      </c>
      <c r="D21" s="3">
        <v>0</v>
      </c>
      <c r="E21" s="3">
        <f>40998000+1019000+2005000</f>
        <v>44022000</v>
      </c>
      <c r="F21" s="3">
        <v>3565000</v>
      </c>
      <c r="G21" s="3">
        <v>0</v>
      </c>
      <c r="H21" s="3">
        <v>0</v>
      </c>
      <c r="I21" s="3">
        <v>0</v>
      </c>
      <c r="J21" s="3">
        <v>0</v>
      </c>
      <c r="K21" s="3">
        <f t="shared" si="0"/>
        <v>69662000</v>
      </c>
      <c r="L21" s="3">
        <f t="shared" si="0"/>
        <v>3565000</v>
      </c>
      <c r="M21" s="3">
        <f t="shared" si="0"/>
        <v>0</v>
      </c>
      <c r="N21" s="3">
        <f t="shared" si="1"/>
        <v>73227000</v>
      </c>
    </row>
    <row r="22" spans="1:14" x14ac:dyDescent="0.15">
      <c r="A22" s="1">
        <v>1990</v>
      </c>
      <c r="B22" s="3">
        <v>26194000</v>
      </c>
      <c r="C22" s="3">
        <v>0</v>
      </c>
      <c r="D22" s="3">
        <v>0</v>
      </c>
      <c r="E22" s="3">
        <f>43474000+1050000+2103000</f>
        <v>46627000</v>
      </c>
      <c r="F22" s="3">
        <v>3272000</v>
      </c>
      <c r="G22" s="3">
        <v>0</v>
      </c>
      <c r="H22" s="3">
        <v>0</v>
      </c>
      <c r="I22" s="3">
        <v>0</v>
      </c>
      <c r="J22" s="3">
        <v>0</v>
      </c>
      <c r="K22" s="3">
        <f t="shared" ref="K22:M35" si="2">+B22+E22+H22</f>
        <v>72821000</v>
      </c>
      <c r="L22" s="3">
        <f t="shared" si="2"/>
        <v>3272000</v>
      </c>
      <c r="M22" s="3">
        <f t="shared" si="2"/>
        <v>0</v>
      </c>
      <c r="N22" s="3">
        <f t="shared" si="1"/>
        <v>76093000</v>
      </c>
    </row>
    <row r="23" spans="1:14" x14ac:dyDescent="0.15">
      <c r="A23" s="1">
        <v>1991</v>
      </c>
      <c r="B23" s="3">
        <v>23563000</v>
      </c>
      <c r="C23" s="3">
        <v>0</v>
      </c>
      <c r="D23" s="3">
        <v>0</v>
      </c>
      <c r="E23" s="3">
        <f>43055000+1099000+2202000</f>
        <v>46356000</v>
      </c>
      <c r="F23" s="3">
        <v>3241000</v>
      </c>
      <c r="G23" s="3">
        <v>0</v>
      </c>
      <c r="H23" s="3">
        <v>0</v>
      </c>
      <c r="I23" s="3">
        <v>0</v>
      </c>
      <c r="J23" s="3">
        <v>0</v>
      </c>
      <c r="K23" s="3">
        <f t="shared" si="2"/>
        <v>69919000</v>
      </c>
      <c r="L23" s="3">
        <f t="shared" si="2"/>
        <v>3241000</v>
      </c>
      <c r="M23" s="3">
        <f t="shared" si="2"/>
        <v>0</v>
      </c>
      <c r="N23" s="3">
        <f t="shared" si="1"/>
        <v>73160000</v>
      </c>
    </row>
    <row r="24" spans="1:14" x14ac:dyDescent="0.15">
      <c r="A24" s="1">
        <v>1992</v>
      </c>
      <c r="B24" s="3">
        <v>27910000</v>
      </c>
      <c r="C24" s="3">
        <v>0</v>
      </c>
      <c r="D24" s="3">
        <v>0</v>
      </c>
      <c r="E24" s="3">
        <f>47035000+1100000+2100000</f>
        <v>50235000</v>
      </c>
      <c r="F24" s="3">
        <v>3432000</v>
      </c>
      <c r="G24" s="3">
        <v>0</v>
      </c>
      <c r="H24" s="3">
        <v>0</v>
      </c>
      <c r="I24" s="3">
        <v>0</v>
      </c>
      <c r="J24" s="3">
        <v>0</v>
      </c>
      <c r="K24" s="3">
        <f t="shared" si="2"/>
        <v>78145000</v>
      </c>
      <c r="L24" s="3">
        <f t="shared" si="2"/>
        <v>3432000</v>
      </c>
      <c r="M24" s="3">
        <f t="shared" si="2"/>
        <v>0</v>
      </c>
      <c r="N24" s="3">
        <f t="shared" si="1"/>
        <v>81577000</v>
      </c>
    </row>
    <row r="25" spans="1:14" x14ac:dyDescent="0.15">
      <c r="A25" s="1">
        <v>1993</v>
      </c>
      <c r="B25" s="3">
        <v>28659000</v>
      </c>
      <c r="C25" s="3">
        <v>0</v>
      </c>
      <c r="D25" s="3">
        <v>0</v>
      </c>
      <c r="E25" s="3">
        <f>42780000+1773000+2257000</f>
        <v>46810000</v>
      </c>
      <c r="F25" s="3">
        <v>3220000</v>
      </c>
      <c r="G25" s="3">
        <v>0</v>
      </c>
      <c r="H25" s="3">
        <v>0</v>
      </c>
      <c r="I25" s="3">
        <v>0</v>
      </c>
      <c r="J25" s="3">
        <v>0</v>
      </c>
      <c r="K25" s="3">
        <f t="shared" si="2"/>
        <v>75469000</v>
      </c>
      <c r="L25" s="3">
        <f t="shared" si="2"/>
        <v>3220000</v>
      </c>
      <c r="M25" s="3">
        <f t="shared" si="2"/>
        <v>0</v>
      </c>
      <c r="N25" s="3">
        <f t="shared" si="1"/>
        <v>78689000</v>
      </c>
    </row>
    <row r="26" spans="1:14" x14ac:dyDescent="0.15">
      <c r="A26" s="1">
        <v>1994</v>
      </c>
      <c r="B26" s="3">
        <v>32498000</v>
      </c>
      <c r="C26" s="3">
        <v>0</v>
      </c>
      <c r="D26" s="3">
        <v>0</v>
      </c>
      <c r="E26" s="3">
        <f>43317000+1770000+2150000</f>
        <v>47237000</v>
      </c>
      <c r="F26" s="3">
        <v>3210000</v>
      </c>
      <c r="G26" s="3">
        <v>0</v>
      </c>
      <c r="H26" s="3">
        <v>0</v>
      </c>
      <c r="I26" s="3">
        <v>0</v>
      </c>
      <c r="J26" s="3">
        <v>0</v>
      </c>
      <c r="K26" s="3">
        <f t="shared" si="2"/>
        <v>79735000</v>
      </c>
      <c r="L26" s="3">
        <f t="shared" si="2"/>
        <v>3210000</v>
      </c>
      <c r="M26" s="3">
        <f t="shared" si="2"/>
        <v>0</v>
      </c>
      <c r="N26" s="3">
        <f t="shared" si="1"/>
        <v>82945000</v>
      </c>
    </row>
    <row r="27" spans="1:14" x14ac:dyDescent="0.15">
      <c r="A27" s="1">
        <v>1995</v>
      </c>
      <c r="B27" s="3">
        <v>32313005</v>
      </c>
      <c r="C27" s="3">
        <v>0</v>
      </c>
      <c r="D27" s="3">
        <v>0</v>
      </c>
      <c r="E27" s="3">
        <f>81340000-B27</f>
        <v>49026995</v>
      </c>
      <c r="F27" s="3">
        <v>4266000</v>
      </c>
      <c r="G27" s="3">
        <v>0</v>
      </c>
      <c r="H27" s="3">
        <v>0</v>
      </c>
      <c r="I27" s="3">
        <v>0</v>
      </c>
      <c r="J27" s="3">
        <v>0</v>
      </c>
      <c r="K27" s="3">
        <f t="shared" si="2"/>
        <v>81340000</v>
      </c>
      <c r="L27" s="3">
        <f t="shared" si="2"/>
        <v>4266000</v>
      </c>
      <c r="M27" s="3">
        <f t="shared" si="2"/>
        <v>0</v>
      </c>
      <c r="N27" s="3">
        <f t="shared" si="1"/>
        <v>85606000</v>
      </c>
    </row>
    <row r="28" spans="1:14" x14ac:dyDescent="0.15">
      <c r="A28" s="1">
        <v>1996</v>
      </c>
      <c r="B28" s="3">
        <v>34945565</v>
      </c>
      <c r="C28" s="3">
        <v>0</v>
      </c>
      <c r="D28" s="3">
        <v>0</v>
      </c>
      <c r="E28" s="3">
        <f>84154000-B28</f>
        <v>49208435</v>
      </c>
      <c r="F28" s="3">
        <v>3130000</v>
      </c>
      <c r="G28" s="3">
        <v>0</v>
      </c>
      <c r="H28" s="3">
        <v>0</v>
      </c>
      <c r="I28" s="3">
        <v>0</v>
      </c>
      <c r="J28" s="3">
        <v>0</v>
      </c>
      <c r="K28" s="3">
        <f t="shared" si="2"/>
        <v>84154000</v>
      </c>
      <c r="L28" s="3">
        <f t="shared" si="2"/>
        <v>3130000</v>
      </c>
      <c r="M28" s="3">
        <f t="shared" si="2"/>
        <v>0</v>
      </c>
      <c r="N28" s="3">
        <f t="shared" si="1"/>
        <v>87284000</v>
      </c>
    </row>
    <row r="29" spans="1:14" x14ac:dyDescent="0.15">
      <c r="A29" s="1">
        <v>1997</v>
      </c>
      <c r="B29" s="3">
        <v>35339266</v>
      </c>
      <c r="C29" s="3">
        <v>0</v>
      </c>
      <c r="D29" s="3">
        <v>0</v>
      </c>
      <c r="E29" s="3">
        <f>85872000-B29</f>
        <v>50532734</v>
      </c>
      <c r="F29" s="3">
        <v>5116000</v>
      </c>
      <c r="G29" s="3">
        <v>0</v>
      </c>
      <c r="H29" s="3">
        <v>0</v>
      </c>
      <c r="I29" s="3">
        <v>0</v>
      </c>
      <c r="J29" s="3">
        <v>0</v>
      </c>
      <c r="K29" s="3">
        <f t="shared" si="2"/>
        <v>85872000</v>
      </c>
      <c r="L29" s="3">
        <f t="shared" si="2"/>
        <v>5116000</v>
      </c>
      <c r="M29" s="3">
        <f t="shared" si="2"/>
        <v>0</v>
      </c>
      <c r="N29" s="3">
        <f t="shared" si="1"/>
        <v>90988000</v>
      </c>
    </row>
    <row r="30" spans="1:14" x14ac:dyDescent="0.15">
      <c r="A30" s="1">
        <v>1998</v>
      </c>
      <c r="B30" s="3">
        <f>24067185+14750856</f>
        <v>38818041</v>
      </c>
      <c r="C30" s="3">
        <v>0</v>
      </c>
      <c r="D30" s="3">
        <v>0</v>
      </c>
      <c r="E30" s="3">
        <f>90475000-B30</f>
        <v>51656959</v>
      </c>
      <c r="F30" s="3">
        <v>4816000</v>
      </c>
      <c r="G30" s="3">
        <v>0</v>
      </c>
      <c r="H30" s="3">
        <v>0</v>
      </c>
      <c r="I30" s="3">
        <v>0</v>
      </c>
      <c r="J30" s="3">
        <v>0</v>
      </c>
      <c r="K30" s="3">
        <f t="shared" si="2"/>
        <v>90475000</v>
      </c>
      <c r="L30" s="3">
        <f t="shared" si="2"/>
        <v>4816000</v>
      </c>
      <c r="M30" s="3">
        <f t="shared" si="2"/>
        <v>0</v>
      </c>
      <c r="N30" s="3">
        <f t="shared" si="1"/>
        <v>95291000</v>
      </c>
    </row>
    <row r="31" spans="1:14" x14ac:dyDescent="0.15">
      <c r="A31" s="1">
        <v>1999</v>
      </c>
      <c r="B31" s="3">
        <v>38552376</v>
      </c>
      <c r="C31" s="3">
        <v>0</v>
      </c>
      <c r="D31" s="3">
        <v>0</v>
      </c>
      <c r="E31" s="3">
        <f>92299000-B31</f>
        <v>53746624</v>
      </c>
      <c r="F31" s="3">
        <v>4106000</v>
      </c>
      <c r="G31" s="3">
        <v>0</v>
      </c>
      <c r="H31" s="3">
        <v>0</v>
      </c>
      <c r="I31" s="3">
        <v>0</v>
      </c>
      <c r="J31" s="3">
        <v>0</v>
      </c>
      <c r="K31" s="3">
        <f t="shared" si="2"/>
        <v>92299000</v>
      </c>
      <c r="L31" s="3">
        <f t="shared" si="2"/>
        <v>4106000</v>
      </c>
      <c r="M31" s="3">
        <f t="shared" si="2"/>
        <v>0</v>
      </c>
      <c r="N31" s="3">
        <f t="shared" si="1"/>
        <v>96405000</v>
      </c>
    </row>
    <row r="32" spans="1:14" x14ac:dyDescent="0.15">
      <c r="A32" s="1">
        <v>2000</v>
      </c>
      <c r="B32" s="3">
        <v>39859367</v>
      </c>
      <c r="C32" s="3">
        <v>0</v>
      </c>
      <c r="D32" s="3">
        <v>0</v>
      </c>
      <c r="E32" s="3">
        <f>91109000-B32</f>
        <v>51249633</v>
      </c>
      <c r="F32" s="3">
        <v>3765000</v>
      </c>
      <c r="G32" s="3">
        <v>0</v>
      </c>
      <c r="H32" s="3">
        <v>0</v>
      </c>
      <c r="I32" s="3">
        <v>0</v>
      </c>
      <c r="J32" s="3">
        <v>0</v>
      </c>
      <c r="K32" s="3">
        <f t="shared" si="2"/>
        <v>91109000</v>
      </c>
      <c r="L32" s="3">
        <f t="shared" si="2"/>
        <v>3765000</v>
      </c>
      <c r="M32" s="3">
        <f t="shared" si="2"/>
        <v>0</v>
      </c>
      <c r="N32" s="3">
        <f t="shared" si="1"/>
        <v>94874000</v>
      </c>
    </row>
    <row r="33" spans="1:15" x14ac:dyDescent="0.15">
      <c r="A33" s="1">
        <v>2001</v>
      </c>
      <c r="B33" s="3">
        <f>25289280+17573906</f>
        <v>42863186</v>
      </c>
      <c r="C33" s="3">
        <v>0</v>
      </c>
      <c r="D33" s="3">
        <v>0</v>
      </c>
      <c r="E33" s="3">
        <f>102164000-B33</f>
        <v>59300814</v>
      </c>
      <c r="F33" s="3">
        <v>3938000</v>
      </c>
      <c r="G33" s="3">
        <v>0</v>
      </c>
      <c r="H33" s="3">
        <v>0</v>
      </c>
      <c r="I33" s="3">
        <v>0</v>
      </c>
      <c r="J33" s="3">
        <v>0</v>
      </c>
      <c r="K33" s="3">
        <f t="shared" si="2"/>
        <v>102164000</v>
      </c>
      <c r="L33" s="3">
        <f t="shared" si="2"/>
        <v>3938000</v>
      </c>
      <c r="M33" s="3">
        <f t="shared" si="2"/>
        <v>0</v>
      </c>
      <c r="N33" s="3">
        <f t="shared" si="1"/>
        <v>106102000</v>
      </c>
    </row>
    <row r="34" spans="1:15" x14ac:dyDescent="0.15">
      <c r="A34" s="1">
        <v>2002</v>
      </c>
      <c r="B34" s="3">
        <v>41559102</v>
      </c>
      <c r="C34" s="3">
        <v>0</v>
      </c>
      <c r="D34" s="3">
        <v>0</v>
      </c>
      <c r="E34" s="3">
        <f>106244000-B34</f>
        <v>64684898</v>
      </c>
      <c r="F34" s="3">
        <v>3793000</v>
      </c>
      <c r="G34" s="3">
        <v>0</v>
      </c>
      <c r="H34" s="3">
        <v>0</v>
      </c>
      <c r="I34" s="3">
        <v>0</v>
      </c>
      <c r="J34" s="3">
        <v>0</v>
      </c>
      <c r="K34" s="3">
        <f t="shared" si="2"/>
        <v>106244000</v>
      </c>
      <c r="L34" s="3">
        <f t="shared" si="2"/>
        <v>3793000</v>
      </c>
      <c r="M34" s="3">
        <f t="shared" si="2"/>
        <v>0</v>
      </c>
      <c r="N34" s="3">
        <f t="shared" si="1"/>
        <v>110037000</v>
      </c>
    </row>
    <row r="35" spans="1:15" x14ac:dyDescent="0.15">
      <c r="A35" s="1">
        <v>2003</v>
      </c>
      <c r="B35" s="3">
        <v>39261480</v>
      </c>
      <c r="C35" s="3">
        <v>144163</v>
      </c>
      <c r="D35" s="3">
        <v>0</v>
      </c>
      <c r="E35" s="3">
        <v>56458206</v>
      </c>
      <c r="F35" s="3">
        <v>4544628</v>
      </c>
      <c r="G35" s="3">
        <v>4956093</v>
      </c>
      <c r="H35" s="3">
        <v>0</v>
      </c>
      <c r="I35" s="3">
        <v>0</v>
      </c>
      <c r="J35" s="3">
        <v>112820847</v>
      </c>
      <c r="K35" s="3">
        <f t="shared" si="2"/>
        <v>95719686</v>
      </c>
      <c r="L35" s="3">
        <f t="shared" si="2"/>
        <v>4688791</v>
      </c>
      <c r="M35" s="3">
        <f t="shared" si="2"/>
        <v>117776940</v>
      </c>
      <c r="N35" s="3">
        <f t="shared" si="1"/>
        <v>218185417</v>
      </c>
      <c r="O35" s="1" t="s">
        <v>280</v>
      </c>
    </row>
    <row r="36" spans="1:15" x14ac:dyDescent="0.15">
      <c r="A36" s="1">
        <v>2004</v>
      </c>
      <c r="B36" s="3">
        <v>39605384</v>
      </c>
      <c r="C36" s="3">
        <v>0</v>
      </c>
      <c r="D36" s="3">
        <v>0</v>
      </c>
      <c r="E36" s="3">
        <v>52176680</v>
      </c>
      <c r="F36" s="3">
        <v>5547016</v>
      </c>
      <c r="G36" s="3">
        <v>0</v>
      </c>
      <c r="H36" s="3">
        <v>70442986</v>
      </c>
      <c r="I36" s="3">
        <v>0</v>
      </c>
      <c r="J36" s="3">
        <v>0</v>
      </c>
      <c r="K36" s="3">
        <v>162225050</v>
      </c>
      <c r="L36" s="3">
        <v>5547016</v>
      </c>
      <c r="M36" s="3">
        <v>0</v>
      </c>
      <c r="N36" s="3">
        <v>167772066</v>
      </c>
      <c r="O36" s="1" t="s">
        <v>278</v>
      </c>
    </row>
    <row r="37" spans="1:15" x14ac:dyDescent="0.15">
      <c r="A37" s="1">
        <v>2005</v>
      </c>
      <c r="B37" s="3">
        <v>37425962</v>
      </c>
      <c r="C37" s="3">
        <v>0</v>
      </c>
      <c r="D37" s="3">
        <v>0</v>
      </c>
      <c r="E37" s="3">
        <v>54546378</v>
      </c>
      <c r="F37" s="3">
        <v>4104003</v>
      </c>
      <c r="G37" s="3">
        <v>0</v>
      </c>
      <c r="H37" s="3">
        <v>105133966</v>
      </c>
      <c r="I37" s="3">
        <v>0</v>
      </c>
      <c r="J37" s="3">
        <v>0</v>
      </c>
      <c r="K37" s="3">
        <v>197106306</v>
      </c>
      <c r="L37" s="3">
        <v>4104003</v>
      </c>
      <c r="M37" s="3">
        <v>0</v>
      </c>
      <c r="N37" s="3">
        <v>201210309</v>
      </c>
    </row>
    <row r="38" spans="1:15" x14ac:dyDescent="0.15">
      <c r="A38" s="1">
        <v>2006</v>
      </c>
      <c r="B38" s="3">
        <v>34573693</v>
      </c>
      <c r="C38" s="3">
        <v>0</v>
      </c>
      <c r="D38" s="3">
        <v>0</v>
      </c>
      <c r="E38" s="3">
        <v>52093676</v>
      </c>
      <c r="F38" s="3">
        <v>3709147</v>
      </c>
      <c r="G38" s="3">
        <v>0</v>
      </c>
      <c r="H38" s="3">
        <v>111006930</v>
      </c>
      <c r="I38" s="3">
        <v>0</v>
      </c>
      <c r="J38" s="3">
        <v>0</v>
      </c>
      <c r="K38" s="3">
        <v>197674299</v>
      </c>
      <c r="L38" s="3">
        <v>3709147</v>
      </c>
      <c r="M38" s="3">
        <v>0</v>
      </c>
      <c r="N38" s="3">
        <v>201383446</v>
      </c>
    </row>
    <row r="39" spans="1:15" x14ac:dyDescent="0.15">
      <c r="A39" s="1">
        <v>2007</v>
      </c>
      <c r="B39" s="3">
        <v>37030387</v>
      </c>
      <c r="C39" s="3">
        <v>0</v>
      </c>
      <c r="D39" s="3">
        <v>0</v>
      </c>
      <c r="E39" s="3">
        <v>51671720</v>
      </c>
      <c r="F39" s="3">
        <v>4010451</v>
      </c>
      <c r="G39" s="3">
        <v>0</v>
      </c>
      <c r="H39" s="3">
        <v>117539756</v>
      </c>
      <c r="I39" s="3">
        <v>0</v>
      </c>
      <c r="J39" s="3">
        <v>0</v>
      </c>
      <c r="K39" s="3">
        <v>206241863</v>
      </c>
      <c r="L39" s="3">
        <v>4010451</v>
      </c>
      <c r="M39" s="3">
        <v>0</v>
      </c>
      <c r="N39" s="3">
        <v>210252314</v>
      </c>
    </row>
    <row r="40" spans="1:15" x14ac:dyDescent="0.15">
      <c r="A40" s="1">
        <v>2008</v>
      </c>
      <c r="B40" s="3">
        <v>37071451</v>
      </c>
      <c r="C40" s="3">
        <v>0</v>
      </c>
      <c r="D40" s="3">
        <v>0</v>
      </c>
      <c r="E40" s="3">
        <v>53608215</v>
      </c>
      <c r="F40" s="3">
        <v>4193068</v>
      </c>
      <c r="G40" s="3">
        <v>0</v>
      </c>
      <c r="H40" s="3">
        <v>98398326</v>
      </c>
      <c r="I40" s="3">
        <v>0</v>
      </c>
      <c r="J40" s="3">
        <v>0</v>
      </c>
      <c r="K40" s="3">
        <v>189077992</v>
      </c>
      <c r="L40" s="3">
        <v>4193068</v>
      </c>
      <c r="M40" s="3">
        <v>0</v>
      </c>
      <c r="N40" s="3">
        <v>193271060</v>
      </c>
    </row>
    <row r="41" spans="1:15" x14ac:dyDescent="0.15">
      <c r="A41" s="1">
        <v>2009</v>
      </c>
      <c r="B41" s="3">
        <v>38444428</v>
      </c>
      <c r="C41" s="3">
        <v>0</v>
      </c>
      <c r="D41" s="3">
        <v>0</v>
      </c>
      <c r="E41" s="3">
        <v>55020699</v>
      </c>
      <c r="F41" s="3">
        <v>4573472</v>
      </c>
      <c r="G41" s="3">
        <v>0</v>
      </c>
      <c r="H41" s="3">
        <v>75287902</v>
      </c>
      <c r="I41" s="3">
        <v>0</v>
      </c>
      <c r="J41" s="3">
        <v>0</v>
      </c>
      <c r="K41" s="3">
        <v>168753029</v>
      </c>
      <c r="L41" s="3">
        <v>4573472</v>
      </c>
      <c r="M41" s="3">
        <v>0</v>
      </c>
      <c r="N41" s="3">
        <v>173326501</v>
      </c>
    </row>
    <row r="42" spans="1:15" x14ac:dyDescent="0.15">
      <c r="A42" s="1">
        <v>2010</v>
      </c>
      <c r="B42" s="3">
        <v>21377766</v>
      </c>
      <c r="C42" s="3">
        <v>0</v>
      </c>
      <c r="D42" s="3">
        <v>0</v>
      </c>
      <c r="E42" s="3">
        <v>25480385</v>
      </c>
      <c r="F42" s="3">
        <v>0</v>
      </c>
      <c r="G42" s="3">
        <v>0</v>
      </c>
      <c r="H42" s="3">
        <v>2234393</v>
      </c>
      <c r="I42" s="3">
        <v>0</v>
      </c>
      <c r="J42" s="3">
        <v>0</v>
      </c>
      <c r="K42" s="3">
        <v>49092544</v>
      </c>
      <c r="L42" s="3">
        <v>0</v>
      </c>
      <c r="M42" s="3">
        <v>0</v>
      </c>
      <c r="N42" s="3">
        <v>49092544</v>
      </c>
      <c r="O42" s="1" t="s">
        <v>279</v>
      </c>
    </row>
    <row r="43" spans="1:15" x14ac:dyDescent="0.15">
      <c r="A43" s="1">
        <v>2011</v>
      </c>
      <c r="B43" s="3">
        <v>24794191</v>
      </c>
      <c r="C43" s="3">
        <v>0</v>
      </c>
      <c r="D43" s="3">
        <v>0</v>
      </c>
      <c r="E43" s="3">
        <v>59801828</v>
      </c>
      <c r="F43" s="3">
        <v>0</v>
      </c>
      <c r="G43" s="3">
        <v>0</v>
      </c>
      <c r="H43" s="3">
        <v>1016237</v>
      </c>
      <c r="I43" s="3">
        <v>0</v>
      </c>
      <c r="J43" s="3">
        <v>0</v>
      </c>
      <c r="K43" s="3">
        <v>85612256</v>
      </c>
      <c r="L43" s="3">
        <v>0</v>
      </c>
      <c r="M43" s="3">
        <v>0</v>
      </c>
      <c r="N43" s="3">
        <v>85612256</v>
      </c>
    </row>
    <row r="44" spans="1:15" x14ac:dyDescent="0.15">
      <c r="A44" s="1">
        <v>2012</v>
      </c>
      <c r="B44" s="3">
        <v>23765771</v>
      </c>
      <c r="C44" s="3">
        <v>0</v>
      </c>
      <c r="D44" s="3">
        <v>0</v>
      </c>
      <c r="E44" s="3">
        <v>63532673</v>
      </c>
      <c r="F44" s="3">
        <v>0</v>
      </c>
      <c r="G44" s="3">
        <v>0</v>
      </c>
      <c r="H44" s="3">
        <v>1010309</v>
      </c>
      <c r="I44" s="3">
        <v>0</v>
      </c>
      <c r="J44" s="3">
        <v>0</v>
      </c>
      <c r="K44" s="3">
        <v>88308753</v>
      </c>
      <c r="L44" s="3">
        <v>0</v>
      </c>
      <c r="M44" s="3">
        <v>0</v>
      </c>
      <c r="N44" s="3">
        <v>88308753</v>
      </c>
    </row>
    <row r="45" spans="1:15" x14ac:dyDescent="0.15">
      <c r="A45" s="1">
        <v>2013</v>
      </c>
      <c r="B45" s="3">
        <v>22924171</v>
      </c>
      <c r="C45" s="3">
        <v>0</v>
      </c>
      <c r="D45" s="3">
        <v>0</v>
      </c>
      <c r="E45" s="3">
        <v>68776739</v>
      </c>
      <c r="F45" s="3">
        <v>0</v>
      </c>
      <c r="G45" s="3">
        <v>0</v>
      </c>
      <c r="H45" s="3">
        <v>973291</v>
      </c>
      <c r="I45" s="3">
        <v>0</v>
      </c>
      <c r="J45" s="3">
        <v>0</v>
      </c>
      <c r="K45" s="3">
        <v>92674201</v>
      </c>
      <c r="L45" s="3">
        <v>0</v>
      </c>
      <c r="M45" s="3">
        <v>0</v>
      </c>
      <c r="N45" s="3">
        <v>92674201</v>
      </c>
    </row>
    <row r="46" spans="1:15" x14ac:dyDescent="0.15">
      <c r="A46" s="1">
        <v>2014</v>
      </c>
      <c r="B46" s="3">
        <v>22916225</v>
      </c>
      <c r="C46" s="3">
        <v>0</v>
      </c>
      <c r="D46" s="3">
        <v>0</v>
      </c>
      <c r="E46" s="3">
        <v>72241207</v>
      </c>
      <c r="F46" s="3">
        <v>0</v>
      </c>
      <c r="G46" s="3">
        <v>0</v>
      </c>
      <c r="H46" s="3">
        <v>1014366</v>
      </c>
      <c r="I46" s="3">
        <v>0</v>
      </c>
      <c r="J46" s="3">
        <v>0</v>
      </c>
      <c r="K46" s="3">
        <v>96171798</v>
      </c>
      <c r="L46" s="3">
        <v>0</v>
      </c>
      <c r="M46" s="3">
        <v>0</v>
      </c>
      <c r="N46" s="3">
        <v>96171798</v>
      </c>
    </row>
    <row r="47" spans="1:15" x14ac:dyDescent="0.15">
      <c r="A47" s="1">
        <v>2015</v>
      </c>
      <c r="B47" s="3">
        <v>22323753</v>
      </c>
      <c r="C47" s="3">
        <v>0</v>
      </c>
      <c r="D47" s="3">
        <v>0</v>
      </c>
      <c r="E47" s="3">
        <v>78000355</v>
      </c>
      <c r="F47" s="3">
        <v>0</v>
      </c>
      <c r="G47" s="3">
        <v>0</v>
      </c>
      <c r="H47" s="3">
        <v>1066815</v>
      </c>
      <c r="I47" s="3">
        <v>0</v>
      </c>
      <c r="J47" s="3">
        <v>0</v>
      </c>
      <c r="K47" s="3">
        <v>101390923</v>
      </c>
      <c r="L47" s="3">
        <v>0</v>
      </c>
      <c r="M47" s="3">
        <v>0</v>
      </c>
      <c r="N47" s="3">
        <v>101390923</v>
      </c>
    </row>
    <row r="48" spans="1:15" x14ac:dyDescent="0.15">
      <c r="A48" s="1">
        <v>2016</v>
      </c>
      <c r="B48" s="3">
        <v>25630586</v>
      </c>
      <c r="C48" s="3">
        <v>0</v>
      </c>
      <c r="D48" s="3">
        <v>0</v>
      </c>
      <c r="E48" s="3">
        <v>77674969</v>
      </c>
      <c r="F48" s="3">
        <v>0</v>
      </c>
      <c r="G48" s="3">
        <v>0</v>
      </c>
      <c r="H48" s="3">
        <v>1101402</v>
      </c>
      <c r="I48" s="3">
        <v>0</v>
      </c>
      <c r="J48" s="3">
        <v>0</v>
      </c>
      <c r="K48" s="3">
        <v>104406957</v>
      </c>
      <c r="L48" s="3">
        <v>0</v>
      </c>
      <c r="M48" s="3">
        <v>0</v>
      </c>
      <c r="N48" s="3">
        <v>104406957</v>
      </c>
    </row>
  </sheetData>
  <phoneticPr fontId="0"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25" style="1" customWidth="1"/>
    <col min="3" max="10" width="10.625" style="1"/>
    <col min="11" max="11" width="12.25" style="1" customWidth="1"/>
    <col min="12" max="13" width="10.625" style="1"/>
    <col min="14" max="14" width="12.625" style="1" customWidth="1"/>
    <col min="15" max="16384" width="10.625" style="1"/>
  </cols>
  <sheetData>
    <row r="1" spans="1:15" x14ac:dyDescent="0.15">
      <c r="A1" s="1" t="s">
        <v>30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3026056</v>
      </c>
      <c r="C6" s="3">
        <v>0</v>
      </c>
      <c r="D6" s="3">
        <v>0</v>
      </c>
      <c r="E6" s="3">
        <v>2673800</v>
      </c>
      <c r="F6" s="3">
        <v>0</v>
      </c>
      <c r="G6" s="3">
        <v>0</v>
      </c>
      <c r="H6" s="3">
        <v>0</v>
      </c>
      <c r="I6" s="3">
        <v>0</v>
      </c>
      <c r="J6" s="3">
        <v>0</v>
      </c>
      <c r="K6" s="3">
        <f t="shared" ref="K6:M21" si="0">+B6+E6+H6</f>
        <v>5699856</v>
      </c>
      <c r="L6" s="3">
        <f t="shared" si="0"/>
        <v>0</v>
      </c>
      <c r="M6" s="3">
        <f t="shared" si="0"/>
        <v>0</v>
      </c>
      <c r="N6" s="3">
        <f t="shared" ref="N6:N35" si="1">+M6+L6+K6</f>
        <v>5699856</v>
      </c>
      <c r="O6" s="1" t="s">
        <v>17</v>
      </c>
    </row>
    <row r="7" spans="1:15" x14ac:dyDescent="0.15">
      <c r="A7" s="1">
        <v>1975</v>
      </c>
      <c r="B7" s="3">
        <v>3707000</v>
      </c>
      <c r="C7" s="3">
        <v>0</v>
      </c>
      <c r="D7" s="3">
        <v>0</v>
      </c>
      <c r="E7" s="3">
        <v>4450000</v>
      </c>
      <c r="F7" s="3">
        <v>0</v>
      </c>
      <c r="G7" s="3">
        <v>0</v>
      </c>
      <c r="H7" s="3">
        <v>0</v>
      </c>
      <c r="I7" s="3">
        <v>0</v>
      </c>
      <c r="J7" s="3">
        <v>0</v>
      </c>
      <c r="K7" s="3">
        <f t="shared" si="0"/>
        <v>8157000</v>
      </c>
      <c r="L7" s="3">
        <f t="shared" si="0"/>
        <v>0</v>
      </c>
      <c r="M7" s="3">
        <f t="shared" si="0"/>
        <v>0</v>
      </c>
      <c r="N7" s="3">
        <f t="shared" si="1"/>
        <v>8157000</v>
      </c>
    </row>
    <row r="8" spans="1:15" x14ac:dyDescent="0.15">
      <c r="A8" s="1">
        <v>1976</v>
      </c>
      <c r="B8" s="3">
        <v>4817000</v>
      </c>
      <c r="C8" s="3">
        <v>0</v>
      </c>
      <c r="D8" s="3">
        <v>0</v>
      </c>
      <c r="E8" s="3">
        <v>7185000</v>
      </c>
      <c r="F8" s="3">
        <v>0</v>
      </c>
      <c r="G8" s="3">
        <v>0</v>
      </c>
      <c r="H8" s="3">
        <v>0</v>
      </c>
      <c r="I8" s="3">
        <v>0</v>
      </c>
      <c r="J8" s="3">
        <v>0</v>
      </c>
      <c r="K8" s="3">
        <f t="shared" si="0"/>
        <v>12002000</v>
      </c>
      <c r="L8" s="3">
        <f t="shared" si="0"/>
        <v>0</v>
      </c>
      <c r="M8" s="3">
        <f t="shared" si="0"/>
        <v>0</v>
      </c>
      <c r="N8" s="3">
        <f t="shared" si="1"/>
        <v>12002000</v>
      </c>
    </row>
    <row r="9" spans="1:15" x14ac:dyDescent="0.15">
      <c r="A9" s="1">
        <v>1977</v>
      </c>
      <c r="B9" s="3">
        <v>11114000</v>
      </c>
      <c r="C9" s="3">
        <v>0</v>
      </c>
      <c r="D9" s="3">
        <v>0</v>
      </c>
      <c r="E9" s="3">
        <v>5599000</v>
      </c>
      <c r="F9" s="3">
        <v>0</v>
      </c>
      <c r="G9" s="3">
        <v>0</v>
      </c>
      <c r="H9" s="3">
        <v>0</v>
      </c>
      <c r="I9" s="3">
        <v>0</v>
      </c>
      <c r="J9" s="3">
        <v>0</v>
      </c>
      <c r="K9" s="3">
        <f t="shared" si="0"/>
        <v>16713000</v>
      </c>
      <c r="L9" s="3">
        <f t="shared" si="0"/>
        <v>0</v>
      </c>
      <c r="M9" s="3">
        <f t="shared" si="0"/>
        <v>0</v>
      </c>
      <c r="N9" s="3">
        <f t="shared" si="1"/>
        <v>16713000</v>
      </c>
      <c r="O9" s="1" t="s">
        <v>107</v>
      </c>
    </row>
    <row r="10" spans="1:15" x14ac:dyDescent="0.15">
      <c r="A10" s="1">
        <v>1978</v>
      </c>
      <c r="B10" s="3">
        <v>10814000</v>
      </c>
      <c r="C10" s="3">
        <v>0</v>
      </c>
      <c r="D10" s="3">
        <v>0</v>
      </c>
      <c r="E10" s="3">
        <v>7078000</v>
      </c>
      <c r="F10" s="3">
        <v>0</v>
      </c>
      <c r="G10" s="3">
        <v>0</v>
      </c>
      <c r="H10" s="3">
        <v>0</v>
      </c>
      <c r="I10" s="3">
        <v>0</v>
      </c>
      <c r="J10" s="3">
        <v>0</v>
      </c>
      <c r="K10" s="3">
        <f t="shared" si="0"/>
        <v>17892000</v>
      </c>
      <c r="L10" s="3">
        <f t="shared" si="0"/>
        <v>0</v>
      </c>
      <c r="M10" s="3">
        <f t="shared" si="0"/>
        <v>0</v>
      </c>
      <c r="N10" s="3">
        <f t="shared" si="1"/>
        <v>17892000</v>
      </c>
    </row>
    <row r="11" spans="1:15" x14ac:dyDescent="0.15">
      <c r="A11" s="1">
        <v>1979</v>
      </c>
      <c r="B11" s="3">
        <v>13514000</v>
      </c>
      <c r="C11" s="3">
        <v>0</v>
      </c>
      <c r="D11" s="3">
        <v>0</v>
      </c>
      <c r="E11" s="3">
        <v>8642000</v>
      </c>
      <c r="F11" s="3">
        <v>0</v>
      </c>
      <c r="G11" s="3">
        <v>0</v>
      </c>
      <c r="H11" s="3">
        <v>0</v>
      </c>
      <c r="I11" s="3">
        <v>0</v>
      </c>
      <c r="J11" s="3">
        <v>0</v>
      </c>
      <c r="K11" s="3">
        <f t="shared" si="0"/>
        <v>22156000</v>
      </c>
      <c r="L11" s="3">
        <f t="shared" si="0"/>
        <v>0</v>
      </c>
      <c r="M11" s="3">
        <f t="shared" si="0"/>
        <v>0</v>
      </c>
      <c r="N11" s="3">
        <f t="shared" si="1"/>
        <v>22156000</v>
      </c>
      <c r="O11" s="1" t="s">
        <v>115</v>
      </c>
    </row>
    <row r="12" spans="1:15" x14ac:dyDescent="0.15">
      <c r="A12" s="1">
        <v>1980</v>
      </c>
      <c r="B12" s="3">
        <v>10672000</v>
      </c>
      <c r="C12" s="3">
        <v>0</v>
      </c>
      <c r="D12" s="3">
        <v>0</v>
      </c>
      <c r="E12" s="3">
        <v>7728000</v>
      </c>
      <c r="F12" s="3">
        <v>0</v>
      </c>
      <c r="G12" s="3">
        <v>0</v>
      </c>
      <c r="H12" s="3">
        <v>0</v>
      </c>
      <c r="I12" s="3">
        <v>0</v>
      </c>
      <c r="J12" s="3">
        <v>0</v>
      </c>
      <c r="K12" s="3">
        <f t="shared" si="0"/>
        <v>18400000</v>
      </c>
      <c r="L12" s="3">
        <f t="shared" si="0"/>
        <v>0</v>
      </c>
      <c r="M12" s="3">
        <f t="shared" si="0"/>
        <v>0</v>
      </c>
      <c r="N12" s="3">
        <f t="shared" si="1"/>
        <v>18400000</v>
      </c>
    </row>
    <row r="13" spans="1:15" x14ac:dyDescent="0.15">
      <c r="A13" s="1">
        <v>1981</v>
      </c>
      <c r="B13" s="3">
        <v>26500000</v>
      </c>
      <c r="C13" s="3">
        <v>0</v>
      </c>
      <c r="D13" s="3">
        <v>0</v>
      </c>
      <c r="E13" s="3">
        <v>0</v>
      </c>
      <c r="F13" s="3">
        <v>0</v>
      </c>
      <c r="G13" s="3">
        <v>0</v>
      </c>
      <c r="H13" s="3">
        <v>0</v>
      </c>
      <c r="I13" s="3">
        <v>0</v>
      </c>
      <c r="J13" s="3">
        <v>0</v>
      </c>
      <c r="K13" s="3">
        <f t="shared" si="0"/>
        <v>26500000</v>
      </c>
      <c r="L13" s="3">
        <f t="shared" si="0"/>
        <v>0</v>
      </c>
      <c r="M13" s="3">
        <f t="shared" si="0"/>
        <v>0</v>
      </c>
      <c r="N13" s="3">
        <f t="shared" si="1"/>
        <v>26500000</v>
      </c>
      <c r="O13" s="1" t="s">
        <v>134</v>
      </c>
    </row>
    <row r="14" spans="1:15" x14ac:dyDescent="0.15">
      <c r="A14" s="1">
        <v>1982</v>
      </c>
      <c r="B14" s="3">
        <v>26319000</v>
      </c>
      <c r="C14" s="3">
        <v>0</v>
      </c>
      <c r="D14" s="3">
        <v>0</v>
      </c>
      <c r="E14" s="3">
        <f>300000+1400000</f>
        <v>1700000</v>
      </c>
      <c r="F14" s="3">
        <v>0</v>
      </c>
      <c r="G14" s="3">
        <v>0</v>
      </c>
      <c r="H14" s="3">
        <v>0</v>
      </c>
      <c r="I14" s="3">
        <v>0</v>
      </c>
      <c r="J14" s="3">
        <v>0</v>
      </c>
      <c r="K14" s="3">
        <f t="shared" si="0"/>
        <v>28019000</v>
      </c>
      <c r="L14" s="3">
        <f t="shared" si="0"/>
        <v>0</v>
      </c>
      <c r="M14" s="3">
        <f t="shared" si="0"/>
        <v>0</v>
      </c>
      <c r="N14" s="3">
        <f t="shared" si="1"/>
        <v>28019000</v>
      </c>
    </row>
    <row r="15" spans="1:15" x14ac:dyDescent="0.15">
      <c r="A15" s="1">
        <v>1983</v>
      </c>
      <c r="B15" s="3">
        <v>29217000</v>
      </c>
      <c r="C15" s="3">
        <v>0</v>
      </c>
      <c r="D15" s="3">
        <v>0</v>
      </c>
      <c r="E15" s="3">
        <f>300000+1400000</f>
        <v>1700000</v>
      </c>
      <c r="F15" s="3">
        <v>0</v>
      </c>
      <c r="G15" s="3">
        <v>0</v>
      </c>
      <c r="H15" s="3">
        <v>0</v>
      </c>
      <c r="I15" s="3">
        <v>0</v>
      </c>
      <c r="J15" s="3">
        <v>0</v>
      </c>
      <c r="K15" s="3">
        <f t="shared" si="0"/>
        <v>30917000</v>
      </c>
      <c r="L15" s="3">
        <f t="shared" si="0"/>
        <v>0</v>
      </c>
      <c r="M15" s="3">
        <f t="shared" si="0"/>
        <v>0</v>
      </c>
      <c r="N15" s="3">
        <f t="shared" si="1"/>
        <v>30917000</v>
      </c>
    </row>
    <row r="16" spans="1:15" x14ac:dyDescent="0.15">
      <c r="A16" s="1">
        <v>1984</v>
      </c>
      <c r="B16" s="3">
        <v>43534000</v>
      </c>
      <c r="C16" s="3">
        <v>0</v>
      </c>
      <c r="D16" s="3">
        <v>0</v>
      </c>
      <c r="E16" s="3">
        <v>0</v>
      </c>
      <c r="F16" s="3">
        <v>0</v>
      </c>
      <c r="G16" s="3">
        <v>0</v>
      </c>
      <c r="H16" s="3">
        <v>0</v>
      </c>
      <c r="I16" s="3">
        <v>0</v>
      </c>
      <c r="J16" s="3">
        <v>0</v>
      </c>
      <c r="K16" s="3">
        <f t="shared" si="0"/>
        <v>43534000</v>
      </c>
      <c r="L16" s="3">
        <f t="shared" si="0"/>
        <v>0</v>
      </c>
      <c r="M16" s="3">
        <f t="shared" si="0"/>
        <v>0</v>
      </c>
      <c r="N16" s="3">
        <f t="shared" si="1"/>
        <v>43534000</v>
      </c>
    </row>
    <row r="17" spans="1:14" x14ac:dyDescent="0.15">
      <c r="A17" s="1">
        <v>1985</v>
      </c>
      <c r="B17" s="3">
        <v>50700000</v>
      </c>
      <c r="C17" s="3">
        <v>0</v>
      </c>
      <c r="D17" s="3">
        <v>0</v>
      </c>
      <c r="E17" s="3">
        <v>0</v>
      </c>
      <c r="F17" s="3">
        <v>0</v>
      </c>
      <c r="G17" s="3">
        <v>0</v>
      </c>
      <c r="H17" s="3">
        <v>0</v>
      </c>
      <c r="I17" s="3">
        <v>0</v>
      </c>
      <c r="J17" s="3">
        <v>0</v>
      </c>
      <c r="K17" s="3">
        <f t="shared" si="0"/>
        <v>50700000</v>
      </c>
      <c r="L17" s="3">
        <f t="shared" si="0"/>
        <v>0</v>
      </c>
      <c r="M17" s="3">
        <f t="shared" si="0"/>
        <v>0</v>
      </c>
      <c r="N17" s="3">
        <f t="shared" si="1"/>
        <v>50700000</v>
      </c>
    </row>
    <row r="18" spans="1:14" x14ac:dyDescent="0.15">
      <c r="A18" s="1">
        <v>1986</v>
      </c>
      <c r="B18" s="3">
        <v>52800000</v>
      </c>
      <c r="C18" s="3">
        <v>0</v>
      </c>
      <c r="D18" s="3">
        <v>0</v>
      </c>
      <c r="E18" s="3">
        <v>0</v>
      </c>
      <c r="F18" s="3">
        <v>0</v>
      </c>
      <c r="G18" s="3">
        <v>0</v>
      </c>
      <c r="H18" s="3">
        <v>0</v>
      </c>
      <c r="I18" s="3">
        <v>0</v>
      </c>
      <c r="J18" s="3">
        <v>0</v>
      </c>
      <c r="K18" s="3">
        <f t="shared" si="0"/>
        <v>52800000</v>
      </c>
      <c r="L18" s="3">
        <f t="shared" si="0"/>
        <v>0</v>
      </c>
      <c r="M18" s="3">
        <f t="shared" si="0"/>
        <v>0</v>
      </c>
      <c r="N18" s="3">
        <f t="shared" si="1"/>
        <v>52800000</v>
      </c>
    </row>
    <row r="19" spans="1:14" x14ac:dyDescent="0.15">
      <c r="A19" s="1">
        <v>1987</v>
      </c>
      <c r="B19" s="3">
        <v>59706000</v>
      </c>
      <c r="C19" s="3">
        <v>0</v>
      </c>
      <c r="D19" s="3">
        <v>0</v>
      </c>
      <c r="E19" s="3">
        <v>0</v>
      </c>
      <c r="F19" s="3">
        <v>0</v>
      </c>
      <c r="G19" s="3">
        <v>0</v>
      </c>
      <c r="H19" s="3">
        <v>0</v>
      </c>
      <c r="I19" s="3">
        <v>0</v>
      </c>
      <c r="J19" s="3">
        <v>0</v>
      </c>
      <c r="K19" s="3">
        <f t="shared" si="0"/>
        <v>59706000</v>
      </c>
      <c r="L19" s="3">
        <f t="shared" si="0"/>
        <v>0</v>
      </c>
      <c r="M19" s="3">
        <f t="shared" si="0"/>
        <v>0</v>
      </c>
      <c r="N19" s="3">
        <f t="shared" si="1"/>
        <v>59706000</v>
      </c>
    </row>
    <row r="20" spans="1:14" x14ac:dyDescent="0.15">
      <c r="A20" s="1">
        <v>1988</v>
      </c>
      <c r="B20" s="3">
        <v>60000000</v>
      </c>
      <c r="C20" s="3">
        <v>0</v>
      </c>
      <c r="D20" s="3">
        <v>0</v>
      </c>
      <c r="E20" s="3">
        <v>0</v>
      </c>
      <c r="F20" s="3">
        <v>0</v>
      </c>
      <c r="G20" s="3">
        <v>0</v>
      </c>
      <c r="H20" s="3">
        <v>0</v>
      </c>
      <c r="I20" s="3">
        <v>0</v>
      </c>
      <c r="J20" s="3">
        <v>0</v>
      </c>
      <c r="K20" s="3">
        <f t="shared" si="0"/>
        <v>60000000</v>
      </c>
      <c r="L20" s="3">
        <f t="shared" si="0"/>
        <v>0</v>
      </c>
      <c r="M20" s="3">
        <f t="shared" si="0"/>
        <v>0</v>
      </c>
      <c r="N20" s="3">
        <f t="shared" si="1"/>
        <v>60000000</v>
      </c>
    </row>
    <row r="21" spans="1:14" x14ac:dyDescent="0.15">
      <c r="A21" s="1">
        <v>1989</v>
      </c>
      <c r="B21" s="3">
        <v>62000000</v>
      </c>
      <c r="C21" s="3">
        <v>0</v>
      </c>
      <c r="D21" s="3">
        <v>0</v>
      </c>
      <c r="E21" s="3">
        <v>0</v>
      </c>
      <c r="F21" s="3">
        <v>0</v>
      </c>
      <c r="G21" s="3">
        <v>0</v>
      </c>
      <c r="H21" s="3">
        <v>0</v>
      </c>
      <c r="I21" s="3">
        <v>0</v>
      </c>
      <c r="J21" s="3">
        <v>0</v>
      </c>
      <c r="K21" s="3">
        <f t="shared" si="0"/>
        <v>62000000</v>
      </c>
      <c r="L21" s="3">
        <f t="shared" si="0"/>
        <v>0</v>
      </c>
      <c r="M21" s="3">
        <f t="shared" si="0"/>
        <v>0</v>
      </c>
      <c r="N21" s="3">
        <f t="shared" si="1"/>
        <v>62000000</v>
      </c>
    </row>
    <row r="22" spans="1:14" x14ac:dyDescent="0.15">
      <c r="A22" s="1">
        <v>1990</v>
      </c>
      <c r="B22" s="3">
        <v>66000000</v>
      </c>
      <c r="C22" s="3">
        <v>0</v>
      </c>
      <c r="D22" s="3">
        <v>0</v>
      </c>
      <c r="E22" s="3">
        <v>2000000</v>
      </c>
      <c r="F22" s="3">
        <v>0</v>
      </c>
      <c r="G22" s="3">
        <v>0</v>
      </c>
      <c r="H22" s="3">
        <v>0</v>
      </c>
      <c r="I22" s="3">
        <v>0</v>
      </c>
      <c r="J22" s="3">
        <v>0</v>
      </c>
      <c r="K22" s="3">
        <f t="shared" ref="K22:M35" si="2">+B22+E22+H22</f>
        <v>68000000</v>
      </c>
      <c r="L22" s="3">
        <f t="shared" si="2"/>
        <v>0</v>
      </c>
      <c r="M22" s="3">
        <f t="shared" si="2"/>
        <v>0</v>
      </c>
      <c r="N22" s="3">
        <f t="shared" si="1"/>
        <v>68000000</v>
      </c>
    </row>
    <row r="23" spans="1:14" x14ac:dyDescent="0.15">
      <c r="A23" s="1">
        <v>1991</v>
      </c>
      <c r="B23" s="3">
        <v>74074000</v>
      </c>
      <c r="C23" s="3">
        <v>0</v>
      </c>
      <c r="D23" s="3">
        <v>0</v>
      </c>
      <c r="E23" s="3">
        <v>2000000</v>
      </c>
      <c r="F23" s="3">
        <v>0</v>
      </c>
      <c r="G23" s="3">
        <v>0</v>
      </c>
      <c r="H23" s="3">
        <v>0</v>
      </c>
      <c r="I23" s="3">
        <v>0</v>
      </c>
      <c r="J23" s="3">
        <v>0</v>
      </c>
      <c r="K23" s="3">
        <f t="shared" si="2"/>
        <v>76074000</v>
      </c>
      <c r="L23" s="3">
        <f t="shared" si="2"/>
        <v>0</v>
      </c>
      <c r="M23" s="3">
        <f t="shared" si="2"/>
        <v>0</v>
      </c>
      <c r="N23" s="3">
        <f t="shared" si="1"/>
        <v>76074000</v>
      </c>
    </row>
    <row r="24" spans="1:14" x14ac:dyDescent="0.15">
      <c r="A24" s="1">
        <v>1992</v>
      </c>
      <c r="B24" s="3">
        <v>75678000</v>
      </c>
      <c r="C24" s="3">
        <v>0</v>
      </c>
      <c r="D24" s="3">
        <v>0</v>
      </c>
      <c r="E24" s="3">
        <v>2000000</v>
      </c>
      <c r="F24" s="3">
        <v>0</v>
      </c>
      <c r="G24" s="3">
        <v>0</v>
      </c>
      <c r="H24" s="3">
        <v>0</v>
      </c>
      <c r="I24" s="3">
        <v>0</v>
      </c>
      <c r="J24" s="3">
        <v>0</v>
      </c>
      <c r="K24" s="3">
        <f t="shared" si="2"/>
        <v>77678000</v>
      </c>
      <c r="L24" s="3">
        <f t="shared" si="2"/>
        <v>0</v>
      </c>
      <c r="M24" s="3">
        <f t="shared" si="2"/>
        <v>0</v>
      </c>
      <c r="N24" s="3">
        <f t="shared" si="1"/>
        <v>77678000</v>
      </c>
    </row>
    <row r="25" spans="1:14" x14ac:dyDescent="0.15">
      <c r="A25" s="1">
        <v>1993</v>
      </c>
      <c r="B25" s="3">
        <v>79000000</v>
      </c>
      <c r="C25" s="3">
        <v>0</v>
      </c>
      <c r="D25" s="3">
        <v>0</v>
      </c>
      <c r="E25" s="3">
        <f>1300000+120000+250000+2500000</f>
        <v>4170000</v>
      </c>
      <c r="F25" s="3">
        <v>0</v>
      </c>
      <c r="G25" s="3">
        <v>0</v>
      </c>
      <c r="H25" s="3">
        <v>20000</v>
      </c>
      <c r="I25" s="3">
        <v>0</v>
      </c>
      <c r="J25" s="3">
        <v>0</v>
      </c>
      <c r="K25" s="3">
        <f t="shared" si="2"/>
        <v>83190000</v>
      </c>
      <c r="L25" s="3">
        <f t="shared" si="2"/>
        <v>0</v>
      </c>
      <c r="M25" s="3">
        <f t="shared" si="2"/>
        <v>0</v>
      </c>
      <c r="N25" s="3">
        <f t="shared" si="1"/>
        <v>83190000</v>
      </c>
    </row>
    <row r="26" spans="1:14" x14ac:dyDescent="0.15">
      <c r="A26" s="1">
        <v>1994</v>
      </c>
      <c r="B26" s="3">
        <v>99300000</v>
      </c>
      <c r="C26" s="3">
        <v>0</v>
      </c>
      <c r="D26" s="3">
        <v>0</v>
      </c>
      <c r="E26" s="3">
        <f>120000+3500000</f>
        <v>3620000</v>
      </c>
      <c r="F26" s="3">
        <v>0</v>
      </c>
      <c r="G26" s="3">
        <v>0</v>
      </c>
      <c r="H26" s="3">
        <v>40000</v>
      </c>
      <c r="I26" s="3">
        <v>0</v>
      </c>
      <c r="J26" s="3">
        <v>0</v>
      </c>
      <c r="K26" s="3">
        <f t="shared" si="2"/>
        <v>102960000</v>
      </c>
      <c r="L26" s="3">
        <f t="shared" si="2"/>
        <v>0</v>
      </c>
      <c r="M26" s="3">
        <f t="shared" si="2"/>
        <v>0</v>
      </c>
      <c r="N26" s="3">
        <f t="shared" si="1"/>
        <v>102960000</v>
      </c>
    </row>
    <row r="27" spans="1:14" x14ac:dyDescent="0.15">
      <c r="A27" s="1">
        <v>1995</v>
      </c>
      <c r="B27" s="3">
        <v>87800000</v>
      </c>
      <c r="C27" s="3">
        <v>0</v>
      </c>
      <c r="D27" s="3">
        <v>0</v>
      </c>
      <c r="E27" s="3">
        <f>97920000-B27</f>
        <v>10120000</v>
      </c>
      <c r="F27" s="3">
        <v>0</v>
      </c>
      <c r="G27" s="3">
        <v>0</v>
      </c>
      <c r="H27" s="3">
        <v>40000</v>
      </c>
      <c r="I27" s="3">
        <v>0</v>
      </c>
      <c r="J27" s="3">
        <v>0</v>
      </c>
      <c r="K27" s="3">
        <f t="shared" si="2"/>
        <v>97960000</v>
      </c>
      <c r="L27" s="3">
        <f t="shared" si="2"/>
        <v>0</v>
      </c>
      <c r="M27" s="3">
        <f t="shared" si="2"/>
        <v>0</v>
      </c>
      <c r="N27" s="3">
        <f t="shared" si="1"/>
        <v>97960000</v>
      </c>
    </row>
    <row r="28" spans="1:14" x14ac:dyDescent="0.15">
      <c r="A28" s="1">
        <v>1996</v>
      </c>
      <c r="B28" s="3">
        <v>88764377</v>
      </c>
      <c r="C28" s="3">
        <v>0</v>
      </c>
      <c r="D28" s="3">
        <v>0</v>
      </c>
      <c r="E28" s="3">
        <f>92069000-B28</f>
        <v>3304623</v>
      </c>
      <c r="F28" s="3">
        <v>0</v>
      </c>
      <c r="G28" s="3">
        <v>0</v>
      </c>
      <c r="H28" s="3">
        <v>30000</v>
      </c>
      <c r="I28" s="3">
        <v>0</v>
      </c>
      <c r="J28" s="3">
        <v>0</v>
      </c>
      <c r="K28" s="3">
        <f t="shared" si="2"/>
        <v>92099000</v>
      </c>
      <c r="L28" s="3">
        <f t="shared" si="2"/>
        <v>0</v>
      </c>
      <c r="M28" s="3">
        <f t="shared" si="2"/>
        <v>0</v>
      </c>
      <c r="N28" s="3">
        <f t="shared" si="1"/>
        <v>92099000</v>
      </c>
    </row>
    <row r="29" spans="1:14" x14ac:dyDescent="0.15">
      <c r="A29" s="1">
        <v>1997</v>
      </c>
      <c r="B29" s="3">
        <v>89298269</v>
      </c>
      <c r="C29" s="3">
        <v>0</v>
      </c>
      <c r="D29" s="3">
        <v>0</v>
      </c>
      <c r="E29" s="3">
        <f>92707000-B29</f>
        <v>3408731</v>
      </c>
      <c r="F29" s="3">
        <v>0</v>
      </c>
      <c r="G29" s="3">
        <v>0</v>
      </c>
      <c r="H29" s="3">
        <v>39000</v>
      </c>
      <c r="I29" s="3">
        <v>0</v>
      </c>
      <c r="J29" s="3">
        <v>0</v>
      </c>
      <c r="K29" s="3">
        <f t="shared" si="2"/>
        <v>92746000</v>
      </c>
      <c r="L29" s="3">
        <f t="shared" si="2"/>
        <v>0</v>
      </c>
      <c r="M29" s="3">
        <f t="shared" si="2"/>
        <v>0</v>
      </c>
      <c r="N29" s="3">
        <f t="shared" si="1"/>
        <v>92746000</v>
      </c>
    </row>
    <row r="30" spans="1:14" x14ac:dyDescent="0.15">
      <c r="A30" s="1">
        <v>1998</v>
      </c>
      <c r="B30" s="3">
        <f>44344992+48040407</f>
        <v>92385399</v>
      </c>
      <c r="C30" s="3">
        <v>0</v>
      </c>
      <c r="D30" s="3">
        <v>0</v>
      </c>
      <c r="E30" s="3">
        <f>96398000-B30</f>
        <v>4012601</v>
      </c>
      <c r="F30" s="3">
        <v>0</v>
      </c>
      <c r="G30" s="3">
        <v>0</v>
      </c>
      <c r="H30" s="3">
        <v>35000</v>
      </c>
      <c r="I30" s="3">
        <v>0</v>
      </c>
      <c r="J30" s="3">
        <v>0</v>
      </c>
      <c r="K30" s="3">
        <f t="shared" si="2"/>
        <v>96433000</v>
      </c>
      <c r="L30" s="3">
        <f t="shared" si="2"/>
        <v>0</v>
      </c>
      <c r="M30" s="3">
        <f t="shared" si="2"/>
        <v>0</v>
      </c>
      <c r="N30" s="3">
        <f t="shared" si="1"/>
        <v>96433000</v>
      </c>
    </row>
    <row r="31" spans="1:14" x14ac:dyDescent="0.15">
      <c r="A31" s="1">
        <v>1999</v>
      </c>
      <c r="B31" s="3">
        <v>108950000</v>
      </c>
      <c r="C31" s="3">
        <v>0</v>
      </c>
      <c r="D31" s="3">
        <v>0</v>
      </c>
      <c r="E31" s="3">
        <f>113381000-B31</f>
        <v>4431000</v>
      </c>
      <c r="F31" s="3">
        <v>0</v>
      </c>
      <c r="G31" s="3">
        <v>0</v>
      </c>
      <c r="H31" s="3">
        <v>48000</v>
      </c>
      <c r="I31" s="3">
        <v>0</v>
      </c>
      <c r="J31" s="3">
        <v>0</v>
      </c>
      <c r="K31" s="3">
        <f t="shared" si="2"/>
        <v>113429000</v>
      </c>
      <c r="L31" s="3">
        <f t="shared" si="2"/>
        <v>0</v>
      </c>
      <c r="M31" s="3">
        <f t="shared" si="2"/>
        <v>0</v>
      </c>
      <c r="N31" s="3">
        <f t="shared" si="1"/>
        <v>113429000</v>
      </c>
    </row>
    <row r="32" spans="1:14" x14ac:dyDescent="0.15">
      <c r="A32" s="1">
        <v>2000</v>
      </c>
      <c r="B32" s="3">
        <v>109534581</v>
      </c>
      <c r="C32" s="3">
        <v>0</v>
      </c>
      <c r="D32" s="3">
        <v>0</v>
      </c>
      <c r="E32" s="3">
        <v>4179769</v>
      </c>
      <c r="F32" s="3">
        <v>0</v>
      </c>
      <c r="G32" s="3">
        <v>0</v>
      </c>
      <c r="H32" s="3">
        <v>36000</v>
      </c>
      <c r="I32" s="3">
        <v>0</v>
      </c>
      <c r="J32" s="3">
        <v>0</v>
      </c>
      <c r="K32" s="3">
        <f t="shared" si="2"/>
        <v>113750350</v>
      </c>
      <c r="L32" s="3">
        <f t="shared" si="2"/>
        <v>0</v>
      </c>
      <c r="M32" s="3">
        <f t="shared" si="2"/>
        <v>0</v>
      </c>
      <c r="N32" s="3">
        <f t="shared" si="1"/>
        <v>113750350</v>
      </c>
    </row>
    <row r="33" spans="1:15" x14ac:dyDescent="0.15">
      <c r="A33" s="1">
        <v>2001</v>
      </c>
      <c r="B33" s="3">
        <f>55444138+60305628</f>
        <v>115749766</v>
      </c>
      <c r="C33" s="3">
        <v>0</v>
      </c>
      <c r="D33" s="3">
        <v>0</v>
      </c>
      <c r="E33" s="3">
        <f>4223614+452146</f>
        <v>4675760</v>
      </c>
      <c r="F33" s="3">
        <v>0</v>
      </c>
      <c r="G33" s="3">
        <v>0</v>
      </c>
      <c r="H33" s="3">
        <v>39000</v>
      </c>
      <c r="I33" s="3">
        <v>0</v>
      </c>
      <c r="J33" s="3">
        <v>0</v>
      </c>
      <c r="K33" s="3">
        <f t="shared" si="2"/>
        <v>120464526</v>
      </c>
      <c r="L33" s="3">
        <f t="shared" si="2"/>
        <v>0</v>
      </c>
      <c r="M33" s="3">
        <f t="shared" si="2"/>
        <v>0</v>
      </c>
      <c r="N33" s="3">
        <f t="shared" si="1"/>
        <v>120464526</v>
      </c>
    </row>
    <row r="34" spans="1:15" x14ac:dyDescent="0.15">
      <c r="A34" s="1">
        <v>2002</v>
      </c>
      <c r="B34" s="3">
        <v>125619336</v>
      </c>
      <c r="C34" s="3">
        <v>0</v>
      </c>
      <c r="D34" s="3">
        <v>0</v>
      </c>
      <c r="E34" s="3">
        <f>130370000-B34</f>
        <v>4750664</v>
      </c>
      <c r="F34" s="3">
        <v>0</v>
      </c>
      <c r="G34" s="3">
        <v>0</v>
      </c>
      <c r="H34" s="3">
        <v>38000</v>
      </c>
      <c r="I34" s="3">
        <v>0</v>
      </c>
      <c r="J34" s="3">
        <v>0</v>
      </c>
      <c r="K34" s="3">
        <f t="shared" si="2"/>
        <v>130408000</v>
      </c>
      <c r="L34" s="3">
        <f t="shared" si="2"/>
        <v>0</v>
      </c>
      <c r="M34" s="3">
        <f t="shared" si="2"/>
        <v>0</v>
      </c>
      <c r="N34" s="3">
        <f t="shared" si="1"/>
        <v>130408000</v>
      </c>
    </row>
    <row r="35" spans="1:15" x14ac:dyDescent="0.15">
      <c r="A35" s="1">
        <v>2003</v>
      </c>
      <c r="B35" s="3">
        <v>133586000</v>
      </c>
      <c r="C35" s="3">
        <v>0</v>
      </c>
      <c r="D35" s="3">
        <v>0</v>
      </c>
      <c r="E35" s="3">
        <v>0</v>
      </c>
      <c r="F35" s="3">
        <v>0</v>
      </c>
      <c r="G35" s="3">
        <v>2995575</v>
      </c>
      <c r="H35" s="3">
        <v>0</v>
      </c>
      <c r="I35" s="3">
        <v>0</v>
      </c>
      <c r="J35" s="3">
        <v>0</v>
      </c>
      <c r="K35" s="3">
        <f t="shared" si="2"/>
        <v>133586000</v>
      </c>
      <c r="L35" s="3">
        <f t="shared" si="2"/>
        <v>0</v>
      </c>
      <c r="M35" s="3">
        <f t="shared" si="2"/>
        <v>2995575</v>
      </c>
      <c r="N35" s="3">
        <f t="shared" si="1"/>
        <v>136581575</v>
      </c>
      <c r="O35" s="1" t="s">
        <v>280</v>
      </c>
    </row>
    <row r="36" spans="1:15" x14ac:dyDescent="0.15">
      <c r="A36" s="1">
        <v>2004</v>
      </c>
      <c r="B36" s="3">
        <v>115324000</v>
      </c>
      <c r="C36" s="3">
        <v>0</v>
      </c>
      <c r="D36" s="3">
        <v>0</v>
      </c>
      <c r="E36" s="3">
        <v>4258964</v>
      </c>
      <c r="F36" s="3">
        <v>0</v>
      </c>
      <c r="G36" s="3">
        <v>1875000</v>
      </c>
      <c r="H36" s="3">
        <v>57546</v>
      </c>
      <c r="I36" s="3">
        <v>0</v>
      </c>
      <c r="J36" s="3">
        <v>0</v>
      </c>
      <c r="K36" s="3">
        <v>119640510</v>
      </c>
      <c r="L36" s="3">
        <v>0</v>
      </c>
      <c r="M36" s="3">
        <v>1875000</v>
      </c>
      <c r="N36" s="3">
        <v>121515510</v>
      </c>
    </row>
    <row r="37" spans="1:15" x14ac:dyDescent="0.15">
      <c r="A37" s="1">
        <v>2005</v>
      </c>
      <c r="B37" s="3">
        <v>124437859</v>
      </c>
      <c r="C37" s="3">
        <v>0</v>
      </c>
      <c r="D37" s="3">
        <v>0</v>
      </c>
      <c r="E37" s="3">
        <v>6547974</v>
      </c>
      <c r="F37" s="3">
        <v>0</v>
      </c>
      <c r="G37" s="3">
        <v>0</v>
      </c>
      <c r="H37" s="3">
        <v>72282</v>
      </c>
      <c r="I37" s="3">
        <v>0</v>
      </c>
      <c r="J37" s="3">
        <v>0</v>
      </c>
      <c r="K37" s="3">
        <v>131058115</v>
      </c>
      <c r="L37" s="3">
        <v>0</v>
      </c>
      <c r="M37" s="3">
        <v>0</v>
      </c>
      <c r="N37" s="3">
        <v>131058115</v>
      </c>
    </row>
    <row r="38" spans="1:15" x14ac:dyDescent="0.15">
      <c r="A38" s="1">
        <v>2006</v>
      </c>
      <c r="B38" s="3">
        <v>124287299</v>
      </c>
      <c r="C38" s="3">
        <v>0</v>
      </c>
      <c r="D38" s="3">
        <v>0</v>
      </c>
      <c r="E38" s="3">
        <v>6633726</v>
      </c>
      <c r="F38" s="3">
        <v>0</v>
      </c>
      <c r="G38" s="3">
        <v>0</v>
      </c>
      <c r="H38" s="3">
        <v>88775</v>
      </c>
      <c r="I38" s="3">
        <v>0</v>
      </c>
      <c r="J38" s="3">
        <v>0</v>
      </c>
      <c r="K38" s="3">
        <v>131009800</v>
      </c>
      <c r="L38" s="3">
        <v>0</v>
      </c>
      <c r="M38" s="3">
        <v>0</v>
      </c>
      <c r="N38" s="3">
        <v>131009800</v>
      </c>
    </row>
    <row r="39" spans="1:15" x14ac:dyDescent="0.15">
      <c r="A39" s="1">
        <v>2007</v>
      </c>
      <c r="B39" s="3">
        <v>156096165</v>
      </c>
      <c r="C39" s="3">
        <v>0</v>
      </c>
      <c r="D39" s="3">
        <v>0</v>
      </c>
      <c r="E39" s="3">
        <v>6744191</v>
      </c>
      <c r="F39" s="3">
        <v>146590</v>
      </c>
      <c r="G39" s="3">
        <v>0</v>
      </c>
      <c r="H39" s="3">
        <v>79002</v>
      </c>
      <c r="I39" s="3">
        <v>0</v>
      </c>
      <c r="J39" s="3">
        <v>0</v>
      </c>
      <c r="K39" s="3">
        <v>162919358</v>
      </c>
      <c r="L39" s="3">
        <v>146590</v>
      </c>
      <c r="M39" s="3">
        <v>0</v>
      </c>
      <c r="N39" s="3">
        <v>163065948</v>
      </c>
    </row>
    <row r="40" spans="1:15" x14ac:dyDescent="0.15">
      <c r="A40" s="1">
        <v>2008</v>
      </c>
      <c r="B40" s="3">
        <v>148674145</v>
      </c>
      <c r="C40" s="3">
        <v>0</v>
      </c>
      <c r="D40" s="3">
        <v>0</v>
      </c>
      <c r="E40" s="3">
        <v>7710979</v>
      </c>
      <c r="F40" s="3">
        <v>127598</v>
      </c>
      <c r="G40" s="3">
        <v>0</v>
      </c>
      <c r="H40" s="3">
        <v>47863</v>
      </c>
      <c r="I40" s="3">
        <v>0</v>
      </c>
      <c r="J40" s="3">
        <v>0</v>
      </c>
      <c r="K40" s="3">
        <v>156432987</v>
      </c>
      <c r="L40" s="3">
        <v>127598</v>
      </c>
      <c r="M40" s="3">
        <v>0</v>
      </c>
      <c r="N40" s="3">
        <v>156560585</v>
      </c>
    </row>
    <row r="41" spans="1:15" x14ac:dyDescent="0.15">
      <c r="A41" s="1">
        <v>2009</v>
      </c>
      <c r="B41" s="3">
        <v>143520145</v>
      </c>
      <c r="C41" s="3">
        <v>0</v>
      </c>
      <c r="D41" s="3">
        <v>0</v>
      </c>
      <c r="E41" s="3">
        <v>9805617</v>
      </c>
      <c r="F41" s="3">
        <v>128129</v>
      </c>
      <c r="G41" s="3">
        <v>0</v>
      </c>
      <c r="H41" s="3">
        <v>56594</v>
      </c>
      <c r="I41" s="3">
        <v>0</v>
      </c>
      <c r="J41" s="3">
        <v>0</v>
      </c>
      <c r="K41" s="3">
        <v>153382356</v>
      </c>
      <c r="L41" s="3">
        <v>128129</v>
      </c>
      <c r="M41" s="3">
        <v>0</v>
      </c>
      <c r="N41" s="3">
        <v>153510485</v>
      </c>
    </row>
    <row r="42" spans="1:15" x14ac:dyDescent="0.15">
      <c r="A42" s="1">
        <v>2010</v>
      </c>
      <c r="B42" s="3">
        <v>168503310</v>
      </c>
      <c r="C42" s="3">
        <v>0</v>
      </c>
      <c r="D42" s="3">
        <v>0</v>
      </c>
      <c r="E42" s="3">
        <v>17344734</v>
      </c>
      <c r="F42" s="3">
        <v>165764</v>
      </c>
      <c r="G42" s="3">
        <v>0</v>
      </c>
      <c r="H42" s="3">
        <v>78328</v>
      </c>
      <c r="I42" s="3">
        <v>0</v>
      </c>
      <c r="J42" s="3">
        <v>0</v>
      </c>
      <c r="K42" s="3">
        <v>185926372</v>
      </c>
      <c r="L42" s="3">
        <v>165764</v>
      </c>
      <c r="M42" s="3">
        <v>0</v>
      </c>
      <c r="N42" s="3">
        <v>186092136</v>
      </c>
    </row>
    <row r="43" spans="1:15" x14ac:dyDescent="0.15">
      <c r="A43" s="1">
        <v>2011</v>
      </c>
      <c r="B43" s="3">
        <v>119893607</v>
      </c>
      <c r="C43" s="3">
        <v>0</v>
      </c>
      <c r="D43" s="3">
        <v>0</v>
      </c>
      <c r="E43" s="3">
        <v>9532494</v>
      </c>
      <c r="F43" s="3">
        <v>181233</v>
      </c>
      <c r="G43" s="3">
        <v>0</v>
      </c>
      <c r="H43" s="3">
        <v>646851</v>
      </c>
      <c r="I43" s="3">
        <v>299402</v>
      </c>
      <c r="J43" s="3">
        <v>0</v>
      </c>
      <c r="K43" s="3">
        <v>130072952</v>
      </c>
      <c r="L43" s="3">
        <v>480635</v>
      </c>
      <c r="M43" s="3">
        <v>0</v>
      </c>
      <c r="N43" s="3">
        <v>130553587</v>
      </c>
    </row>
    <row r="44" spans="1:15" x14ac:dyDescent="0.15">
      <c r="A44" s="1">
        <v>2012</v>
      </c>
      <c r="B44" s="3">
        <v>142725096</v>
      </c>
      <c r="C44" s="3">
        <v>0</v>
      </c>
      <c r="D44" s="3">
        <v>0</v>
      </c>
      <c r="E44" s="3">
        <v>7426993</v>
      </c>
      <c r="F44" s="3">
        <v>138000</v>
      </c>
      <c r="G44" s="3">
        <v>0</v>
      </c>
      <c r="H44" s="3">
        <v>73450</v>
      </c>
      <c r="I44" s="3">
        <v>14421</v>
      </c>
      <c r="J44" s="3">
        <v>813105</v>
      </c>
      <c r="K44" s="3">
        <v>150225539</v>
      </c>
      <c r="L44" s="3">
        <v>152421</v>
      </c>
      <c r="M44" s="3">
        <v>813105</v>
      </c>
      <c r="N44" s="3">
        <v>151191065</v>
      </c>
    </row>
    <row r="45" spans="1:15" x14ac:dyDescent="0.15">
      <c r="A45" s="1">
        <v>2013</v>
      </c>
      <c r="B45" s="3">
        <v>161417752</v>
      </c>
      <c r="C45" s="3">
        <v>0</v>
      </c>
      <c r="D45" s="3">
        <v>0</v>
      </c>
      <c r="E45" s="3">
        <v>7780674</v>
      </c>
      <c r="F45" s="3">
        <v>253595</v>
      </c>
      <c r="G45" s="3">
        <v>0</v>
      </c>
      <c r="H45" s="3">
        <v>52189</v>
      </c>
      <c r="I45" s="3">
        <v>10488</v>
      </c>
      <c r="J45" s="3">
        <v>821054</v>
      </c>
      <c r="K45" s="3">
        <v>169250615</v>
      </c>
      <c r="L45" s="3">
        <v>264083</v>
      </c>
      <c r="M45" s="3">
        <v>821054</v>
      </c>
      <c r="N45" s="3">
        <v>170335752</v>
      </c>
    </row>
    <row r="46" spans="1:15" x14ac:dyDescent="0.15">
      <c r="A46" s="1">
        <v>2014</v>
      </c>
      <c r="B46" s="3">
        <v>172513978</v>
      </c>
      <c r="C46" s="3">
        <v>0</v>
      </c>
      <c r="D46" s="3">
        <v>0</v>
      </c>
      <c r="E46" s="3">
        <v>7421589</v>
      </c>
      <c r="F46" s="3">
        <v>295715</v>
      </c>
      <c r="G46" s="3">
        <v>0</v>
      </c>
      <c r="H46" s="3">
        <v>63025</v>
      </c>
      <c r="I46" s="3">
        <v>0</v>
      </c>
      <c r="J46" s="3">
        <v>1394568</v>
      </c>
      <c r="K46" s="3">
        <v>179998592</v>
      </c>
      <c r="L46" s="3">
        <v>295715</v>
      </c>
      <c r="M46" s="3">
        <v>1394568</v>
      </c>
      <c r="N46" s="3">
        <v>181688875</v>
      </c>
    </row>
    <row r="47" spans="1:15" x14ac:dyDescent="0.15">
      <c r="A47" s="1">
        <v>2015</v>
      </c>
      <c r="B47" s="3">
        <v>177033125</v>
      </c>
      <c r="C47" s="3">
        <v>0</v>
      </c>
      <c r="D47" s="3">
        <v>0</v>
      </c>
      <c r="E47" s="3">
        <v>8908629</v>
      </c>
      <c r="F47" s="3">
        <v>351997</v>
      </c>
      <c r="G47" s="3">
        <v>0</v>
      </c>
      <c r="H47" s="3">
        <v>1056778</v>
      </c>
      <c r="I47" s="3">
        <v>455217</v>
      </c>
      <c r="J47" s="3">
        <v>0</v>
      </c>
      <c r="K47" s="3">
        <v>186998532</v>
      </c>
      <c r="L47" s="3">
        <v>807214</v>
      </c>
      <c r="M47" s="3">
        <v>0</v>
      </c>
      <c r="N47" s="3">
        <v>187805746</v>
      </c>
    </row>
    <row r="48" spans="1:15" x14ac:dyDescent="0.15">
      <c r="A48" s="1">
        <v>2016</v>
      </c>
      <c r="B48" s="3">
        <v>173493068</v>
      </c>
      <c r="C48" s="3">
        <v>0</v>
      </c>
      <c r="D48" s="3">
        <v>0</v>
      </c>
      <c r="E48" s="3">
        <v>7531262</v>
      </c>
      <c r="F48" s="3">
        <v>419717</v>
      </c>
      <c r="G48" s="3">
        <v>0</v>
      </c>
      <c r="H48" s="3">
        <v>1157848</v>
      </c>
      <c r="I48" s="3">
        <v>441760</v>
      </c>
      <c r="J48" s="3">
        <v>0</v>
      </c>
      <c r="K48" s="3">
        <v>182182178</v>
      </c>
      <c r="L48" s="3">
        <v>861477</v>
      </c>
      <c r="M48" s="3">
        <v>0</v>
      </c>
      <c r="N48" s="3">
        <v>183043655</v>
      </c>
    </row>
  </sheetData>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29</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340000</v>
      </c>
      <c r="C8" s="3">
        <v>0</v>
      </c>
      <c r="D8" s="3">
        <v>0</v>
      </c>
      <c r="E8" s="3">
        <v>0</v>
      </c>
      <c r="F8" s="3">
        <v>0</v>
      </c>
      <c r="G8" s="3">
        <v>0</v>
      </c>
      <c r="H8" s="3">
        <v>0</v>
      </c>
      <c r="I8" s="3">
        <v>0</v>
      </c>
      <c r="J8" s="3">
        <v>0</v>
      </c>
      <c r="K8" s="3">
        <f t="shared" si="0"/>
        <v>340000</v>
      </c>
      <c r="L8" s="3">
        <f t="shared" si="0"/>
        <v>0</v>
      </c>
      <c r="M8" s="3">
        <f t="shared" si="0"/>
        <v>0</v>
      </c>
      <c r="N8" s="3">
        <f t="shared" si="1"/>
        <v>340000</v>
      </c>
      <c r="O8" s="1" t="s">
        <v>90</v>
      </c>
    </row>
    <row r="9" spans="1:15" x14ac:dyDescent="0.15">
      <c r="A9" s="1">
        <v>1977</v>
      </c>
      <c r="B9" s="3">
        <v>711000</v>
      </c>
      <c r="C9" s="3">
        <v>0</v>
      </c>
      <c r="D9" s="3">
        <v>0</v>
      </c>
      <c r="E9" s="3">
        <v>0</v>
      </c>
      <c r="F9" s="3">
        <v>0</v>
      </c>
      <c r="G9" s="3">
        <v>0</v>
      </c>
      <c r="H9" s="3">
        <v>0</v>
      </c>
      <c r="I9" s="3">
        <v>0</v>
      </c>
      <c r="J9" s="3">
        <v>0</v>
      </c>
      <c r="K9" s="3">
        <f t="shared" si="0"/>
        <v>711000</v>
      </c>
      <c r="L9" s="3">
        <f t="shared" si="0"/>
        <v>0</v>
      </c>
      <c r="M9" s="3">
        <f t="shared" si="0"/>
        <v>0</v>
      </c>
      <c r="N9" s="3">
        <f t="shared" si="1"/>
        <v>711000</v>
      </c>
    </row>
    <row r="10" spans="1:15" x14ac:dyDescent="0.15">
      <c r="A10" s="1">
        <v>1978</v>
      </c>
      <c r="B10" s="3">
        <v>1064000</v>
      </c>
      <c r="C10" s="3">
        <v>0</v>
      </c>
      <c r="D10" s="3">
        <v>0</v>
      </c>
      <c r="E10" s="3">
        <v>0</v>
      </c>
      <c r="F10" s="3">
        <v>0</v>
      </c>
      <c r="G10" s="3">
        <v>0</v>
      </c>
      <c r="H10" s="3">
        <v>0</v>
      </c>
      <c r="I10" s="3">
        <v>0</v>
      </c>
      <c r="J10" s="3">
        <v>0</v>
      </c>
      <c r="K10" s="3">
        <f t="shared" si="0"/>
        <v>1064000</v>
      </c>
      <c r="L10" s="3">
        <f t="shared" si="0"/>
        <v>0</v>
      </c>
      <c r="M10" s="3">
        <f t="shared" si="0"/>
        <v>0</v>
      </c>
      <c r="N10" s="3">
        <f t="shared" si="1"/>
        <v>1064000</v>
      </c>
    </row>
    <row r="11" spans="1:15" x14ac:dyDescent="0.15">
      <c r="A11" s="1">
        <v>1979</v>
      </c>
      <c r="B11" s="3">
        <v>1064000</v>
      </c>
      <c r="C11" s="3">
        <v>0</v>
      </c>
      <c r="D11" s="3">
        <v>0</v>
      </c>
      <c r="E11" s="3">
        <v>0</v>
      </c>
      <c r="F11" s="3">
        <v>0</v>
      </c>
      <c r="G11" s="3">
        <v>0</v>
      </c>
      <c r="H11" s="3">
        <v>0</v>
      </c>
      <c r="I11" s="3">
        <v>0</v>
      </c>
      <c r="J11" s="3">
        <v>0</v>
      </c>
      <c r="K11" s="3">
        <f t="shared" si="0"/>
        <v>1064000</v>
      </c>
      <c r="L11" s="3">
        <f t="shared" si="0"/>
        <v>0</v>
      </c>
      <c r="M11" s="3">
        <f t="shared" si="0"/>
        <v>0</v>
      </c>
      <c r="N11" s="3">
        <f t="shared" si="1"/>
        <v>1064000</v>
      </c>
      <c r="O11" s="1" t="s">
        <v>116</v>
      </c>
    </row>
    <row r="12" spans="1:15" x14ac:dyDescent="0.15">
      <c r="A12" s="1">
        <v>1980</v>
      </c>
      <c r="B12" s="3">
        <v>2516000</v>
      </c>
      <c r="C12" s="3">
        <v>0</v>
      </c>
      <c r="D12" s="3">
        <v>0</v>
      </c>
      <c r="E12" s="3">
        <v>0</v>
      </c>
      <c r="F12" s="3">
        <v>0</v>
      </c>
      <c r="G12" s="3">
        <v>0</v>
      </c>
      <c r="H12" s="3">
        <v>0</v>
      </c>
      <c r="I12" s="3">
        <v>0</v>
      </c>
      <c r="J12" s="3">
        <v>0</v>
      </c>
      <c r="K12" s="3">
        <f t="shared" si="0"/>
        <v>2516000</v>
      </c>
      <c r="L12" s="3">
        <f t="shared" si="0"/>
        <v>0</v>
      </c>
      <c r="M12" s="3">
        <f t="shared" si="0"/>
        <v>0</v>
      </c>
      <c r="N12" s="3">
        <f t="shared" si="1"/>
        <v>2516000</v>
      </c>
    </row>
    <row r="13" spans="1:15" x14ac:dyDescent="0.15">
      <c r="A13" s="1">
        <v>1981</v>
      </c>
      <c r="B13" s="3">
        <v>1302000</v>
      </c>
      <c r="C13" s="3">
        <v>0</v>
      </c>
      <c r="D13" s="3">
        <v>0</v>
      </c>
      <c r="E13" s="3">
        <v>0</v>
      </c>
      <c r="F13" s="3">
        <v>0</v>
      </c>
      <c r="G13" s="3">
        <v>0</v>
      </c>
      <c r="H13" s="3">
        <v>0</v>
      </c>
      <c r="I13" s="3">
        <v>0</v>
      </c>
      <c r="J13" s="3">
        <v>0</v>
      </c>
      <c r="K13" s="3">
        <f t="shared" si="0"/>
        <v>1302000</v>
      </c>
      <c r="L13" s="3">
        <f t="shared" si="0"/>
        <v>0</v>
      </c>
      <c r="M13" s="3">
        <f t="shared" si="0"/>
        <v>0</v>
      </c>
      <c r="N13" s="3">
        <f t="shared" si="1"/>
        <v>1302000</v>
      </c>
    </row>
    <row r="14" spans="1:15" x14ac:dyDescent="0.15">
      <c r="A14" s="1">
        <v>1982</v>
      </c>
      <c r="B14" s="3">
        <v>1321000</v>
      </c>
      <c r="C14" s="3">
        <v>0</v>
      </c>
      <c r="D14" s="3">
        <v>0</v>
      </c>
      <c r="E14" s="3">
        <v>0</v>
      </c>
      <c r="F14" s="3">
        <v>0</v>
      </c>
      <c r="G14" s="3">
        <v>0</v>
      </c>
      <c r="H14" s="3">
        <f>442000+22000</f>
        <v>464000</v>
      </c>
      <c r="I14" s="3">
        <v>201000</v>
      </c>
      <c r="J14" s="3">
        <v>116000</v>
      </c>
      <c r="K14" s="3">
        <f t="shared" si="0"/>
        <v>1785000</v>
      </c>
      <c r="L14" s="3">
        <f t="shared" si="0"/>
        <v>201000</v>
      </c>
      <c r="M14" s="3">
        <f t="shared" si="0"/>
        <v>116000</v>
      </c>
      <c r="N14" s="3">
        <f t="shared" si="1"/>
        <v>2102000</v>
      </c>
    </row>
    <row r="15" spans="1:15" x14ac:dyDescent="0.15">
      <c r="A15" s="1">
        <v>1983</v>
      </c>
      <c r="B15" s="3">
        <v>1247000</v>
      </c>
      <c r="C15" s="3">
        <v>0</v>
      </c>
      <c r="D15" s="3">
        <v>0</v>
      </c>
      <c r="E15" s="3">
        <v>0</v>
      </c>
      <c r="F15" s="3">
        <v>0</v>
      </c>
      <c r="G15" s="3">
        <v>0</v>
      </c>
      <c r="H15" s="3">
        <f>442000+22000</f>
        <v>464000</v>
      </c>
      <c r="I15" s="3">
        <v>150000</v>
      </c>
      <c r="J15" s="3">
        <v>116000</v>
      </c>
      <c r="K15" s="3">
        <f t="shared" si="0"/>
        <v>1711000</v>
      </c>
      <c r="L15" s="3">
        <f t="shared" si="0"/>
        <v>150000</v>
      </c>
      <c r="M15" s="3">
        <f t="shared" si="0"/>
        <v>116000</v>
      </c>
      <c r="N15" s="3">
        <f t="shared" si="1"/>
        <v>1977000</v>
      </c>
    </row>
    <row r="16" spans="1:15" x14ac:dyDescent="0.15">
      <c r="A16" s="1">
        <v>1984</v>
      </c>
      <c r="B16" s="3">
        <v>0</v>
      </c>
      <c r="C16" s="3">
        <v>0</v>
      </c>
      <c r="D16" s="3">
        <v>1015000</v>
      </c>
      <c r="E16" s="3">
        <v>0</v>
      </c>
      <c r="F16" s="3">
        <v>0</v>
      </c>
      <c r="G16" s="3">
        <v>0</v>
      </c>
      <c r="H16" s="3">
        <v>1268000</v>
      </c>
      <c r="I16" s="3">
        <v>242000</v>
      </c>
      <c r="J16" s="3">
        <v>0</v>
      </c>
      <c r="K16" s="3">
        <f t="shared" si="0"/>
        <v>1268000</v>
      </c>
      <c r="L16" s="3">
        <f t="shared" si="0"/>
        <v>242000</v>
      </c>
      <c r="M16" s="3">
        <f t="shared" si="0"/>
        <v>1015000</v>
      </c>
      <c r="N16" s="3">
        <f t="shared" si="1"/>
        <v>2525000</v>
      </c>
    </row>
    <row r="17" spans="1:15" x14ac:dyDescent="0.15">
      <c r="A17" s="1">
        <v>1985</v>
      </c>
      <c r="B17" s="3">
        <v>1286000</v>
      </c>
      <c r="C17" s="3">
        <v>0</v>
      </c>
      <c r="D17" s="3">
        <v>0</v>
      </c>
      <c r="E17" s="3">
        <v>0</v>
      </c>
      <c r="F17" s="3">
        <v>0</v>
      </c>
      <c r="G17" s="3">
        <v>0</v>
      </c>
      <c r="H17" s="3">
        <v>1067000</v>
      </c>
      <c r="I17" s="3">
        <v>262000</v>
      </c>
      <c r="J17" s="3">
        <v>0</v>
      </c>
      <c r="K17" s="3">
        <f t="shared" si="0"/>
        <v>2353000</v>
      </c>
      <c r="L17" s="3">
        <f t="shared" si="0"/>
        <v>262000</v>
      </c>
      <c r="M17" s="3">
        <f t="shared" si="0"/>
        <v>0</v>
      </c>
      <c r="N17" s="3">
        <f t="shared" si="1"/>
        <v>2615000</v>
      </c>
    </row>
    <row r="18" spans="1:15" x14ac:dyDescent="0.15">
      <c r="A18" s="1">
        <v>1986</v>
      </c>
      <c r="B18" s="3">
        <v>1286000</v>
      </c>
      <c r="C18" s="3">
        <v>0</v>
      </c>
      <c r="D18" s="3">
        <v>0</v>
      </c>
      <c r="E18" s="3">
        <v>0</v>
      </c>
      <c r="F18" s="3">
        <v>0</v>
      </c>
      <c r="G18" s="3">
        <v>0</v>
      </c>
      <c r="H18" s="3">
        <v>945000</v>
      </c>
      <c r="I18" s="3">
        <v>325000</v>
      </c>
      <c r="J18" s="3">
        <v>0</v>
      </c>
      <c r="K18" s="3">
        <f t="shared" si="0"/>
        <v>2231000</v>
      </c>
      <c r="L18" s="3">
        <f t="shared" si="0"/>
        <v>325000</v>
      </c>
      <c r="M18" s="3">
        <f t="shared" si="0"/>
        <v>0</v>
      </c>
      <c r="N18" s="3">
        <f t="shared" si="1"/>
        <v>2556000</v>
      </c>
    </row>
    <row r="19" spans="1:15" x14ac:dyDescent="0.15">
      <c r="A19" s="1">
        <v>1987</v>
      </c>
      <c r="B19" s="3">
        <v>1230000</v>
      </c>
      <c r="C19" s="3">
        <v>0</v>
      </c>
      <c r="D19" s="3">
        <v>0</v>
      </c>
      <c r="E19" s="3">
        <v>0</v>
      </c>
      <c r="F19" s="3">
        <v>0</v>
      </c>
      <c r="G19" s="3">
        <v>0</v>
      </c>
      <c r="H19" s="3">
        <v>545000</v>
      </c>
      <c r="I19" s="3">
        <v>280000</v>
      </c>
      <c r="J19" s="3">
        <v>0</v>
      </c>
      <c r="K19" s="3">
        <f t="shared" si="0"/>
        <v>1775000</v>
      </c>
      <c r="L19" s="3">
        <f t="shared" si="0"/>
        <v>280000</v>
      </c>
      <c r="M19" s="3">
        <f t="shared" si="0"/>
        <v>0</v>
      </c>
      <c r="N19" s="3">
        <f t="shared" si="1"/>
        <v>2055000</v>
      </c>
    </row>
    <row r="20" spans="1:15" x14ac:dyDescent="0.15">
      <c r="A20" s="1">
        <v>1988</v>
      </c>
      <c r="B20" s="3">
        <v>1406000</v>
      </c>
      <c r="C20" s="3">
        <v>0</v>
      </c>
      <c r="D20" s="3">
        <v>0</v>
      </c>
      <c r="E20" s="3">
        <v>0</v>
      </c>
      <c r="F20" s="3">
        <v>0</v>
      </c>
      <c r="G20" s="3">
        <v>0</v>
      </c>
      <c r="H20" s="3">
        <v>39000</v>
      </c>
      <c r="I20" s="3">
        <v>381000</v>
      </c>
      <c r="J20" s="3">
        <v>0</v>
      </c>
      <c r="K20" s="3">
        <f t="shared" si="0"/>
        <v>1445000</v>
      </c>
      <c r="L20" s="3">
        <f t="shared" si="0"/>
        <v>381000</v>
      </c>
      <c r="M20" s="3">
        <f t="shared" si="0"/>
        <v>0</v>
      </c>
      <c r="N20" s="3">
        <f t="shared" si="1"/>
        <v>1826000</v>
      </c>
    </row>
    <row r="21" spans="1:15" x14ac:dyDescent="0.15">
      <c r="A21" s="1">
        <v>1989</v>
      </c>
      <c r="B21" s="3">
        <v>1251000</v>
      </c>
      <c r="C21" s="3">
        <v>0</v>
      </c>
      <c r="D21" s="3">
        <v>0</v>
      </c>
      <c r="E21" s="3">
        <v>0</v>
      </c>
      <c r="F21" s="3">
        <v>0</v>
      </c>
      <c r="G21" s="3">
        <v>0</v>
      </c>
      <c r="H21" s="3">
        <v>430000</v>
      </c>
      <c r="I21" s="3">
        <v>560000</v>
      </c>
      <c r="J21" s="3">
        <v>0</v>
      </c>
      <c r="K21" s="3">
        <f t="shared" si="0"/>
        <v>1681000</v>
      </c>
      <c r="L21" s="3">
        <f t="shared" si="0"/>
        <v>560000</v>
      </c>
      <c r="M21" s="3">
        <f t="shared" si="0"/>
        <v>0</v>
      </c>
      <c r="N21" s="3">
        <f t="shared" si="1"/>
        <v>2241000</v>
      </c>
    </row>
    <row r="22" spans="1:15" x14ac:dyDescent="0.15">
      <c r="A22" s="1">
        <v>1990</v>
      </c>
      <c r="B22" s="3">
        <v>1243000</v>
      </c>
      <c r="C22" s="3">
        <v>0</v>
      </c>
      <c r="D22" s="3">
        <v>0</v>
      </c>
      <c r="E22" s="3">
        <v>0</v>
      </c>
      <c r="F22" s="3">
        <v>0</v>
      </c>
      <c r="G22" s="3">
        <v>0</v>
      </c>
      <c r="H22" s="3">
        <v>51000</v>
      </c>
      <c r="I22" s="3">
        <v>697000</v>
      </c>
      <c r="J22" s="3">
        <v>0</v>
      </c>
      <c r="K22" s="3">
        <f t="shared" ref="K22:M35" si="2">+B22+E22+H22</f>
        <v>1294000</v>
      </c>
      <c r="L22" s="3">
        <f t="shared" si="2"/>
        <v>697000</v>
      </c>
      <c r="M22" s="3">
        <f t="shared" si="2"/>
        <v>0</v>
      </c>
      <c r="N22" s="3">
        <f t="shared" si="1"/>
        <v>1991000</v>
      </c>
    </row>
    <row r="23" spans="1:15" x14ac:dyDescent="0.15">
      <c r="A23" s="1">
        <v>1991</v>
      </c>
      <c r="B23" s="3">
        <v>1136000</v>
      </c>
      <c r="C23" s="3">
        <v>0</v>
      </c>
      <c r="D23" s="3">
        <v>0</v>
      </c>
      <c r="E23" s="3">
        <v>0</v>
      </c>
      <c r="F23" s="3">
        <v>0</v>
      </c>
      <c r="G23" s="3">
        <v>0</v>
      </c>
      <c r="H23" s="3">
        <v>35000</v>
      </c>
      <c r="I23" s="3">
        <v>670000</v>
      </c>
      <c r="J23" s="3">
        <v>0</v>
      </c>
      <c r="K23" s="3">
        <f t="shared" si="2"/>
        <v>1171000</v>
      </c>
      <c r="L23" s="3">
        <f t="shared" si="2"/>
        <v>670000</v>
      </c>
      <c r="M23" s="3">
        <f t="shared" si="2"/>
        <v>0</v>
      </c>
      <c r="N23" s="3">
        <f t="shared" si="1"/>
        <v>1841000</v>
      </c>
    </row>
    <row r="24" spans="1:15" x14ac:dyDescent="0.15">
      <c r="A24" s="1">
        <v>1992</v>
      </c>
      <c r="B24" s="3">
        <v>1175000</v>
      </c>
      <c r="C24" s="3">
        <v>0</v>
      </c>
      <c r="D24" s="3">
        <v>0</v>
      </c>
      <c r="E24" s="3">
        <v>0</v>
      </c>
      <c r="F24" s="3">
        <v>0</v>
      </c>
      <c r="G24" s="3">
        <v>0</v>
      </c>
      <c r="H24" s="3">
        <v>71000</v>
      </c>
      <c r="I24" s="3">
        <v>0</v>
      </c>
      <c r="J24" s="3">
        <v>0</v>
      </c>
      <c r="K24" s="3">
        <f t="shared" si="2"/>
        <v>1246000</v>
      </c>
      <c r="L24" s="3">
        <f t="shared" si="2"/>
        <v>0</v>
      </c>
      <c r="M24" s="3">
        <f t="shared" si="2"/>
        <v>0</v>
      </c>
      <c r="N24" s="3">
        <f t="shared" si="1"/>
        <v>1246000</v>
      </c>
    </row>
    <row r="25" spans="1:15" x14ac:dyDescent="0.15">
      <c r="A25" s="1">
        <v>1993</v>
      </c>
      <c r="B25" s="3">
        <v>1244000</v>
      </c>
      <c r="C25" s="3">
        <v>0</v>
      </c>
      <c r="D25" s="3">
        <v>0</v>
      </c>
      <c r="E25" s="3">
        <v>0</v>
      </c>
      <c r="F25" s="3">
        <v>0</v>
      </c>
      <c r="G25" s="3">
        <v>0</v>
      </c>
      <c r="H25" s="3">
        <v>57000</v>
      </c>
      <c r="I25" s="3">
        <v>50000</v>
      </c>
      <c r="J25" s="3">
        <v>0</v>
      </c>
      <c r="K25" s="3">
        <f t="shared" si="2"/>
        <v>1301000</v>
      </c>
      <c r="L25" s="3">
        <f t="shared" si="2"/>
        <v>50000</v>
      </c>
      <c r="M25" s="3">
        <f t="shared" si="2"/>
        <v>0</v>
      </c>
      <c r="N25" s="3">
        <f t="shared" si="1"/>
        <v>1351000</v>
      </c>
    </row>
    <row r="26" spans="1:15" x14ac:dyDescent="0.15">
      <c r="A26" s="1">
        <v>1994</v>
      </c>
      <c r="B26" s="3">
        <v>1255000</v>
      </c>
      <c r="C26" s="3">
        <v>0</v>
      </c>
      <c r="D26" s="3">
        <v>0</v>
      </c>
      <c r="E26" s="3">
        <v>0</v>
      </c>
      <c r="F26" s="3">
        <v>0</v>
      </c>
      <c r="G26" s="3">
        <v>0</v>
      </c>
      <c r="H26" s="3">
        <v>56000</v>
      </c>
      <c r="I26" s="3">
        <v>54000</v>
      </c>
      <c r="J26" s="3">
        <v>0</v>
      </c>
      <c r="K26" s="3">
        <f t="shared" si="2"/>
        <v>1311000</v>
      </c>
      <c r="L26" s="3">
        <f t="shared" si="2"/>
        <v>54000</v>
      </c>
      <c r="M26" s="3">
        <f t="shared" si="2"/>
        <v>0</v>
      </c>
      <c r="N26" s="3">
        <f t="shared" si="1"/>
        <v>1365000</v>
      </c>
    </row>
    <row r="27" spans="1:15" x14ac:dyDescent="0.15">
      <c r="A27" s="1">
        <v>1995</v>
      </c>
      <c r="B27" s="3">
        <v>1248000</v>
      </c>
      <c r="C27" s="3">
        <v>0</v>
      </c>
      <c r="D27" s="3">
        <v>0</v>
      </c>
      <c r="E27" s="3">
        <v>0</v>
      </c>
      <c r="F27" s="3">
        <v>0</v>
      </c>
      <c r="G27" s="3">
        <v>0</v>
      </c>
      <c r="H27" s="3">
        <v>58000</v>
      </c>
      <c r="I27" s="3">
        <v>48000</v>
      </c>
      <c r="J27" s="3">
        <v>0</v>
      </c>
      <c r="K27" s="3">
        <f t="shared" si="2"/>
        <v>1306000</v>
      </c>
      <c r="L27" s="3">
        <f t="shared" si="2"/>
        <v>48000</v>
      </c>
      <c r="M27" s="3">
        <f t="shared" si="2"/>
        <v>0</v>
      </c>
      <c r="N27" s="3">
        <f t="shared" si="1"/>
        <v>1354000</v>
      </c>
    </row>
    <row r="28" spans="1:15" x14ac:dyDescent="0.15">
      <c r="A28" s="1">
        <v>1996</v>
      </c>
      <c r="B28" s="3">
        <v>1174764</v>
      </c>
      <c r="C28" s="3">
        <v>0</v>
      </c>
      <c r="D28" s="3">
        <v>0</v>
      </c>
      <c r="E28" s="3">
        <v>0</v>
      </c>
      <c r="F28" s="3">
        <v>0</v>
      </c>
      <c r="G28" s="3">
        <v>0</v>
      </c>
      <c r="H28" s="3">
        <v>60000</v>
      </c>
      <c r="I28" s="3">
        <v>42000</v>
      </c>
      <c r="J28" s="3">
        <v>0</v>
      </c>
      <c r="K28" s="3">
        <f t="shared" si="2"/>
        <v>1234764</v>
      </c>
      <c r="L28" s="3">
        <f t="shared" si="2"/>
        <v>42000</v>
      </c>
      <c r="M28" s="3">
        <f t="shared" si="2"/>
        <v>0</v>
      </c>
      <c r="N28" s="3">
        <f t="shared" si="1"/>
        <v>1276764</v>
      </c>
    </row>
    <row r="29" spans="1:15" x14ac:dyDescent="0.15">
      <c r="A29" s="1">
        <v>1997</v>
      </c>
      <c r="B29" s="3">
        <v>540196</v>
      </c>
      <c r="C29" s="3">
        <v>0</v>
      </c>
      <c r="D29" s="3">
        <v>0</v>
      </c>
      <c r="E29" s="3">
        <v>0</v>
      </c>
      <c r="F29" s="3">
        <v>0</v>
      </c>
      <c r="G29" s="3">
        <v>0</v>
      </c>
      <c r="H29" s="3">
        <v>50000</v>
      </c>
      <c r="I29" s="3">
        <v>24000</v>
      </c>
      <c r="J29" s="3">
        <v>0</v>
      </c>
      <c r="K29" s="3">
        <f t="shared" si="2"/>
        <v>590196</v>
      </c>
      <c r="L29" s="3">
        <f t="shared" si="2"/>
        <v>24000</v>
      </c>
      <c r="M29" s="3">
        <f t="shared" si="2"/>
        <v>0</v>
      </c>
      <c r="N29" s="3">
        <f t="shared" si="1"/>
        <v>614196</v>
      </c>
    </row>
    <row r="30" spans="1:15" x14ac:dyDescent="0.15">
      <c r="A30" s="1">
        <v>1998</v>
      </c>
      <c r="B30" s="3">
        <f>780865+288813</f>
        <v>1069678</v>
      </c>
      <c r="C30" s="3">
        <v>0</v>
      </c>
      <c r="D30" s="3">
        <v>0</v>
      </c>
      <c r="E30" s="3">
        <v>0</v>
      </c>
      <c r="F30" s="3">
        <v>0</v>
      </c>
      <c r="G30" s="3">
        <v>0</v>
      </c>
      <c r="H30" s="3">
        <v>43000</v>
      </c>
      <c r="I30" s="3">
        <v>38000</v>
      </c>
      <c r="J30" s="3">
        <v>0</v>
      </c>
      <c r="K30" s="3">
        <f t="shared" si="2"/>
        <v>1112678</v>
      </c>
      <c r="L30" s="3">
        <f t="shared" si="2"/>
        <v>38000</v>
      </c>
      <c r="M30" s="3">
        <f t="shared" si="2"/>
        <v>0</v>
      </c>
      <c r="N30" s="3">
        <f t="shared" si="1"/>
        <v>1150678</v>
      </c>
    </row>
    <row r="31" spans="1:15" x14ac:dyDescent="0.15">
      <c r="A31" s="1">
        <v>1999</v>
      </c>
      <c r="B31" s="3">
        <v>859182</v>
      </c>
      <c r="C31" s="3">
        <v>0</v>
      </c>
      <c r="D31" s="3">
        <v>0</v>
      </c>
      <c r="E31" s="3">
        <v>0</v>
      </c>
      <c r="F31" s="3">
        <v>0</v>
      </c>
      <c r="G31" s="3">
        <v>0</v>
      </c>
      <c r="H31" s="3">
        <v>67000</v>
      </c>
      <c r="I31" s="3">
        <v>28000</v>
      </c>
      <c r="J31" s="3">
        <v>0</v>
      </c>
      <c r="K31" s="3">
        <f t="shared" si="2"/>
        <v>926182</v>
      </c>
      <c r="L31" s="3">
        <f t="shared" si="2"/>
        <v>28000</v>
      </c>
      <c r="M31" s="3">
        <f t="shared" si="2"/>
        <v>0</v>
      </c>
      <c r="N31" s="3">
        <f t="shared" si="1"/>
        <v>954182</v>
      </c>
    </row>
    <row r="32" spans="1:15" x14ac:dyDescent="0.15">
      <c r="A32" s="1">
        <v>2000</v>
      </c>
      <c r="B32" s="3">
        <v>860625</v>
      </c>
      <c r="C32" s="3">
        <v>0</v>
      </c>
      <c r="D32" s="3">
        <v>0</v>
      </c>
      <c r="E32" s="3">
        <v>702489</v>
      </c>
      <c r="F32" s="3">
        <v>0</v>
      </c>
      <c r="G32" s="3">
        <v>0</v>
      </c>
      <c r="H32" s="3">
        <v>18600000</v>
      </c>
      <c r="I32" s="3">
        <v>18000</v>
      </c>
      <c r="J32" s="3">
        <v>0</v>
      </c>
      <c r="K32" s="3">
        <f t="shared" si="2"/>
        <v>20163114</v>
      </c>
      <c r="L32" s="3">
        <f t="shared" si="2"/>
        <v>18000</v>
      </c>
      <c r="M32" s="3">
        <f t="shared" si="2"/>
        <v>0</v>
      </c>
      <c r="N32" s="3">
        <f t="shared" si="1"/>
        <v>20181114</v>
      </c>
      <c r="O32" s="1" t="s">
        <v>237</v>
      </c>
    </row>
    <row r="33" spans="1:15" x14ac:dyDescent="0.15">
      <c r="A33" s="1">
        <v>2001</v>
      </c>
      <c r="B33" s="3">
        <v>860625</v>
      </c>
      <c r="C33" s="3">
        <v>0</v>
      </c>
      <c r="D33" s="3">
        <v>0</v>
      </c>
      <c r="E33" s="3">
        <v>702489</v>
      </c>
      <c r="F33" s="3">
        <v>0</v>
      </c>
      <c r="G33" s="3">
        <v>0</v>
      </c>
      <c r="H33" s="3">
        <v>18600000</v>
      </c>
      <c r="I33" s="3">
        <v>18000</v>
      </c>
      <c r="J33" s="3">
        <v>0</v>
      </c>
      <c r="K33" s="3">
        <f t="shared" si="2"/>
        <v>20163114</v>
      </c>
      <c r="L33" s="3">
        <f t="shared" si="2"/>
        <v>18000</v>
      </c>
      <c r="M33" s="3">
        <f t="shared" si="2"/>
        <v>0</v>
      </c>
      <c r="N33" s="3">
        <f t="shared" si="1"/>
        <v>20181114</v>
      </c>
      <c r="O33" s="1" t="s">
        <v>144</v>
      </c>
    </row>
    <row r="34" spans="1:15" x14ac:dyDescent="0.15">
      <c r="A34" s="1">
        <v>2002</v>
      </c>
      <c r="B34" s="3">
        <v>897732</v>
      </c>
      <c r="C34" s="3">
        <v>0</v>
      </c>
      <c r="D34" s="3">
        <v>0</v>
      </c>
      <c r="E34" s="3">
        <v>591575</v>
      </c>
      <c r="F34" s="3">
        <v>0</v>
      </c>
      <c r="G34" s="3">
        <v>0</v>
      </c>
      <c r="H34" s="3">
        <v>19992000</v>
      </c>
      <c r="I34" s="3">
        <v>120000</v>
      </c>
      <c r="J34" s="3">
        <v>0</v>
      </c>
      <c r="K34" s="3">
        <f t="shared" si="2"/>
        <v>21481307</v>
      </c>
      <c r="L34" s="3">
        <f t="shared" si="2"/>
        <v>120000</v>
      </c>
      <c r="M34" s="3">
        <f t="shared" si="2"/>
        <v>0</v>
      </c>
      <c r="N34" s="3">
        <f t="shared" si="1"/>
        <v>21601307</v>
      </c>
    </row>
    <row r="35" spans="1:15" x14ac:dyDescent="0.15">
      <c r="A35" s="1">
        <v>2003</v>
      </c>
      <c r="B35" s="3">
        <v>441734</v>
      </c>
      <c r="C35" s="3">
        <v>0</v>
      </c>
      <c r="D35" s="3">
        <v>0</v>
      </c>
      <c r="E35" s="3">
        <v>898053</v>
      </c>
      <c r="F35" s="3">
        <v>0</v>
      </c>
      <c r="G35" s="3">
        <v>0</v>
      </c>
      <c r="H35" s="3">
        <v>19008284</v>
      </c>
      <c r="I35" s="3">
        <v>28250</v>
      </c>
      <c r="J35" s="3">
        <v>0</v>
      </c>
      <c r="K35" s="3">
        <f t="shared" si="2"/>
        <v>20348071</v>
      </c>
      <c r="L35" s="3">
        <f t="shared" si="2"/>
        <v>28250</v>
      </c>
      <c r="M35" s="3">
        <f t="shared" si="2"/>
        <v>0</v>
      </c>
      <c r="N35" s="3">
        <f t="shared" si="1"/>
        <v>20376321</v>
      </c>
    </row>
    <row r="36" spans="1:15" x14ac:dyDescent="0.15">
      <c r="A36" s="1">
        <v>2004</v>
      </c>
      <c r="B36" s="3">
        <v>998570</v>
      </c>
      <c r="C36" s="3">
        <v>0</v>
      </c>
      <c r="D36" s="3">
        <v>0</v>
      </c>
      <c r="E36" s="3">
        <v>898058</v>
      </c>
      <c r="F36" s="3">
        <v>0</v>
      </c>
      <c r="G36" s="3">
        <v>0</v>
      </c>
      <c r="H36" s="3">
        <v>19470551</v>
      </c>
      <c r="I36" s="3">
        <v>32320</v>
      </c>
      <c r="J36" s="3">
        <v>0</v>
      </c>
      <c r="K36" s="3">
        <v>21367179</v>
      </c>
      <c r="L36" s="3">
        <v>32320</v>
      </c>
      <c r="M36" s="3">
        <v>0</v>
      </c>
      <c r="N36" s="3">
        <v>21399499</v>
      </c>
    </row>
    <row r="37" spans="1:15" x14ac:dyDescent="0.15">
      <c r="A37" s="1">
        <v>2005</v>
      </c>
      <c r="B37" s="3">
        <v>1163301</v>
      </c>
      <c r="C37" s="3">
        <v>0</v>
      </c>
      <c r="D37" s="3">
        <v>0</v>
      </c>
      <c r="E37" s="3">
        <v>918135</v>
      </c>
      <c r="F37" s="3">
        <v>0</v>
      </c>
      <c r="G37" s="3">
        <v>0</v>
      </c>
      <c r="H37" s="3">
        <v>19434878</v>
      </c>
      <c r="I37" s="3">
        <v>28310</v>
      </c>
      <c r="J37" s="3">
        <v>0</v>
      </c>
      <c r="K37" s="3">
        <v>21516314</v>
      </c>
      <c r="L37" s="3">
        <v>28310</v>
      </c>
      <c r="M37" s="3">
        <v>0</v>
      </c>
      <c r="N37" s="3">
        <v>21544624</v>
      </c>
    </row>
    <row r="38" spans="1:15" x14ac:dyDescent="0.15">
      <c r="A38" s="1">
        <v>2006</v>
      </c>
      <c r="B38" s="3">
        <v>1316098</v>
      </c>
      <c r="C38" s="3">
        <v>0</v>
      </c>
      <c r="D38" s="3">
        <v>0</v>
      </c>
      <c r="E38" s="3">
        <v>898780</v>
      </c>
      <c r="F38" s="3">
        <v>0</v>
      </c>
      <c r="G38" s="3">
        <v>0</v>
      </c>
      <c r="H38" s="3">
        <v>20069944</v>
      </c>
      <c r="I38" s="3">
        <v>30300</v>
      </c>
      <c r="J38" s="3">
        <v>0</v>
      </c>
      <c r="K38" s="3">
        <v>22284822</v>
      </c>
      <c r="L38" s="3">
        <v>30300</v>
      </c>
      <c r="M38" s="3">
        <v>0</v>
      </c>
      <c r="N38" s="3">
        <v>22315122</v>
      </c>
    </row>
    <row r="39" spans="1:15" x14ac:dyDescent="0.15">
      <c r="A39" s="1">
        <v>2007</v>
      </c>
      <c r="B39" s="3">
        <v>1516218</v>
      </c>
      <c r="C39" s="3">
        <v>0</v>
      </c>
      <c r="D39" s="3">
        <v>0</v>
      </c>
      <c r="E39" s="3">
        <v>898058</v>
      </c>
      <c r="F39" s="3">
        <v>0</v>
      </c>
      <c r="G39" s="3">
        <v>0</v>
      </c>
      <c r="H39" s="3">
        <v>20173917</v>
      </c>
      <c r="I39" s="3">
        <v>17170</v>
      </c>
      <c r="J39" s="3">
        <v>0</v>
      </c>
      <c r="K39" s="3">
        <v>22588193</v>
      </c>
      <c r="L39" s="3">
        <v>17170</v>
      </c>
      <c r="M39" s="3">
        <v>0</v>
      </c>
      <c r="N39" s="3">
        <v>22605363</v>
      </c>
    </row>
    <row r="40" spans="1:15" x14ac:dyDescent="0.15">
      <c r="A40" s="1">
        <v>2008</v>
      </c>
      <c r="B40" s="3">
        <v>1753252</v>
      </c>
      <c r="C40" s="3">
        <v>0</v>
      </c>
      <c r="D40" s="3">
        <v>0</v>
      </c>
      <c r="E40" s="3">
        <v>1439332</v>
      </c>
      <c r="F40" s="3">
        <v>0</v>
      </c>
      <c r="G40" s="3">
        <v>0</v>
      </c>
      <c r="H40" s="3">
        <v>19730684</v>
      </c>
      <c r="I40" s="3">
        <v>18100</v>
      </c>
      <c r="J40" s="3">
        <v>0</v>
      </c>
      <c r="K40" s="3">
        <v>22923268</v>
      </c>
      <c r="L40" s="3">
        <v>18100</v>
      </c>
      <c r="M40" s="3">
        <v>0</v>
      </c>
      <c r="N40" s="3">
        <v>22941368</v>
      </c>
    </row>
    <row r="41" spans="1:15" x14ac:dyDescent="0.15">
      <c r="A41" s="1">
        <v>2009</v>
      </c>
      <c r="B41" s="3">
        <v>1481350</v>
      </c>
      <c r="C41" s="3">
        <v>0</v>
      </c>
      <c r="D41" s="3">
        <v>0</v>
      </c>
      <c r="E41" s="3">
        <v>1583592</v>
      </c>
      <c r="F41" s="3">
        <v>0</v>
      </c>
      <c r="G41" s="3">
        <v>0</v>
      </c>
      <c r="H41" s="3">
        <v>20353356</v>
      </c>
      <c r="I41" s="3">
        <v>32120</v>
      </c>
      <c r="J41" s="3">
        <v>0</v>
      </c>
      <c r="K41" s="3">
        <v>23418298</v>
      </c>
      <c r="L41" s="3">
        <v>32120</v>
      </c>
      <c r="M41" s="3">
        <v>0</v>
      </c>
      <c r="N41" s="3">
        <v>23450418</v>
      </c>
    </row>
    <row r="42" spans="1:15" x14ac:dyDescent="0.15">
      <c r="A42" s="1">
        <v>2010</v>
      </c>
      <c r="B42" s="3">
        <v>1265238</v>
      </c>
      <c r="C42" s="3">
        <v>0</v>
      </c>
      <c r="D42" s="3">
        <v>0</v>
      </c>
      <c r="E42" s="3">
        <v>1679241</v>
      </c>
      <c r="F42" s="3">
        <v>0</v>
      </c>
      <c r="G42" s="3">
        <v>0</v>
      </c>
      <c r="H42" s="3">
        <v>18756978</v>
      </c>
      <c r="I42" s="3">
        <v>0</v>
      </c>
      <c r="J42" s="3">
        <v>0</v>
      </c>
      <c r="K42" s="3">
        <v>21701457</v>
      </c>
      <c r="L42" s="3">
        <v>0</v>
      </c>
      <c r="M42" s="3">
        <v>0</v>
      </c>
      <c r="N42" s="3">
        <v>21701457</v>
      </c>
    </row>
    <row r="43" spans="1:15" x14ac:dyDescent="0.15">
      <c r="A43" s="1">
        <v>2011</v>
      </c>
      <c r="B43" s="3">
        <v>1528257</v>
      </c>
      <c r="C43" s="3">
        <v>0</v>
      </c>
      <c r="D43" s="3">
        <v>0</v>
      </c>
      <c r="E43" s="3">
        <v>1700600</v>
      </c>
      <c r="F43" s="3">
        <v>0</v>
      </c>
      <c r="G43" s="3">
        <v>0</v>
      </c>
      <c r="H43" s="3">
        <v>18968692</v>
      </c>
      <c r="I43" s="3">
        <v>19200</v>
      </c>
      <c r="J43" s="3">
        <v>0</v>
      </c>
      <c r="K43" s="3">
        <v>22197549</v>
      </c>
      <c r="L43" s="3">
        <v>19200</v>
      </c>
      <c r="M43" s="3">
        <v>0</v>
      </c>
      <c r="N43" s="3">
        <v>22216749</v>
      </c>
    </row>
    <row r="44" spans="1:15" x14ac:dyDescent="0.15">
      <c r="A44" s="1">
        <v>2012</v>
      </c>
      <c r="B44" s="3">
        <v>3153418</v>
      </c>
      <c r="C44" s="3">
        <v>0</v>
      </c>
      <c r="D44" s="3">
        <v>0</v>
      </c>
      <c r="E44" s="3">
        <v>746256</v>
      </c>
      <c r="F44" s="3">
        <v>0</v>
      </c>
      <c r="G44" s="3">
        <v>0</v>
      </c>
      <c r="H44" s="3">
        <v>19009843</v>
      </c>
      <c r="I44" s="3">
        <v>34000</v>
      </c>
      <c r="J44" s="3">
        <v>0</v>
      </c>
      <c r="K44" s="3">
        <v>22909517</v>
      </c>
      <c r="L44" s="3">
        <v>34000</v>
      </c>
      <c r="M44" s="3">
        <v>0</v>
      </c>
      <c r="N44" s="3">
        <v>22943517</v>
      </c>
    </row>
    <row r="45" spans="1:15" x14ac:dyDescent="0.15">
      <c r="A45" s="1">
        <v>2013</v>
      </c>
      <c r="B45" s="3">
        <v>4852533</v>
      </c>
      <c r="C45" s="3">
        <v>0</v>
      </c>
      <c r="D45" s="3">
        <v>0</v>
      </c>
      <c r="E45" s="3">
        <v>765114</v>
      </c>
      <c r="F45" s="3">
        <v>0</v>
      </c>
      <c r="G45" s="3">
        <v>0</v>
      </c>
      <c r="H45" s="3">
        <v>19209124</v>
      </c>
      <c r="I45" s="3">
        <v>17000</v>
      </c>
      <c r="J45" s="3">
        <v>0</v>
      </c>
      <c r="K45" s="3">
        <v>24826771</v>
      </c>
      <c r="L45" s="3">
        <v>17000</v>
      </c>
      <c r="M45" s="3">
        <v>0</v>
      </c>
      <c r="N45" s="3">
        <v>24843771</v>
      </c>
    </row>
    <row r="46" spans="1:15" x14ac:dyDescent="0.15">
      <c r="A46" s="1">
        <v>2014</v>
      </c>
      <c r="B46" s="3">
        <v>7443326</v>
      </c>
      <c r="C46" s="3">
        <v>0</v>
      </c>
      <c r="D46" s="3">
        <v>0</v>
      </c>
      <c r="E46" s="3">
        <v>881364</v>
      </c>
      <c r="F46" s="3">
        <v>0</v>
      </c>
      <c r="G46" s="3">
        <v>0</v>
      </c>
      <c r="H46" s="3">
        <v>19628860</v>
      </c>
      <c r="I46" s="3">
        <v>17000</v>
      </c>
      <c r="J46" s="3">
        <v>0</v>
      </c>
      <c r="K46" s="3">
        <v>27953550</v>
      </c>
      <c r="L46" s="3">
        <v>17000</v>
      </c>
      <c r="M46" s="3">
        <v>0</v>
      </c>
      <c r="N46" s="3">
        <v>27970550</v>
      </c>
    </row>
    <row r="47" spans="1:15" x14ac:dyDescent="0.15">
      <c r="A47" s="1">
        <v>2015</v>
      </c>
      <c r="B47" s="3">
        <v>10184010</v>
      </c>
      <c r="C47" s="3">
        <v>0</v>
      </c>
      <c r="D47" s="3">
        <v>0</v>
      </c>
      <c r="E47" s="3">
        <v>750000</v>
      </c>
      <c r="F47" s="3">
        <v>0</v>
      </c>
      <c r="G47" s="3">
        <v>0</v>
      </c>
      <c r="H47" s="3">
        <v>20343498</v>
      </c>
      <c r="I47" s="3">
        <v>0</v>
      </c>
      <c r="J47" s="3">
        <v>0</v>
      </c>
      <c r="K47" s="3">
        <v>31277508</v>
      </c>
      <c r="L47" s="3">
        <v>0</v>
      </c>
      <c r="M47" s="3">
        <v>0</v>
      </c>
      <c r="N47" s="3">
        <v>31277508</v>
      </c>
    </row>
    <row r="48" spans="1:15" x14ac:dyDescent="0.15">
      <c r="A48" s="1">
        <v>2016</v>
      </c>
      <c r="B48" s="3">
        <v>15117951</v>
      </c>
      <c r="C48" s="3">
        <v>0</v>
      </c>
      <c r="D48" s="3">
        <v>0</v>
      </c>
      <c r="E48" s="3">
        <v>0</v>
      </c>
      <c r="F48" s="3">
        <v>0</v>
      </c>
      <c r="G48" s="3">
        <v>0</v>
      </c>
      <c r="H48" s="3">
        <v>20863852</v>
      </c>
      <c r="I48" s="3">
        <v>0</v>
      </c>
      <c r="J48" s="3">
        <v>0</v>
      </c>
      <c r="K48" s="3">
        <v>35981803</v>
      </c>
      <c r="L48" s="3">
        <v>0</v>
      </c>
      <c r="M48" s="3">
        <v>0</v>
      </c>
      <c r="N48" s="3">
        <v>35981803</v>
      </c>
    </row>
  </sheetData>
  <phoneticPr fontId="0" type="noConversion"/>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0" width="10.625" style="1"/>
    <col min="11" max="11" width="13" style="1" customWidth="1"/>
    <col min="12" max="13" width="10.625" style="1"/>
    <col min="14" max="14" width="13" style="1" customWidth="1"/>
    <col min="15" max="16384" width="10.625" style="1"/>
  </cols>
  <sheetData>
    <row r="1" spans="1:15" x14ac:dyDescent="0.15">
      <c r="A1" s="1" t="s">
        <v>47</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3299006</v>
      </c>
      <c r="C6" s="3">
        <v>0</v>
      </c>
      <c r="D6" s="3">
        <v>0</v>
      </c>
      <c r="E6" s="3">
        <v>0</v>
      </c>
      <c r="F6" s="3">
        <v>0</v>
      </c>
      <c r="G6" s="3">
        <v>0</v>
      </c>
      <c r="H6" s="3">
        <v>0</v>
      </c>
      <c r="I6" s="3">
        <v>0</v>
      </c>
      <c r="J6" s="3">
        <v>0</v>
      </c>
      <c r="K6" s="3">
        <f t="shared" ref="K6:M21" si="0">+B6+E6+H6</f>
        <v>3299006</v>
      </c>
      <c r="L6" s="3">
        <f t="shared" si="0"/>
        <v>0</v>
      </c>
      <c r="M6" s="3">
        <f t="shared" si="0"/>
        <v>0</v>
      </c>
      <c r="N6" s="3">
        <f t="shared" ref="N6:N35" si="1">+M6+L6+K6</f>
        <v>3299006</v>
      </c>
      <c r="O6" s="1" t="s">
        <v>50</v>
      </c>
    </row>
    <row r="7" spans="1:15" x14ac:dyDescent="0.15">
      <c r="A7" s="1">
        <v>1975</v>
      </c>
      <c r="B7" s="3">
        <v>3876000</v>
      </c>
      <c r="C7" s="3">
        <v>0</v>
      </c>
      <c r="D7" s="3">
        <v>0</v>
      </c>
      <c r="E7" s="3">
        <v>0</v>
      </c>
      <c r="F7" s="3">
        <v>0</v>
      </c>
      <c r="G7" s="3">
        <v>0</v>
      </c>
      <c r="H7" s="3">
        <v>0</v>
      </c>
      <c r="I7" s="3">
        <v>0</v>
      </c>
      <c r="J7" s="3">
        <v>0</v>
      </c>
      <c r="K7" s="3">
        <f t="shared" si="0"/>
        <v>3876000</v>
      </c>
      <c r="L7" s="3">
        <f t="shared" si="0"/>
        <v>0</v>
      </c>
      <c r="M7" s="3">
        <f t="shared" si="0"/>
        <v>0</v>
      </c>
      <c r="N7" s="3">
        <f t="shared" si="1"/>
        <v>3876000</v>
      </c>
    </row>
    <row r="8" spans="1:15" x14ac:dyDescent="0.15">
      <c r="A8" s="1">
        <v>1976</v>
      </c>
      <c r="B8" s="3">
        <v>3802000</v>
      </c>
      <c r="C8" s="3">
        <v>0</v>
      </c>
      <c r="D8" s="3">
        <v>0</v>
      </c>
      <c r="E8" s="3">
        <v>0</v>
      </c>
      <c r="F8" s="3">
        <v>0</v>
      </c>
      <c r="G8" s="3">
        <v>0</v>
      </c>
      <c r="H8" s="3">
        <v>0</v>
      </c>
      <c r="I8" s="3">
        <v>0</v>
      </c>
      <c r="J8" s="3">
        <v>0</v>
      </c>
      <c r="K8" s="3">
        <f t="shared" si="0"/>
        <v>3802000</v>
      </c>
      <c r="L8" s="3">
        <f t="shared" si="0"/>
        <v>0</v>
      </c>
      <c r="M8" s="3">
        <f t="shared" si="0"/>
        <v>0</v>
      </c>
      <c r="N8" s="3">
        <f t="shared" si="1"/>
        <v>3802000</v>
      </c>
    </row>
    <row r="9" spans="1:15" x14ac:dyDescent="0.15">
      <c r="A9" s="1">
        <v>1977</v>
      </c>
      <c r="B9" s="3">
        <v>4207000</v>
      </c>
      <c r="C9" s="3">
        <v>0</v>
      </c>
      <c r="D9" s="3">
        <v>0</v>
      </c>
      <c r="E9" s="3">
        <v>0</v>
      </c>
      <c r="F9" s="3">
        <v>0</v>
      </c>
      <c r="G9" s="3">
        <v>0</v>
      </c>
      <c r="H9" s="3">
        <v>0</v>
      </c>
      <c r="I9" s="3">
        <v>0</v>
      </c>
      <c r="J9" s="3">
        <v>0</v>
      </c>
      <c r="K9" s="3">
        <f t="shared" si="0"/>
        <v>4207000</v>
      </c>
      <c r="L9" s="3">
        <f t="shared" si="0"/>
        <v>0</v>
      </c>
      <c r="M9" s="3">
        <f t="shared" si="0"/>
        <v>0</v>
      </c>
      <c r="N9" s="3">
        <f t="shared" si="1"/>
        <v>4207000</v>
      </c>
    </row>
    <row r="10" spans="1:15" x14ac:dyDescent="0.15">
      <c r="A10" s="1">
        <v>1978</v>
      </c>
      <c r="B10" s="3">
        <v>6330000</v>
      </c>
      <c r="C10" s="3">
        <v>0</v>
      </c>
      <c r="D10" s="3">
        <v>0</v>
      </c>
      <c r="E10" s="3">
        <v>0</v>
      </c>
      <c r="F10" s="3">
        <v>0</v>
      </c>
      <c r="G10" s="3">
        <v>0</v>
      </c>
      <c r="H10" s="3">
        <v>0</v>
      </c>
      <c r="I10" s="3">
        <v>0</v>
      </c>
      <c r="J10" s="3">
        <v>0</v>
      </c>
      <c r="K10" s="3">
        <f t="shared" si="0"/>
        <v>6330000</v>
      </c>
      <c r="L10" s="3">
        <f t="shared" si="0"/>
        <v>0</v>
      </c>
      <c r="M10" s="3">
        <f t="shared" si="0"/>
        <v>0</v>
      </c>
      <c r="N10" s="3">
        <f t="shared" si="1"/>
        <v>6330000</v>
      </c>
    </row>
    <row r="11" spans="1:15" x14ac:dyDescent="0.15">
      <c r="A11" s="1">
        <v>1979</v>
      </c>
      <c r="B11" s="3">
        <v>6465000</v>
      </c>
      <c r="C11" s="3">
        <v>0</v>
      </c>
      <c r="D11" s="3">
        <v>0</v>
      </c>
      <c r="E11" s="3">
        <v>0</v>
      </c>
      <c r="F11" s="3">
        <v>0</v>
      </c>
      <c r="G11" s="3">
        <v>0</v>
      </c>
      <c r="H11" s="3">
        <v>0</v>
      </c>
      <c r="I11" s="3">
        <v>0</v>
      </c>
      <c r="J11" s="3">
        <v>0</v>
      </c>
      <c r="K11" s="3">
        <f t="shared" si="0"/>
        <v>6465000</v>
      </c>
      <c r="L11" s="3">
        <f t="shared" si="0"/>
        <v>0</v>
      </c>
      <c r="M11" s="3">
        <f t="shared" si="0"/>
        <v>0</v>
      </c>
      <c r="N11" s="3">
        <f t="shared" si="1"/>
        <v>6465000</v>
      </c>
    </row>
    <row r="12" spans="1:15" x14ac:dyDescent="0.15">
      <c r="A12" s="1">
        <v>1980</v>
      </c>
      <c r="B12" s="3">
        <v>8144000</v>
      </c>
      <c r="C12" s="3">
        <v>0</v>
      </c>
      <c r="D12" s="3">
        <v>0</v>
      </c>
      <c r="E12" s="3">
        <v>0</v>
      </c>
      <c r="F12" s="3">
        <v>0</v>
      </c>
      <c r="G12" s="3">
        <v>0</v>
      </c>
      <c r="H12" s="3">
        <v>0</v>
      </c>
      <c r="I12" s="3">
        <v>0</v>
      </c>
      <c r="J12" s="3">
        <v>0</v>
      </c>
      <c r="K12" s="3">
        <f t="shared" si="0"/>
        <v>8144000</v>
      </c>
      <c r="L12" s="3">
        <f t="shared" si="0"/>
        <v>0</v>
      </c>
      <c r="M12" s="3">
        <f t="shared" si="0"/>
        <v>0</v>
      </c>
      <c r="N12" s="3">
        <f t="shared" si="1"/>
        <v>8144000</v>
      </c>
    </row>
    <row r="13" spans="1:15" x14ac:dyDescent="0.15">
      <c r="A13" s="1">
        <v>1981</v>
      </c>
      <c r="B13" s="3">
        <v>9817000</v>
      </c>
      <c r="C13" s="3">
        <v>0</v>
      </c>
      <c r="D13" s="3">
        <v>0</v>
      </c>
      <c r="E13" s="3">
        <v>0</v>
      </c>
      <c r="F13" s="3">
        <v>0</v>
      </c>
      <c r="G13" s="3">
        <v>0</v>
      </c>
      <c r="H13" s="3">
        <v>0</v>
      </c>
      <c r="I13" s="3">
        <v>0</v>
      </c>
      <c r="J13" s="3">
        <v>0</v>
      </c>
      <c r="K13" s="3">
        <f t="shared" si="0"/>
        <v>9817000</v>
      </c>
      <c r="L13" s="3">
        <f t="shared" si="0"/>
        <v>0</v>
      </c>
      <c r="M13" s="3">
        <f t="shared" si="0"/>
        <v>0</v>
      </c>
      <c r="N13" s="3">
        <f t="shared" si="1"/>
        <v>9817000</v>
      </c>
    </row>
    <row r="14" spans="1:15" x14ac:dyDescent="0.15">
      <c r="A14" s="1">
        <v>1982</v>
      </c>
      <c r="B14" s="3">
        <v>8941000</v>
      </c>
      <c r="C14" s="3">
        <v>0</v>
      </c>
      <c r="D14" s="3">
        <v>0</v>
      </c>
      <c r="E14" s="3">
        <v>0</v>
      </c>
      <c r="F14" s="3">
        <v>0</v>
      </c>
      <c r="G14" s="3">
        <v>0</v>
      </c>
      <c r="H14" s="3">
        <v>0</v>
      </c>
      <c r="I14" s="3">
        <v>0</v>
      </c>
      <c r="J14" s="3">
        <v>0</v>
      </c>
      <c r="K14" s="3">
        <f t="shared" si="0"/>
        <v>8941000</v>
      </c>
      <c r="L14" s="3">
        <f t="shared" si="0"/>
        <v>0</v>
      </c>
      <c r="M14" s="3">
        <f t="shared" si="0"/>
        <v>0</v>
      </c>
      <c r="N14" s="3">
        <f t="shared" si="1"/>
        <v>8941000</v>
      </c>
    </row>
    <row r="15" spans="1:15" x14ac:dyDescent="0.15">
      <c r="A15" s="1">
        <v>1983</v>
      </c>
      <c r="B15" s="3">
        <v>8809000</v>
      </c>
      <c r="C15" s="3">
        <v>0</v>
      </c>
      <c r="D15" s="3">
        <v>0</v>
      </c>
      <c r="E15" s="3">
        <v>0</v>
      </c>
      <c r="F15" s="3">
        <v>0</v>
      </c>
      <c r="G15" s="3">
        <v>0</v>
      </c>
      <c r="H15" s="3">
        <v>0</v>
      </c>
      <c r="I15" s="3">
        <v>0</v>
      </c>
      <c r="J15" s="3">
        <v>0</v>
      </c>
      <c r="K15" s="3">
        <f t="shared" si="0"/>
        <v>8809000</v>
      </c>
      <c r="L15" s="3">
        <f t="shared" si="0"/>
        <v>0</v>
      </c>
      <c r="M15" s="3">
        <f t="shared" si="0"/>
        <v>0</v>
      </c>
      <c r="N15" s="3">
        <f t="shared" si="1"/>
        <v>8809000</v>
      </c>
    </row>
    <row r="16" spans="1:15" x14ac:dyDescent="0.15">
      <c r="A16" s="1">
        <v>1984</v>
      </c>
      <c r="B16" s="3">
        <v>8796000</v>
      </c>
      <c r="C16" s="3">
        <v>0</v>
      </c>
      <c r="D16" s="3">
        <v>0</v>
      </c>
      <c r="E16" s="3">
        <v>0</v>
      </c>
      <c r="F16" s="3">
        <v>0</v>
      </c>
      <c r="G16" s="3">
        <v>0</v>
      </c>
      <c r="H16" s="3">
        <v>0</v>
      </c>
      <c r="I16" s="3">
        <v>0</v>
      </c>
      <c r="J16" s="3">
        <v>0</v>
      </c>
      <c r="K16" s="3">
        <f t="shared" si="0"/>
        <v>8796000</v>
      </c>
      <c r="L16" s="3">
        <f t="shared" si="0"/>
        <v>0</v>
      </c>
      <c r="M16" s="3">
        <f t="shared" si="0"/>
        <v>0</v>
      </c>
      <c r="N16" s="3">
        <f t="shared" si="1"/>
        <v>8796000</v>
      </c>
    </row>
    <row r="17" spans="1:15" x14ac:dyDescent="0.15">
      <c r="A17" s="1">
        <v>1985</v>
      </c>
      <c r="B17" s="3">
        <v>9145000</v>
      </c>
      <c r="C17" s="3">
        <v>0</v>
      </c>
      <c r="D17" s="3">
        <v>0</v>
      </c>
      <c r="E17" s="3">
        <v>0</v>
      </c>
      <c r="F17" s="3">
        <v>0</v>
      </c>
      <c r="G17" s="3">
        <v>0</v>
      </c>
      <c r="H17" s="3">
        <v>0</v>
      </c>
      <c r="I17" s="3">
        <v>0</v>
      </c>
      <c r="J17" s="3">
        <v>0</v>
      </c>
      <c r="K17" s="3">
        <f t="shared" si="0"/>
        <v>9145000</v>
      </c>
      <c r="L17" s="3">
        <f t="shared" si="0"/>
        <v>0</v>
      </c>
      <c r="M17" s="3">
        <f t="shared" si="0"/>
        <v>0</v>
      </c>
      <c r="N17" s="3">
        <f t="shared" si="1"/>
        <v>9145000</v>
      </c>
    </row>
    <row r="18" spans="1:15" x14ac:dyDescent="0.15">
      <c r="A18" s="1">
        <v>1986</v>
      </c>
      <c r="B18" s="3">
        <v>9645000</v>
      </c>
      <c r="C18" s="3">
        <v>0</v>
      </c>
      <c r="D18" s="3">
        <v>0</v>
      </c>
      <c r="E18" s="3">
        <v>0</v>
      </c>
      <c r="F18" s="3">
        <v>0</v>
      </c>
      <c r="G18" s="3">
        <v>0</v>
      </c>
      <c r="H18" s="3">
        <v>0</v>
      </c>
      <c r="I18" s="3">
        <v>0</v>
      </c>
      <c r="J18" s="3">
        <v>0</v>
      </c>
      <c r="K18" s="3">
        <f t="shared" si="0"/>
        <v>9645000</v>
      </c>
      <c r="L18" s="3">
        <f t="shared" si="0"/>
        <v>0</v>
      </c>
      <c r="M18" s="3">
        <f t="shared" si="0"/>
        <v>0</v>
      </c>
      <c r="N18" s="3">
        <f t="shared" si="1"/>
        <v>9645000</v>
      </c>
    </row>
    <row r="19" spans="1:15" x14ac:dyDescent="0.15">
      <c r="A19" s="1">
        <v>1987</v>
      </c>
      <c r="B19" s="3">
        <v>10081000</v>
      </c>
      <c r="C19" s="3">
        <v>0</v>
      </c>
      <c r="D19" s="3">
        <v>0</v>
      </c>
      <c r="E19" s="3">
        <v>0</v>
      </c>
      <c r="F19" s="3">
        <v>0</v>
      </c>
      <c r="G19" s="3">
        <v>0</v>
      </c>
      <c r="H19" s="3">
        <v>0</v>
      </c>
      <c r="I19" s="3">
        <v>0</v>
      </c>
      <c r="J19" s="3">
        <v>0</v>
      </c>
      <c r="K19" s="3">
        <f t="shared" si="0"/>
        <v>10081000</v>
      </c>
      <c r="L19" s="3">
        <f t="shared" si="0"/>
        <v>0</v>
      </c>
      <c r="M19" s="3">
        <f t="shared" si="0"/>
        <v>0</v>
      </c>
      <c r="N19" s="3">
        <f t="shared" si="1"/>
        <v>10081000</v>
      </c>
    </row>
    <row r="20" spans="1:15" x14ac:dyDescent="0.15">
      <c r="A20" s="1">
        <v>1988</v>
      </c>
      <c r="B20" s="3">
        <v>9835000</v>
      </c>
      <c r="C20" s="3">
        <v>0</v>
      </c>
      <c r="D20" s="3">
        <v>0</v>
      </c>
      <c r="E20" s="3">
        <v>0</v>
      </c>
      <c r="F20" s="3">
        <v>0</v>
      </c>
      <c r="G20" s="3">
        <v>0</v>
      </c>
      <c r="H20" s="3">
        <v>1834000</v>
      </c>
      <c r="I20" s="3">
        <v>0</v>
      </c>
      <c r="J20" s="3">
        <v>0</v>
      </c>
      <c r="K20" s="3">
        <f t="shared" si="0"/>
        <v>11669000</v>
      </c>
      <c r="L20" s="3">
        <f t="shared" si="0"/>
        <v>0</v>
      </c>
      <c r="M20" s="3">
        <f t="shared" si="0"/>
        <v>0</v>
      </c>
      <c r="N20" s="3">
        <f t="shared" si="1"/>
        <v>11669000</v>
      </c>
      <c r="O20" s="1" t="s">
        <v>170</v>
      </c>
    </row>
    <row r="21" spans="1:15" x14ac:dyDescent="0.15">
      <c r="A21" s="1">
        <v>1989</v>
      </c>
      <c r="B21" s="3">
        <v>10331000</v>
      </c>
      <c r="C21" s="3">
        <v>0</v>
      </c>
      <c r="D21" s="3">
        <v>0</v>
      </c>
      <c r="E21" s="3">
        <v>0</v>
      </c>
      <c r="F21" s="3">
        <v>0</v>
      </c>
      <c r="G21" s="3">
        <v>0</v>
      </c>
      <c r="H21" s="3">
        <v>4004000</v>
      </c>
      <c r="I21" s="3">
        <v>0</v>
      </c>
      <c r="J21" s="3">
        <v>0</v>
      </c>
      <c r="K21" s="3">
        <f t="shared" si="0"/>
        <v>14335000</v>
      </c>
      <c r="L21" s="3">
        <f t="shared" si="0"/>
        <v>0</v>
      </c>
      <c r="M21" s="3">
        <f t="shared" si="0"/>
        <v>0</v>
      </c>
      <c r="N21" s="3">
        <f t="shared" si="1"/>
        <v>14335000</v>
      </c>
    </row>
    <row r="22" spans="1:15" x14ac:dyDescent="0.15">
      <c r="A22" s="1">
        <v>1990</v>
      </c>
      <c r="B22" s="3">
        <v>10814000</v>
      </c>
      <c r="C22" s="3">
        <v>0</v>
      </c>
      <c r="D22" s="3">
        <v>0</v>
      </c>
      <c r="E22" s="3">
        <v>0</v>
      </c>
      <c r="F22" s="3">
        <v>0</v>
      </c>
      <c r="G22" s="3">
        <v>0</v>
      </c>
      <c r="H22" s="3">
        <v>6543000</v>
      </c>
      <c r="I22" s="3">
        <v>0</v>
      </c>
      <c r="J22" s="3">
        <v>0</v>
      </c>
      <c r="K22" s="3">
        <f t="shared" ref="K22:M35" si="2">+B22+E22+H22</f>
        <v>17357000</v>
      </c>
      <c r="L22" s="3">
        <f t="shared" si="2"/>
        <v>0</v>
      </c>
      <c r="M22" s="3">
        <f t="shared" si="2"/>
        <v>0</v>
      </c>
      <c r="N22" s="3">
        <f t="shared" si="1"/>
        <v>17357000</v>
      </c>
    </row>
    <row r="23" spans="1:15" x14ac:dyDescent="0.15">
      <c r="A23" s="1">
        <v>1991</v>
      </c>
      <c r="B23" s="3">
        <v>11144000</v>
      </c>
      <c r="C23" s="3">
        <v>0</v>
      </c>
      <c r="D23" s="3">
        <v>0</v>
      </c>
      <c r="E23" s="3">
        <v>0</v>
      </c>
      <c r="F23" s="3">
        <v>0</v>
      </c>
      <c r="G23" s="3">
        <v>0</v>
      </c>
      <c r="H23" s="3">
        <v>10091000</v>
      </c>
      <c r="I23" s="3">
        <v>0</v>
      </c>
      <c r="J23" s="3">
        <v>0</v>
      </c>
      <c r="K23" s="3">
        <f t="shared" si="2"/>
        <v>21235000</v>
      </c>
      <c r="L23" s="3">
        <f t="shared" si="2"/>
        <v>0</v>
      </c>
      <c r="M23" s="3">
        <f t="shared" si="2"/>
        <v>0</v>
      </c>
      <c r="N23" s="3">
        <f t="shared" si="1"/>
        <v>21235000</v>
      </c>
    </row>
    <row r="24" spans="1:15" x14ac:dyDescent="0.15">
      <c r="A24" s="1">
        <v>1992</v>
      </c>
      <c r="B24" s="3">
        <v>10125000</v>
      </c>
      <c r="C24" s="3">
        <v>0</v>
      </c>
      <c r="D24" s="3">
        <v>0</v>
      </c>
      <c r="E24" s="3">
        <v>0</v>
      </c>
      <c r="F24" s="3">
        <v>0</v>
      </c>
      <c r="G24" s="3">
        <v>0</v>
      </c>
      <c r="H24" s="3">
        <v>9515000</v>
      </c>
      <c r="I24" s="3">
        <v>0</v>
      </c>
      <c r="J24" s="3">
        <v>0</v>
      </c>
      <c r="K24" s="3">
        <f t="shared" si="2"/>
        <v>19640000</v>
      </c>
      <c r="L24" s="3">
        <f t="shared" si="2"/>
        <v>0</v>
      </c>
      <c r="M24" s="3">
        <f t="shared" si="2"/>
        <v>0</v>
      </c>
      <c r="N24" s="3">
        <f t="shared" si="1"/>
        <v>19640000</v>
      </c>
    </row>
    <row r="25" spans="1:15" x14ac:dyDescent="0.15">
      <c r="A25" s="1">
        <v>1993</v>
      </c>
      <c r="B25" s="3">
        <v>11097000</v>
      </c>
      <c r="C25" s="3">
        <v>0</v>
      </c>
      <c r="D25" s="3">
        <v>0</v>
      </c>
      <c r="E25" s="3">
        <v>0</v>
      </c>
      <c r="F25" s="3">
        <v>0</v>
      </c>
      <c r="G25" s="3">
        <v>0</v>
      </c>
      <c r="H25" s="3">
        <v>10270000</v>
      </c>
      <c r="I25" s="3">
        <v>0</v>
      </c>
      <c r="J25" s="3">
        <v>0</v>
      </c>
      <c r="K25" s="3">
        <f t="shared" si="2"/>
        <v>21367000</v>
      </c>
      <c r="L25" s="3">
        <f t="shared" si="2"/>
        <v>0</v>
      </c>
      <c r="M25" s="3">
        <f t="shared" si="2"/>
        <v>0</v>
      </c>
      <c r="N25" s="3">
        <f t="shared" si="1"/>
        <v>21367000</v>
      </c>
    </row>
    <row r="26" spans="1:15" x14ac:dyDescent="0.15">
      <c r="A26" s="1">
        <v>1994</v>
      </c>
      <c r="B26" s="3">
        <v>11124000</v>
      </c>
      <c r="C26" s="3">
        <v>0</v>
      </c>
      <c r="D26" s="3">
        <v>0</v>
      </c>
      <c r="E26" s="3">
        <v>0</v>
      </c>
      <c r="F26" s="3">
        <v>0</v>
      </c>
      <c r="G26" s="3">
        <v>0</v>
      </c>
      <c r="H26" s="3">
        <v>10751000</v>
      </c>
      <c r="I26" s="3">
        <v>0</v>
      </c>
      <c r="J26" s="3">
        <v>0</v>
      </c>
      <c r="K26" s="3">
        <f t="shared" si="2"/>
        <v>21875000</v>
      </c>
      <c r="L26" s="3">
        <f t="shared" si="2"/>
        <v>0</v>
      </c>
      <c r="M26" s="3">
        <f t="shared" si="2"/>
        <v>0</v>
      </c>
      <c r="N26" s="3">
        <f t="shared" si="1"/>
        <v>21875000</v>
      </c>
    </row>
    <row r="27" spans="1:15" x14ac:dyDescent="0.15">
      <c r="A27" s="1">
        <v>1995</v>
      </c>
      <c r="B27" s="3">
        <v>11813426</v>
      </c>
      <c r="C27" s="3">
        <v>0</v>
      </c>
      <c r="D27" s="3">
        <v>0</v>
      </c>
      <c r="E27" s="3">
        <f>11913000-B27</f>
        <v>99574</v>
      </c>
      <c r="F27" s="3">
        <v>0</v>
      </c>
      <c r="G27" s="3">
        <v>0</v>
      </c>
      <c r="H27" s="3">
        <v>11273000</v>
      </c>
      <c r="I27" s="3">
        <v>0</v>
      </c>
      <c r="J27" s="3">
        <v>0</v>
      </c>
      <c r="K27" s="3">
        <f t="shared" si="2"/>
        <v>23186000</v>
      </c>
      <c r="L27" s="3">
        <f t="shared" si="2"/>
        <v>0</v>
      </c>
      <c r="M27" s="3">
        <f t="shared" si="2"/>
        <v>0</v>
      </c>
      <c r="N27" s="3">
        <f t="shared" si="1"/>
        <v>23186000</v>
      </c>
    </row>
    <row r="28" spans="1:15" x14ac:dyDescent="0.15">
      <c r="A28" s="1">
        <v>1996</v>
      </c>
      <c r="B28" s="3">
        <v>12085350</v>
      </c>
      <c r="C28" s="3">
        <v>0</v>
      </c>
      <c r="D28" s="3">
        <v>0</v>
      </c>
      <c r="E28" s="3">
        <f>12233000-B28</f>
        <v>147650</v>
      </c>
      <c r="F28" s="3">
        <v>0</v>
      </c>
      <c r="G28" s="3">
        <v>0</v>
      </c>
      <c r="H28" s="3">
        <v>12003000</v>
      </c>
      <c r="I28" s="3">
        <v>0</v>
      </c>
      <c r="J28" s="3">
        <v>0</v>
      </c>
      <c r="K28" s="3">
        <f t="shared" si="2"/>
        <v>24236000</v>
      </c>
      <c r="L28" s="3">
        <f t="shared" si="2"/>
        <v>0</v>
      </c>
      <c r="M28" s="3">
        <f t="shared" si="2"/>
        <v>0</v>
      </c>
      <c r="N28" s="3">
        <f t="shared" si="1"/>
        <v>24236000</v>
      </c>
    </row>
    <row r="29" spans="1:15" x14ac:dyDescent="0.15">
      <c r="A29" s="1">
        <v>1997</v>
      </c>
      <c r="B29" s="3">
        <v>13390945</v>
      </c>
      <c r="C29" s="3">
        <v>0</v>
      </c>
      <c r="D29" s="3">
        <v>0</v>
      </c>
      <c r="E29" s="3">
        <v>290290</v>
      </c>
      <c r="F29" s="3">
        <v>0</v>
      </c>
      <c r="G29" s="3">
        <v>0</v>
      </c>
      <c r="H29" s="3">
        <v>12973000</v>
      </c>
      <c r="I29" s="3">
        <v>0</v>
      </c>
      <c r="J29" s="3">
        <v>0</v>
      </c>
      <c r="K29" s="3">
        <f t="shared" si="2"/>
        <v>26654235</v>
      </c>
      <c r="L29" s="3">
        <f t="shared" si="2"/>
        <v>0</v>
      </c>
      <c r="M29" s="3">
        <f t="shared" si="2"/>
        <v>0</v>
      </c>
      <c r="N29" s="3">
        <f t="shared" si="1"/>
        <v>26654235</v>
      </c>
      <c r="O29" s="1" t="s">
        <v>232</v>
      </c>
    </row>
    <row r="30" spans="1:15" x14ac:dyDescent="0.15">
      <c r="A30" s="1">
        <v>1998</v>
      </c>
      <c r="B30" s="3">
        <f>2873601+11494403</f>
        <v>14368004</v>
      </c>
      <c r="C30" s="3">
        <v>0</v>
      </c>
      <c r="D30" s="3">
        <v>0</v>
      </c>
      <c r="E30" s="3">
        <f>14692000-B30</f>
        <v>323996</v>
      </c>
      <c r="F30" s="3">
        <v>0</v>
      </c>
      <c r="G30" s="3">
        <v>0</v>
      </c>
      <c r="H30" s="3">
        <v>14330000</v>
      </c>
      <c r="I30" s="3">
        <v>0</v>
      </c>
      <c r="J30" s="3">
        <v>0</v>
      </c>
      <c r="K30" s="3">
        <f t="shared" si="2"/>
        <v>29022000</v>
      </c>
      <c r="L30" s="3">
        <f t="shared" si="2"/>
        <v>0</v>
      </c>
      <c r="M30" s="3">
        <f t="shared" si="2"/>
        <v>0</v>
      </c>
      <c r="N30" s="3">
        <f t="shared" si="1"/>
        <v>29022000</v>
      </c>
    </row>
    <row r="31" spans="1:15" x14ac:dyDescent="0.15">
      <c r="A31" s="1">
        <v>1999</v>
      </c>
      <c r="B31" s="3">
        <v>14939841</v>
      </c>
      <c r="C31" s="3">
        <v>0</v>
      </c>
      <c r="D31" s="3">
        <v>0</v>
      </c>
      <c r="E31" s="3">
        <f>20003000-B31</f>
        <v>5063159</v>
      </c>
      <c r="F31" s="3">
        <v>0</v>
      </c>
      <c r="G31" s="3">
        <v>0</v>
      </c>
      <c r="H31" s="3">
        <v>15175000</v>
      </c>
      <c r="I31" s="3">
        <v>0</v>
      </c>
      <c r="J31" s="3">
        <v>0</v>
      </c>
      <c r="K31" s="3">
        <f t="shared" si="2"/>
        <v>35178000</v>
      </c>
      <c r="L31" s="3">
        <f t="shared" si="2"/>
        <v>0</v>
      </c>
      <c r="M31" s="3">
        <f t="shared" si="2"/>
        <v>0</v>
      </c>
      <c r="N31" s="3">
        <f t="shared" si="1"/>
        <v>35178000</v>
      </c>
    </row>
    <row r="32" spans="1:15" x14ac:dyDescent="0.15">
      <c r="A32" s="1">
        <v>2000</v>
      </c>
      <c r="B32" s="3">
        <v>15810341</v>
      </c>
      <c r="C32" s="3">
        <v>0</v>
      </c>
      <c r="D32" s="3">
        <v>0</v>
      </c>
      <c r="E32" s="3">
        <f>24100000-B32</f>
        <v>8289659</v>
      </c>
      <c r="F32" s="3">
        <v>0</v>
      </c>
      <c r="G32" s="3">
        <v>0</v>
      </c>
      <c r="H32" s="3">
        <v>15404000</v>
      </c>
      <c r="I32" s="3">
        <v>0</v>
      </c>
      <c r="J32" s="3">
        <v>0</v>
      </c>
      <c r="K32" s="3">
        <f t="shared" si="2"/>
        <v>39504000</v>
      </c>
      <c r="L32" s="3">
        <f t="shared" si="2"/>
        <v>0</v>
      </c>
      <c r="M32" s="3">
        <f t="shared" si="2"/>
        <v>0</v>
      </c>
      <c r="N32" s="3">
        <f t="shared" si="1"/>
        <v>39504000</v>
      </c>
    </row>
    <row r="33" spans="1:15" x14ac:dyDescent="0.15">
      <c r="A33" s="1">
        <v>2001</v>
      </c>
      <c r="B33" s="3">
        <f>3778544+12649796</f>
        <v>16428340</v>
      </c>
      <c r="C33" s="3">
        <v>0</v>
      </c>
      <c r="D33" s="3">
        <v>0</v>
      </c>
      <c r="E33" s="3">
        <f>28058000-B33</f>
        <v>11629660</v>
      </c>
      <c r="F33" s="3">
        <v>0</v>
      </c>
      <c r="G33" s="3">
        <v>0</v>
      </c>
      <c r="H33" s="3">
        <v>15824000</v>
      </c>
      <c r="I33" s="3">
        <v>0</v>
      </c>
      <c r="J33" s="3">
        <v>0</v>
      </c>
      <c r="K33" s="3">
        <f t="shared" si="2"/>
        <v>43882000</v>
      </c>
      <c r="L33" s="3">
        <f t="shared" si="2"/>
        <v>0</v>
      </c>
      <c r="M33" s="3">
        <f t="shared" si="2"/>
        <v>0</v>
      </c>
      <c r="N33" s="3">
        <f t="shared" si="1"/>
        <v>43882000</v>
      </c>
    </row>
    <row r="34" spans="1:15" x14ac:dyDescent="0.15">
      <c r="A34" s="1">
        <v>2002</v>
      </c>
      <c r="B34" s="3">
        <v>17323495</v>
      </c>
      <c r="C34" s="3">
        <v>0</v>
      </c>
      <c r="D34" s="3">
        <v>0</v>
      </c>
      <c r="E34" s="3">
        <f>27847000-B34</f>
        <v>10523505</v>
      </c>
      <c r="F34" s="3">
        <v>0</v>
      </c>
      <c r="G34" s="3">
        <v>0</v>
      </c>
      <c r="H34" s="3">
        <v>15641000</v>
      </c>
      <c r="I34" s="3">
        <v>0</v>
      </c>
      <c r="J34" s="3">
        <v>0</v>
      </c>
      <c r="K34" s="3">
        <f t="shared" si="2"/>
        <v>43488000</v>
      </c>
      <c r="L34" s="3">
        <f t="shared" si="2"/>
        <v>0</v>
      </c>
      <c r="M34" s="3">
        <f t="shared" si="2"/>
        <v>0</v>
      </c>
      <c r="N34" s="3">
        <f t="shared" si="1"/>
        <v>43488000</v>
      </c>
    </row>
    <row r="35" spans="1:15" x14ac:dyDescent="0.15">
      <c r="A35" s="1">
        <v>2003</v>
      </c>
      <c r="B35" s="3">
        <v>16874447</v>
      </c>
      <c r="C35" s="3">
        <v>0</v>
      </c>
      <c r="D35" s="3">
        <v>0</v>
      </c>
      <c r="E35" s="3">
        <v>8729078</v>
      </c>
      <c r="F35" s="3">
        <v>0</v>
      </c>
      <c r="G35" s="3">
        <v>6217000</v>
      </c>
      <c r="H35" s="3">
        <v>15540771</v>
      </c>
      <c r="I35" s="3">
        <v>0</v>
      </c>
      <c r="J35" s="3">
        <v>14814150</v>
      </c>
      <c r="K35" s="3">
        <f t="shared" si="2"/>
        <v>41144296</v>
      </c>
      <c r="L35" s="3">
        <f t="shared" si="2"/>
        <v>0</v>
      </c>
      <c r="M35" s="3">
        <f t="shared" si="2"/>
        <v>21031150</v>
      </c>
      <c r="N35" s="3">
        <f t="shared" si="1"/>
        <v>62175446</v>
      </c>
    </row>
    <row r="36" spans="1:15" x14ac:dyDescent="0.15">
      <c r="A36" s="1">
        <v>2004</v>
      </c>
      <c r="B36" s="3">
        <v>16701630</v>
      </c>
      <c r="C36" s="3">
        <v>0</v>
      </c>
      <c r="D36" s="3">
        <v>0</v>
      </c>
      <c r="E36" s="3">
        <v>8409443</v>
      </c>
      <c r="F36" s="3">
        <v>0</v>
      </c>
      <c r="G36" s="3">
        <v>0</v>
      </c>
      <c r="H36" s="3">
        <v>16122162</v>
      </c>
      <c r="I36" s="3">
        <v>4000</v>
      </c>
      <c r="J36" s="3">
        <v>0</v>
      </c>
      <c r="K36" s="3">
        <v>41233235</v>
      </c>
      <c r="L36" s="3">
        <v>4000</v>
      </c>
      <c r="M36" s="3">
        <v>0</v>
      </c>
      <c r="N36" s="3">
        <v>41237235</v>
      </c>
    </row>
    <row r="37" spans="1:15" x14ac:dyDescent="0.15">
      <c r="A37" s="1">
        <v>2005</v>
      </c>
      <c r="B37" s="3">
        <v>16178505</v>
      </c>
      <c r="C37" s="3">
        <v>0</v>
      </c>
      <c r="D37" s="3">
        <v>0</v>
      </c>
      <c r="E37" s="3">
        <v>8114822</v>
      </c>
      <c r="F37" s="3">
        <v>0</v>
      </c>
      <c r="G37" s="3">
        <v>0</v>
      </c>
      <c r="H37" s="3">
        <v>32823023</v>
      </c>
      <c r="I37" s="3">
        <v>16000</v>
      </c>
      <c r="J37" s="3">
        <v>0</v>
      </c>
      <c r="K37" s="3">
        <v>57116350</v>
      </c>
      <c r="L37" s="3">
        <v>16000</v>
      </c>
      <c r="M37" s="3">
        <v>0</v>
      </c>
      <c r="N37" s="3">
        <v>57132350</v>
      </c>
    </row>
    <row r="38" spans="1:15" x14ac:dyDescent="0.15">
      <c r="A38" s="1">
        <v>2006</v>
      </c>
      <c r="B38" s="3">
        <v>16568570</v>
      </c>
      <c r="C38" s="3">
        <v>0</v>
      </c>
      <c r="D38" s="3">
        <v>0</v>
      </c>
      <c r="E38" s="3">
        <v>9063159</v>
      </c>
      <c r="F38" s="3">
        <v>0</v>
      </c>
      <c r="G38" s="3">
        <v>0</v>
      </c>
      <c r="H38" s="3">
        <v>16436391</v>
      </c>
      <c r="I38" s="3">
        <v>24000</v>
      </c>
      <c r="J38" s="3">
        <v>0</v>
      </c>
      <c r="K38" s="3">
        <v>42068120</v>
      </c>
      <c r="L38" s="3">
        <v>24000</v>
      </c>
      <c r="M38" s="3">
        <v>0</v>
      </c>
      <c r="N38" s="3">
        <v>42092120</v>
      </c>
    </row>
    <row r="39" spans="1:15" x14ac:dyDescent="0.15">
      <c r="A39" s="1">
        <v>2007</v>
      </c>
      <c r="B39" s="3">
        <v>15498221</v>
      </c>
      <c r="C39" s="3">
        <v>0</v>
      </c>
      <c r="D39" s="3">
        <v>0</v>
      </c>
      <c r="E39" s="3">
        <v>9551744</v>
      </c>
      <c r="F39" s="3">
        <v>0</v>
      </c>
      <c r="G39" s="3">
        <v>0</v>
      </c>
      <c r="H39" s="3">
        <v>34717975</v>
      </c>
      <c r="I39" s="3">
        <v>34000</v>
      </c>
      <c r="J39" s="3">
        <v>0</v>
      </c>
      <c r="K39" s="3">
        <v>59767940</v>
      </c>
      <c r="L39" s="3">
        <v>34000</v>
      </c>
      <c r="M39" s="3">
        <v>0</v>
      </c>
      <c r="N39" s="3">
        <v>59801940</v>
      </c>
    </row>
    <row r="40" spans="1:15" x14ac:dyDescent="0.15">
      <c r="A40" s="1">
        <v>2008</v>
      </c>
      <c r="B40" s="3">
        <v>72293904</v>
      </c>
      <c r="C40" s="3">
        <v>0</v>
      </c>
      <c r="D40" s="3">
        <v>0</v>
      </c>
      <c r="E40" s="3">
        <v>422997</v>
      </c>
      <c r="F40" s="3">
        <v>0</v>
      </c>
      <c r="G40" s="3">
        <v>0</v>
      </c>
      <c r="H40" s="3">
        <v>37281562</v>
      </c>
      <c r="I40" s="3">
        <v>10000</v>
      </c>
      <c r="J40" s="3">
        <v>0</v>
      </c>
      <c r="K40" s="3">
        <v>109998463</v>
      </c>
      <c r="L40" s="3">
        <v>10000</v>
      </c>
      <c r="M40" s="3">
        <v>0</v>
      </c>
      <c r="N40" s="3">
        <v>110008463</v>
      </c>
      <c r="O40" s="1" t="s">
        <v>281</v>
      </c>
    </row>
    <row r="41" spans="1:15" x14ac:dyDescent="0.15">
      <c r="A41" s="1">
        <v>2009</v>
      </c>
      <c r="B41" s="3">
        <v>92545987</v>
      </c>
      <c r="C41" s="3">
        <v>0</v>
      </c>
      <c r="D41" s="3">
        <v>0</v>
      </c>
      <c r="E41" s="3">
        <v>439358</v>
      </c>
      <c r="F41" s="3">
        <v>0</v>
      </c>
      <c r="G41" s="3">
        <v>0</v>
      </c>
      <c r="H41" s="3">
        <v>36278592</v>
      </c>
      <c r="I41" s="3">
        <v>7000</v>
      </c>
      <c r="J41" s="3">
        <v>0</v>
      </c>
      <c r="K41" s="3">
        <v>129263937</v>
      </c>
      <c r="L41" s="3">
        <v>7000</v>
      </c>
      <c r="M41" s="3">
        <v>0</v>
      </c>
      <c r="N41" s="3">
        <v>129270937</v>
      </c>
    </row>
    <row r="42" spans="1:15" x14ac:dyDescent="0.15">
      <c r="A42" s="1">
        <v>2010</v>
      </c>
      <c r="B42" s="3">
        <v>82814302</v>
      </c>
      <c r="C42" s="3">
        <v>0</v>
      </c>
      <c r="D42" s="3">
        <v>0</v>
      </c>
      <c r="E42" s="3">
        <v>422170</v>
      </c>
      <c r="F42" s="3">
        <v>0</v>
      </c>
      <c r="G42" s="3">
        <v>0</v>
      </c>
      <c r="H42" s="3">
        <v>37251880</v>
      </c>
      <c r="I42" s="3">
        <v>4207</v>
      </c>
      <c r="J42" s="3">
        <v>0</v>
      </c>
      <c r="K42" s="3">
        <v>120488352</v>
      </c>
      <c r="L42" s="3">
        <v>4207</v>
      </c>
      <c r="M42" s="3">
        <v>0</v>
      </c>
      <c r="N42" s="3">
        <v>120492559</v>
      </c>
    </row>
    <row r="43" spans="1:15" x14ac:dyDescent="0.15">
      <c r="A43" s="1">
        <v>2011</v>
      </c>
      <c r="B43" s="3">
        <v>56574757</v>
      </c>
      <c r="C43" s="3">
        <v>0</v>
      </c>
      <c r="D43" s="3">
        <v>0</v>
      </c>
      <c r="E43" s="3">
        <v>356525</v>
      </c>
      <c r="F43" s="3">
        <v>0</v>
      </c>
      <c r="G43" s="3">
        <v>0</v>
      </c>
      <c r="H43" s="3">
        <v>33842941</v>
      </c>
      <c r="I43" s="3">
        <v>0</v>
      </c>
      <c r="J43" s="3">
        <v>0</v>
      </c>
      <c r="K43" s="3">
        <v>90774223</v>
      </c>
      <c r="L43" s="3">
        <v>0</v>
      </c>
      <c r="M43" s="3">
        <v>0</v>
      </c>
      <c r="N43" s="3">
        <v>90774223</v>
      </c>
    </row>
    <row r="44" spans="1:15" x14ac:dyDescent="0.15">
      <c r="A44" s="1">
        <v>2012</v>
      </c>
      <c r="B44" s="3">
        <v>59585406</v>
      </c>
      <c r="C44" s="3">
        <v>0</v>
      </c>
      <c r="D44" s="3">
        <v>0</v>
      </c>
      <c r="E44" s="3">
        <v>369476</v>
      </c>
      <c r="F44" s="3">
        <v>0</v>
      </c>
      <c r="G44" s="3">
        <v>0</v>
      </c>
      <c r="H44" s="3">
        <v>37039993</v>
      </c>
      <c r="I44" s="3">
        <v>0</v>
      </c>
      <c r="J44" s="3">
        <v>0</v>
      </c>
      <c r="K44" s="3">
        <v>96994875</v>
      </c>
      <c r="L44" s="3">
        <v>0</v>
      </c>
      <c r="M44" s="3">
        <v>0</v>
      </c>
      <c r="N44" s="3">
        <v>96994875</v>
      </c>
    </row>
    <row r="45" spans="1:15" x14ac:dyDescent="0.15">
      <c r="A45" s="1">
        <v>2013</v>
      </c>
      <c r="B45" s="3">
        <v>63034367</v>
      </c>
      <c r="C45" s="3">
        <v>0</v>
      </c>
      <c r="D45" s="3">
        <v>0</v>
      </c>
      <c r="E45" s="3">
        <v>581325</v>
      </c>
      <c r="F45" s="3">
        <v>0</v>
      </c>
      <c r="G45" s="3">
        <v>0</v>
      </c>
      <c r="H45" s="3">
        <v>40644006</v>
      </c>
      <c r="I45" s="3">
        <v>2459</v>
      </c>
      <c r="J45" s="3">
        <v>0</v>
      </c>
      <c r="K45" s="3">
        <v>104259698</v>
      </c>
      <c r="L45" s="3">
        <v>2459</v>
      </c>
      <c r="M45" s="3">
        <v>0</v>
      </c>
      <c r="N45" s="3">
        <v>104262157</v>
      </c>
    </row>
    <row r="46" spans="1:15" x14ac:dyDescent="0.15">
      <c r="A46" s="1">
        <v>2014</v>
      </c>
      <c r="B46" s="3">
        <v>59878157</v>
      </c>
      <c r="C46" s="3">
        <v>0</v>
      </c>
      <c r="D46" s="3">
        <v>0</v>
      </c>
      <c r="E46" s="3">
        <v>670708</v>
      </c>
      <c r="F46" s="3">
        <v>0</v>
      </c>
      <c r="G46" s="3">
        <v>0</v>
      </c>
      <c r="H46" s="3">
        <v>46862681</v>
      </c>
      <c r="I46" s="3">
        <v>1523</v>
      </c>
      <c r="J46" s="3">
        <v>0</v>
      </c>
      <c r="K46" s="3">
        <v>107411546</v>
      </c>
      <c r="L46" s="3">
        <v>1523</v>
      </c>
      <c r="M46" s="3">
        <v>0</v>
      </c>
      <c r="N46" s="3">
        <v>107413069</v>
      </c>
    </row>
    <row r="47" spans="1:15" x14ac:dyDescent="0.15">
      <c r="A47" s="1">
        <v>2015</v>
      </c>
      <c r="B47" s="3">
        <v>59226259</v>
      </c>
      <c r="C47" s="3">
        <v>0</v>
      </c>
      <c r="D47" s="3">
        <v>0</v>
      </c>
      <c r="E47" s="3">
        <v>641640</v>
      </c>
      <c r="F47" s="3">
        <v>0</v>
      </c>
      <c r="G47" s="3">
        <v>0</v>
      </c>
      <c r="H47" s="3">
        <v>51474096</v>
      </c>
      <c r="I47" s="3">
        <v>0</v>
      </c>
      <c r="J47" s="3">
        <v>0</v>
      </c>
      <c r="K47" s="3">
        <v>111341995</v>
      </c>
      <c r="L47" s="3">
        <v>0</v>
      </c>
      <c r="M47" s="3">
        <v>0</v>
      </c>
      <c r="N47" s="3">
        <v>111341995</v>
      </c>
    </row>
    <row r="48" spans="1:15" x14ac:dyDescent="0.15">
      <c r="A48" s="1">
        <v>2016</v>
      </c>
      <c r="B48" s="3">
        <v>67497028</v>
      </c>
      <c r="C48" s="3">
        <v>0</v>
      </c>
      <c r="D48" s="3">
        <v>0</v>
      </c>
      <c r="E48" s="3">
        <v>609506</v>
      </c>
      <c r="F48" s="3">
        <v>0</v>
      </c>
      <c r="G48" s="3">
        <v>0</v>
      </c>
      <c r="H48" s="3">
        <v>51838244</v>
      </c>
      <c r="I48" s="3">
        <v>3047</v>
      </c>
      <c r="J48" s="3">
        <v>0</v>
      </c>
      <c r="K48" s="3">
        <v>119944778</v>
      </c>
      <c r="L48" s="3">
        <v>3047</v>
      </c>
      <c r="M48" s="3">
        <v>0</v>
      </c>
      <c r="N48" s="3">
        <v>119947825</v>
      </c>
    </row>
  </sheetData>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5" defaultRowHeight="11.25" x14ac:dyDescent="0.15"/>
  <cols>
    <col min="1" max="16384" width="10.5" style="1"/>
  </cols>
  <sheetData>
    <row r="1" spans="1:15" x14ac:dyDescent="0.15">
      <c r="A1" s="1" t="s">
        <v>46</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76000</v>
      </c>
      <c r="C9" s="3">
        <v>0</v>
      </c>
      <c r="D9" s="3">
        <v>0</v>
      </c>
      <c r="E9" s="3">
        <v>0</v>
      </c>
      <c r="F9" s="3">
        <v>0</v>
      </c>
      <c r="G9" s="3">
        <v>0</v>
      </c>
      <c r="H9" s="3">
        <v>0</v>
      </c>
      <c r="I9" s="3">
        <v>0</v>
      </c>
      <c r="J9" s="3">
        <v>0</v>
      </c>
      <c r="K9" s="3">
        <f t="shared" si="0"/>
        <v>76000</v>
      </c>
      <c r="L9" s="3">
        <f t="shared" si="0"/>
        <v>0</v>
      </c>
      <c r="M9" s="3">
        <f t="shared" si="0"/>
        <v>0</v>
      </c>
      <c r="N9" s="3">
        <f t="shared" si="1"/>
        <v>76000</v>
      </c>
      <c r="O9" s="1" t="s">
        <v>108</v>
      </c>
    </row>
    <row r="10" spans="1:15" x14ac:dyDescent="0.15">
      <c r="A10" s="1">
        <v>1978</v>
      </c>
      <c r="B10" s="3">
        <v>330000</v>
      </c>
      <c r="C10" s="3">
        <v>0</v>
      </c>
      <c r="D10" s="3">
        <v>0</v>
      </c>
      <c r="E10" s="3">
        <v>0</v>
      </c>
      <c r="F10" s="3">
        <v>0</v>
      </c>
      <c r="G10" s="3">
        <v>0</v>
      </c>
      <c r="H10" s="3">
        <v>0</v>
      </c>
      <c r="I10" s="3">
        <v>0</v>
      </c>
      <c r="J10" s="3">
        <v>0</v>
      </c>
      <c r="K10" s="3">
        <f t="shared" si="0"/>
        <v>330000</v>
      </c>
      <c r="L10" s="3">
        <f t="shared" si="0"/>
        <v>0</v>
      </c>
      <c r="M10" s="3">
        <f t="shared" si="0"/>
        <v>0</v>
      </c>
      <c r="N10" s="3">
        <f t="shared" si="1"/>
        <v>330000</v>
      </c>
    </row>
    <row r="11" spans="1:15" x14ac:dyDescent="0.15">
      <c r="A11" s="1">
        <v>1979</v>
      </c>
      <c r="B11" s="3">
        <v>351000</v>
      </c>
      <c r="C11" s="3">
        <v>0</v>
      </c>
      <c r="D11" s="3">
        <v>0</v>
      </c>
      <c r="E11" s="3">
        <v>0</v>
      </c>
      <c r="F11" s="3">
        <v>0</v>
      </c>
      <c r="G11" s="3">
        <v>0</v>
      </c>
      <c r="H11" s="3">
        <v>0</v>
      </c>
      <c r="I11" s="3">
        <v>0</v>
      </c>
      <c r="J11" s="3">
        <v>0</v>
      </c>
      <c r="K11" s="3">
        <f t="shared" si="0"/>
        <v>351000</v>
      </c>
      <c r="L11" s="3">
        <f t="shared" si="0"/>
        <v>0</v>
      </c>
      <c r="M11" s="3">
        <f t="shared" si="0"/>
        <v>0</v>
      </c>
      <c r="N11" s="3">
        <f t="shared" si="1"/>
        <v>351000</v>
      </c>
    </row>
    <row r="12" spans="1:15" x14ac:dyDescent="0.15">
      <c r="A12" s="1">
        <v>1980</v>
      </c>
      <c r="B12" s="3">
        <v>392000</v>
      </c>
      <c r="C12" s="3">
        <v>0</v>
      </c>
      <c r="D12" s="3">
        <v>0</v>
      </c>
      <c r="E12" s="3">
        <v>0</v>
      </c>
      <c r="F12" s="3">
        <v>0</v>
      </c>
      <c r="G12" s="3">
        <v>0</v>
      </c>
      <c r="H12" s="3">
        <v>0</v>
      </c>
      <c r="I12" s="3">
        <v>0</v>
      </c>
      <c r="J12" s="3">
        <v>0</v>
      </c>
      <c r="K12" s="3">
        <f t="shared" si="0"/>
        <v>392000</v>
      </c>
      <c r="L12" s="3">
        <f t="shared" si="0"/>
        <v>0</v>
      </c>
      <c r="M12" s="3">
        <f t="shared" si="0"/>
        <v>0</v>
      </c>
      <c r="N12" s="3">
        <f t="shared" si="1"/>
        <v>392000</v>
      </c>
    </row>
    <row r="13" spans="1:15" x14ac:dyDescent="0.15">
      <c r="A13" s="1">
        <v>1981</v>
      </c>
      <c r="B13" s="3">
        <v>353000</v>
      </c>
      <c r="C13" s="3">
        <v>0</v>
      </c>
      <c r="D13" s="3">
        <v>0</v>
      </c>
      <c r="E13" s="3">
        <v>0</v>
      </c>
      <c r="F13" s="3">
        <v>0</v>
      </c>
      <c r="G13" s="3">
        <v>0</v>
      </c>
      <c r="H13" s="3">
        <v>0</v>
      </c>
      <c r="I13" s="3">
        <v>0</v>
      </c>
      <c r="J13" s="3">
        <v>0</v>
      </c>
      <c r="K13" s="3">
        <f t="shared" si="0"/>
        <v>353000</v>
      </c>
      <c r="L13" s="3">
        <f t="shared" si="0"/>
        <v>0</v>
      </c>
      <c r="M13" s="3">
        <f t="shared" si="0"/>
        <v>0</v>
      </c>
      <c r="N13" s="3">
        <f t="shared" si="1"/>
        <v>353000</v>
      </c>
    </row>
    <row r="14" spans="1:15" x14ac:dyDescent="0.15">
      <c r="A14" s="1">
        <v>1982</v>
      </c>
      <c r="B14" s="3">
        <v>390000</v>
      </c>
      <c r="C14" s="3">
        <v>0</v>
      </c>
      <c r="D14" s="3">
        <v>0</v>
      </c>
      <c r="E14" s="3">
        <v>0</v>
      </c>
      <c r="F14" s="3">
        <v>0</v>
      </c>
      <c r="G14" s="3">
        <v>0</v>
      </c>
      <c r="H14" s="3">
        <v>0</v>
      </c>
      <c r="I14" s="3">
        <v>0</v>
      </c>
      <c r="J14" s="3">
        <v>0</v>
      </c>
      <c r="K14" s="3">
        <f t="shared" si="0"/>
        <v>390000</v>
      </c>
      <c r="L14" s="3">
        <f t="shared" si="0"/>
        <v>0</v>
      </c>
      <c r="M14" s="3">
        <f t="shared" si="0"/>
        <v>0</v>
      </c>
      <c r="N14" s="3">
        <f t="shared" si="1"/>
        <v>390000</v>
      </c>
    </row>
    <row r="15" spans="1:15" x14ac:dyDescent="0.15">
      <c r="A15" s="1">
        <v>1983</v>
      </c>
      <c r="B15" s="3">
        <v>400000</v>
      </c>
      <c r="C15" s="3">
        <v>0</v>
      </c>
      <c r="D15" s="3">
        <v>0</v>
      </c>
      <c r="E15" s="3">
        <v>0</v>
      </c>
      <c r="F15" s="3">
        <v>0</v>
      </c>
      <c r="G15" s="3">
        <v>0</v>
      </c>
      <c r="H15" s="3">
        <v>0</v>
      </c>
      <c r="I15" s="3">
        <v>0</v>
      </c>
      <c r="J15" s="3">
        <v>0</v>
      </c>
      <c r="K15" s="3">
        <f t="shared" si="0"/>
        <v>400000</v>
      </c>
      <c r="L15" s="3">
        <f t="shared" si="0"/>
        <v>0</v>
      </c>
      <c r="M15" s="3">
        <f t="shared" si="0"/>
        <v>0</v>
      </c>
      <c r="N15" s="3">
        <f t="shared" si="1"/>
        <v>400000</v>
      </c>
    </row>
    <row r="16" spans="1:15" x14ac:dyDescent="0.15">
      <c r="A16" s="1">
        <v>1984</v>
      </c>
      <c r="B16" s="3">
        <v>331000</v>
      </c>
      <c r="C16" s="3">
        <v>0</v>
      </c>
      <c r="D16" s="3">
        <v>0</v>
      </c>
      <c r="E16" s="3">
        <v>0</v>
      </c>
      <c r="F16" s="3">
        <v>0</v>
      </c>
      <c r="G16" s="3">
        <v>0</v>
      </c>
      <c r="H16" s="3">
        <v>0</v>
      </c>
      <c r="I16" s="3">
        <v>0</v>
      </c>
      <c r="J16" s="3">
        <v>0</v>
      </c>
      <c r="K16" s="3">
        <f t="shared" si="0"/>
        <v>331000</v>
      </c>
      <c r="L16" s="3">
        <f t="shared" si="0"/>
        <v>0</v>
      </c>
      <c r="M16" s="3">
        <f t="shared" si="0"/>
        <v>0</v>
      </c>
      <c r="N16" s="3">
        <f t="shared" si="1"/>
        <v>331000</v>
      </c>
    </row>
    <row r="17" spans="1:15" x14ac:dyDescent="0.15">
      <c r="A17" s="1">
        <v>1985</v>
      </c>
      <c r="B17" s="3">
        <v>400000</v>
      </c>
      <c r="C17" s="3">
        <v>0</v>
      </c>
      <c r="D17" s="3">
        <v>0</v>
      </c>
      <c r="E17" s="3">
        <v>0</v>
      </c>
      <c r="F17" s="3">
        <v>0</v>
      </c>
      <c r="G17" s="3">
        <v>0</v>
      </c>
      <c r="H17" s="3">
        <v>0</v>
      </c>
      <c r="I17" s="3">
        <v>0</v>
      </c>
      <c r="J17" s="3">
        <v>0</v>
      </c>
      <c r="K17" s="3">
        <f t="shared" si="0"/>
        <v>400000</v>
      </c>
      <c r="L17" s="3">
        <f t="shared" si="0"/>
        <v>0</v>
      </c>
      <c r="M17" s="3">
        <f t="shared" si="0"/>
        <v>0</v>
      </c>
      <c r="N17" s="3">
        <f t="shared" si="1"/>
        <v>400000</v>
      </c>
    </row>
    <row r="18" spans="1:15" x14ac:dyDescent="0.15">
      <c r="A18" s="1">
        <v>1986</v>
      </c>
      <c r="B18" s="3">
        <v>393000</v>
      </c>
      <c r="C18" s="3">
        <v>0</v>
      </c>
      <c r="D18" s="3">
        <v>0</v>
      </c>
      <c r="E18" s="3">
        <v>0</v>
      </c>
      <c r="F18" s="3">
        <v>0</v>
      </c>
      <c r="G18" s="3">
        <v>0</v>
      </c>
      <c r="H18" s="3">
        <v>0</v>
      </c>
      <c r="I18" s="3">
        <v>0</v>
      </c>
      <c r="J18" s="3">
        <v>0</v>
      </c>
      <c r="K18" s="3">
        <f t="shared" si="0"/>
        <v>393000</v>
      </c>
      <c r="L18" s="3">
        <f t="shared" si="0"/>
        <v>0</v>
      </c>
      <c r="M18" s="3">
        <f t="shared" si="0"/>
        <v>0</v>
      </c>
      <c r="N18" s="3">
        <f t="shared" si="1"/>
        <v>393000</v>
      </c>
    </row>
    <row r="19" spans="1:15" x14ac:dyDescent="0.15">
      <c r="A19" s="1">
        <v>1987</v>
      </c>
      <c r="B19" s="3">
        <v>401000</v>
      </c>
      <c r="C19" s="3">
        <v>0</v>
      </c>
      <c r="D19" s="3">
        <v>0</v>
      </c>
      <c r="E19" s="3">
        <v>0</v>
      </c>
      <c r="F19" s="3">
        <v>0</v>
      </c>
      <c r="G19" s="3">
        <v>0</v>
      </c>
      <c r="H19" s="3">
        <v>0</v>
      </c>
      <c r="I19" s="3">
        <v>0</v>
      </c>
      <c r="J19" s="3">
        <v>0</v>
      </c>
      <c r="K19" s="3">
        <f t="shared" si="0"/>
        <v>401000</v>
      </c>
      <c r="L19" s="3">
        <f t="shared" si="0"/>
        <v>0</v>
      </c>
      <c r="M19" s="3">
        <f t="shared" si="0"/>
        <v>0</v>
      </c>
      <c r="N19" s="3">
        <f t="shared" si="1"/>
        <v>401000</v>
      </c>
    </row>
    <row r="20" spans="1:15" x14ac:dyDescent="0.15">
      <c r="A20" s="1">
        <v>1988</v>
      </c>
      <c r="B20" s="3">
        <v>420000</v>
      </c>
      <c r="C20" s="3">
        <v>0</v>
      </c>
      <c r="D20" s="3">
        <v>0</v>
      </c>
      <c r="E20" s="3">
        <v>0</v>
      </c>
      <c r="F20" s="3">
        <v>0</v>
      </c>
      <c r="G20" s="3">
        <v>0</v>
      </c>
      <c r="H20" s="3">
        <v>0</v>
      </c>
      <c r="I20" s="3">
        <v>0</v>
      </c>
      <c r="J20" s="3">
        <v>0</v>
      </c>
      <c r="K20" s="3">
        <f t="shared" si="0"/>
        <v>420000</v>
      </c>
      <c r="L20" s="3">
        <f t="shared" si="0"/>
        <v>0</v>
      </c>
      <c r="M20" s="3">
        <f t="shared" si="0"/>
        <v>0</v>
      </c>
      <c r="N20" s="3">
        <f t="shared" si="1"/>
        <v>420000</v>
      </c>
    </row>
    <row r="21" spans="1:15" x14ac:dyDescent="0.15">
      <c r="A21" s="1">
        <v>1989</v>
      </c>
      <c r="B21" s="3">
        <v>420000</v>
      </c>
      <c r="C21" s="3">
        <v>0</v>
      </c>
      <c r="D21" s="3">
        <v>0</v>
      </c>
      <c r="E21" s="3">
        <v>0</v>
      </c>
      <c r="F21" s="3">
        <v>0</v>
      </c>
      <c r="G21" s="3">
        <v>0</v>
      </c>
      <c r="H21" s="3">
        <v>0</v>
      </c>
      <c r="I21" s="3">
        <v>0</v>
      </c>
      <c r="J21" s="3">
        <v>0</v>
      </c>
      <c r="K21" s="3">
        <f t="shared" si="0"/>
        <v>420000</v>
      </c>
      <c r="L21" s="3">
        <f t="shared" si="0"/>
        <v>0</v>
      </c>
      <c r="M21" s="3">
        <f t="shared" si="0"/>
        <v>0</v>
      </c>
      <c r="N21" s="3">
        <f t="shared" si="1"/>
        <v>420000</v>
      </c>
    </row>
    <row r="22" spans="1:15" x14ac:dyDescent="0.15">
      <c r="A22" s="1">
        <v>1990</v>
      </c>
      <c r="B22" s="3">
        <v>417000</v>
      </c>
      <c r="C22" s="3">
        <v>0</v>
      </c>
      <c r="D22" s="3">
        <v>0</v>
      </c>
      <c r="E22" s="3">
        <v>0</v>
      </c>
      <c r="F22" s="3">
        <v>0</v>
      </c>
      <c r="G22" s="3">
        <v>0</v>
      </c>
      <c r="H22" s="3">
        <v>0</v>
      </c>
      <c r="I22" s="3">
        <v>0</v>
      </c>
      <c r="J22" s="3">
        <v>0</v>
      </c>
      <c r="K22" s="3">
        <f t="shared" ref="K22:M35" si="2">+B22+E22+H22</f>
        <v>417000</v>
      </c>
      <c r="L22" s="3">
        <f t="shared" si="2"/>
        <v>0</v>
      </c>
      <c r="M22" s="3">
        <f t="shared" si="2"/>
        <v>0</v>
      </c>
      <c r="N22" s="3">
        <f t="shared" si="1"/>
        <v>417000</v>
      </c>
    </row>
    <row r="23" spans="1:15" x14ac:dyDescent="0.15">
      <c r="A23" s="1">
        <v>1991</v>
      </c>
      <c r="B23" s="3">
        <v>383000</v>
      </c>
      <c r="C23" s="3">
        <v>0</v>
      </c>
      <c r="D23" s="3">
        <v>0</v>
      </c>
      <c r="E23" s="3">
        <v>0</v>
      </c>
      <c r="F23" s="3">
        <v>0</v>
      </c>
      <c r="G23" s="3">
        <v>0</v>
      </c>
      <c r="H23" s="3">
        <v>0</v>
      </c>
      <c r="I23" s="3">
        <v>0</v>
      </c>
      <c r="J23" s="3">
        <v>0</v>
      </c>
      <c r="K23" s="3">
        <f t="shared" si="2"/>
        <v>383000</v>
      </c>
      <c r="L23" s="3">
        <f t="shared" si="2"/>
        <v>0</v>
      </c>
      <c r="M23" s="3">
        <f t="shared" si="2"/>
        <v>0</v>
      </c>
      <c r="N23" s="3">
        <f t="shared" si="1"/>
        <v>383000</v>
      </c>
    </row>
    <row r="24" spans="1:15" x14ac:dyDescent="0.15">
      <c r="A24" s="1">
        <v>1992</v>
      </c>
      <c r="B24" s="3">
        <v>395000</v>
      </c>
      <c r="C24" s="3">
        <v>0</v>
      </c>
      <c r="D24" s="3">
        <v>0</v>
      </c>
      <c r="E24" s="3">
        <v>0</v>
      </c>
      <c r="F24" s="3">
        <v>0</v>
      </c>
      <c r="G24" s="3">
        <v>0</v>
      </c>
      <c r="H24" s="3">
        <v>0</v>
      </c>
      <c r="I24" s="3">
        <v>0</v>
      </c>
      <c r="J24" s="3">
        <v>0</v>
      </c>
      <c r="K24" s="3">
        <f t="shared" si="2"/>
        <v>395000</v>
      </c>
      <c r="L24" s="3">
        <f t="shared" si="2"/>
        <v>0</v>
      </c>
      <c r="M24" s="3">
        <f t="shared" si="2"/>
        <v>0</v>
      </c>
      <c r="N24" s="3">
        <f t="shared" si="1"/>
        <v>395000</v>
      </c>
    </row>
    <row r="25" spans="1:15" x14ac:dyDescent="0.15">
      <c r="A25" s="1">
        <v>1993</v>
      </c>
      <c r="B25" s="3">
        <v>418000</v>
      </c>
      <c r="C25" s="3">
        <v>0</v>
      </c>
      <c r="D25" s="3">
        <v>0</v>
      </c>
      <c r="E25" s="3">
        <v>0</v>
      </c>
      <c r="F25" s="3">
        <v>0</v>
      </c>
      <c r="G25" s="3">
        <v>0</v>
      </c>
      <c r="H25" s="3">
        <v>0</v>
      </c>
      <c r="I25" s="3">
        <v>0</v>
      </c>
      <c r="J25" s="3">
        <v>0</v>
      </c>
      <c r="K25" s="3">
        <f t="shared" si="2"/>
        <v>418000</v>
      </c>
      <c r="L25" s="3">
        <f t="shared" si="2"/>
        <v>0</v>
      </c>
      <c r="M25" s="3">
        <f t="shared" si="2"/>
        <v>0</v>
      </c>
      <c r="N25" s="3">
        <f t="shared" si="1"/>
        <v>418000</v>
      </c>
    </row>
    <row r="26" spans="1:15" x14ac:dyDescent="0.15">
      <c r="A26" s="1">
        <v>1994</v>
      </c>
      <c r="B26" s="3">
        <v>401000</v>
      </c>
      <c r="C26" s="3">
        <v>0</v>
      </c>
      <c r="D26" s="3">
        <v>0</v>
      </c>
      <c r="E26" s="3">
        <v>0</v>
      </c>
      <c r="F26" s="3">
        <v>0</v>
      </c>
      <c r="G26" s="3">
        <v>0</v>
      </c>
      <c r="H26" s="3">
        <v>0</v>
      </c>
      <c r="I26" s="3">
        <v>0</v>
      </c>
      <c r="J26" s="3">
        <v>0</v>
      </c>
      <c r="K26" s="3">
        <f t="shared" si="2"/>
        <v>401000</v>
      </c>
      <c r="L26" s="3">
        <f t="shared" si="2"/>
        <v>0</v>
      </c>
      <c r="M26" s="3">
        <f t="shared" si="2"/>
        <v>0</v>
      </c>
      <c r="N26" s="3">
        <f t="shared" si="1"/>
        <v>401000</v>
      </c>
    </row>
    <row r="27" spans="1:15" x14ac:dyDescent="0.15">
      <c r="A27" s="1">
        <v>1995</v>
      </c>
      <c r="B27" s="3">
        <v>419000</v>
      </c>
      <c r="C27" s="3">
        <v>0</v>
      </c>
      <c r="D27" s="3">
        <v>0</v>
      </c>
      <c r="E27" s="3">
        <v>0</v>
      </c>
      <c r="F27" s="3">
        <v>0</v>
      </c>
      <c r="G27" s="3">
        <v>0</v>
      </c>
      <c r="H27" s="3">
        <v>0</v>
      </c>
      <c r="I27" s="3">
        <v>0</v>
      </c>
      <c r="J27" s="3">
        <v>0</v>
      </c>
      <c r="K27" s="3">
        <f t="shared" si="2"/>
        <v>419000</v>
      </c>
      <c r="L27" s="3">
        <f t="shared" si="2"/>
        <v>0</v>
      </c>
      <c r="M27" s="3">
        <f t="shared" si="2"/>
        <v>0</v>
      </c>
      <c r="N27" s="3">
        <f t="shared" si="1"/>
        <v>419000</v>
      </c>
    </row>
    <row r="28" spans="1:15" x14ac:dyDescent="0.15">
      <c r="A28" s="1">
        <v>1996</v>
      </c>
      <c r="B28" s="3">
        <v>393224</v>
      </c>
      <c r="C28" s="3">
        <v>0</v>
      </c>
      <c r="D28" s="3">
        <v>0</v>
      </c>
      <c r="E28" s="3">
        <v>0</v>
      </c>
      <c r="F28" s="3">
        <v>0</v>
      </c>
      <c r="G28" s="3">
        <v>0</v>
      </c>
      <c r="H28" s="3">
        <v>0</v>
      </c>
      <c r="I28" s="3">
        <v>0</v>
      </c>
      <c r="J28" s="3">
        <v>0</v>
      </c>
      <c r="K28" s="3">
        <f t="shared" si="2"/>
        <v>393224</v>
      </c>
      <c r="L28" s="3">
        <f t="shared" si="2"/>
        <v>0</v>
      </c>
      <c r="M28" s="3">
        <f t="shared" si="2"/>
        <v>0</v>
      </c>
      <c r="N28" s="3">
        <f t="shared" si="1"/>
        <v>393224</v>
      </c>
    </row>
    <row r="29" spans="1:15" x14ac:dyDescent="0.15">
      <c r="A29" s="1">
        <v>1997</v>
      </c>
      <c r="B29" s="3">
        <v>314490</v>
      </c>
      <c r="C29" s="3">
        <v>0</v>
      </c>
      <c r="D29" s="3">
        <v>0</v>
      </c>
      <c r="E29" s="3">
        <v>0</v>
      </c>
      <c r="F29" s="3">
        <v>0</v>
      </c>
      <c r="G29" s="3">
        <v>0</v>
      </c>
      <c r="H29" s="3">
        <v>0</v>
      </c>
      <c r="I29" s="3">
        <v>0</v>
      </c>
      <c r="J29" s="3">
        <v>0</v>
      </c>
      <c r="K29" s="3">
        <f t="shared" si="2"/>
        <v>314490</v>
      </c>
      <c r="L29" s="3">
        <f t="shared" si="2"/>
        <v>0</v>
      </c>
      <c r="M29" s="3">
        <f t="shared" si="2"/>
        <v>0</v>
      </c>
      <c r="N29" s="3">
        <f t="shared" si="1"/>
        <v>314490</v>
      </c>
    </row>
    <row r="30" spans="1:15" x14ac:dyDescent="0.15">
      <c r="A30" s="1">
        <v>1998</v>
      </c>
      <c r="B30" s="3">
        <f>359057+11105</f>
        <v>370162</v>
      </c>
      <c r="C30" s="3">
        <v>0</v>
      </c>
      <c r="D30" s="3">
        <v>0</v>
      </c>
      <c r="E30" s="3">
        <v>84700</v>
      </c>
      <c r="F30" s="3">
        <v>0</v>
      </c>
      <c r="G30" s="3">
        <v>0</v>
      </c>
      <c r="H30" s="3">
        <v>860000</v>
      </c>
      <c r="I30" s="3">
        <v>0</v>
      </c>
      <c r="J30" s="3">
        <v>0</v>
      </c>
      <c r="K30" s="3">
        <f t="shared" si="2"/>
        <v>1314862</v>
      </c>
      <c r="L30" s="3">
        <f t="shared" si="2"/>
        <v>0</v>
      </c>
      <c r="M30" s="3">
        <f t="shared" si="2"/>
        <v>0</v>
      </c>
      <c r="N30" s="3">
        <f t="shared" si="1"/>
        <v>1314862</v>
      </c>
      <c r="O30" s="1" t="s">
        <v>223</v>
      </c>
    </row>
    <row r="31" spans="1:15" x14ac:dyDescent="0.15">
      <c r="A31" s="1">
        <v>1999</v>
      </c>
      <c r="B31" s="3">
        <v>293715</v>
      </c>
      <c r="C31" s="3">
        <v>0</v>
      </c>
      <c r="D31" s="3">
        <v>0</v>
      </c>
      <c r="E31" s="3">
        <v>180230</v>
      </c>
      <c r="F31" s="3">
        <v>0</v>
      </c>
      <c r="G31" s="3">
        <v>0</v>
      </c>
      <c r="H31" s="3">
        <v>922000</v>
      </c>
      <c r="I31" s="3">
        <v>0</v>
      </c>
      <c r="J31" s="3">
        <v>0</v>
      </c>
      <c r="K31" s="3">
        <f t="shared" si="2"/>
        <v>1395945</v>
      </c>
      <c r="L31" s="3">
        <f t="shared" si="2"/>
        <v>0</v>
      </c>
      <c r="M31" s="3">
        <f t="shared" si="2"/>
        <v>0</v>
      </c>
      <c r="N31" s="3">
        <f t="shared" si="1"/>
        <v>1395945</v>
      </c>
    </row>
    <row r="32" spans="1:15" x14ac:dyDescent="0.15">
      <c r="A32" s="1">
        <v>2000</v>
      </c>
      <c r="B32" s="3">
        <v>328112</v>
      </c>
      <c r="C32" s="3">
        <v>0</v>
      </c>
      <c r="D32" s="3">
        <v>0</v>
      </c>
      <c r="E32" s="3">
        <v>1661617</v>
      </c>
      <c r="F32" s="3">
        <v>0</v>
      </c>
      <c r="G32" s="3">
        <v>0</v>
      </c>
      <c r="H32" s="3">
        <v>963000</v>
      </c>
      <c r="I32" s="3">
        <v>0</v>
      </c>
      <c r="J32" s="3">
        <v>0</v>
      </c>
      <c r="K32" s="3">
        <f t="shared" si="2"/>
        <v>2952729</v>
      </c>
      <c r="L32" s="3">
        <f t="shared" si="2"/>
        <v>0</v>
      </c>
      <c r="M32" s="3">
        <f t="shared" si="2"/>
        <v>0</v>
      </c>
      <c r="N32" s="3">
        <f t="shared" si="1"/>
        <v>2952729</v>
      </c>
    </row>
    <row r="33" spans="1:15" x14ac:dyDescent="0.15">
      <c r="A33" s="1">
        <v>2001</v>
      </c>
      <c r="B33" s="3">
        <f>1669087+185454</f>
        <v>1854541</v>
      </c>
      <c r="C33" s="3">
        <v>0</v>
      </c>
      <c r="D33" s="3">
        <v>0</v>
      </c>
      <c r="E33" s="3">
        <f>328121+20944</f>
        <v>349065</v>
      </c>
      <c r="F33" s="3">
        <v>0</v>
      </c>
      <c r="G33" s="3">
        <v>0</v>
      </c>
      <c r="H33" s="3">
        <v>991000</v>
      </c>
      <c r="I33" s="3">
        <v>0</v>
      </c>
      <c r="J33" s="3">
        <v>0</v>
      </c>
      <c r="K33" s="3">
        <f t="shared" si="2"/>
        <v>3194606</v>
      </c>
      <c r="L33" s="3">
        <f t="shared" si="2"/>
        <v>0</v>
      </c>
      <c r="M33" s="3">
        <f t="shared" si="2"/>
        <v>0</v>
      </c>
      <c r="N33" s="3">
        <f t="shared" si="1"/>
        <v>3194606</v>
      </c>
    </row>
    <row r="34" spans="1:15" x14ac:dyDescent="0.15">
      <c r="A34" s="1">
        <v>2002</v>
      </c>
      <c r="B34" s="3">
        <v>2485037</v>
      </c>
      <c r="C34" s="3">
        <v>0</v>
      </c>
      <c r="D34" s="3">
        <v>0</v>
      </c>
      <c r="E34" s="3">
        <f>2810000-B34</f>
        <v>324963</v>
      </c>
      <c r="F34" s="3">
        <v>0</v>
      </c>
      <c r="G34" s="3">
        <v>0</v>
      </c>
      <c r="H34" s="3">
        <v>0</v>
      </c>
      <c r="I34" s="3">
        <v>0</v>
      </c>
      <c r="J34" s="3">
        <v>0</v>
      </c>
      <c r="K34" s="3">
        <f t="shared" si="2"/>
        <v>2810000</v>
      </c>
      <c r="L34" s="3">
        <f t="shared" si="2"/>
        <v>0</v>
      </c>
      <c r="M34" s="3">
        <f t="shared" si="2"/>
        <v>0</v>
      </c>
      <c r="N34" s="3">
        <f t="shared" si="1"/>
        <v>2810000</v>
      </c>
    </row>
    <row r="35" spans="1:15" x14ac:dyDescent="0.15">
      <c r="A35" s="1">
        <v>2003</v>
      </c>
      <c r="B35" s="3">
        <v>2467236</v>
      </c>
      <c r="C35" s="3">
        <v>0</v>
      </c>
      <c r="D35" s="3">
        <v>0</v>
      </c>
      <c r="E35" s="3">
        <v>357274</v>
      </c>
      <c r="F35" s="3">
        <v>0</v>
      </c>
      <c r="G35" s="3">
        <v>0</v>
      </c>
      <c r="H35" s="3">
        <v>0</v>
      </c>
      <c r="I35" s="3">
        <v>0</v>
      </c>
      <c r="J35" s="3">
        <v>0</v>
      </c>
      <c r="K35" s="3">
        <f t="shared" si="2"/>
        <v>2824510</v>
      </c>
      <c r="L35" s="3">
        <f t="shared" si="2"/>
        <v>0</v>
      </c>
      <c r="M35" s="3">
        <f t="shared" si="2"/>
        <v>0</v>
      </c>
      <c r="N35" s="3">
        <f t="shared" si="1"/>
        <v>2824510</v>
      </c>
    </row>
    <row r="36" spans="1:15" x14ac:dyDescent="0.15">
      <c r="A36" s="1">
        <v>2004</v>
      </c>
      <c r="B36" s="3">
        <v>2116440</v>
      </c>
      <c r="C36" s="3">
        <v>0</v>
      </c>
      <c r="D36" s="3">
        <v>0</v>
      </c>
      <c r="E36" s="3">
        <v>425358</v>
      </c>
      <c r="F36" s="3">
        <v>0</v>
      </c>
      <c r="G36" s="3">
        <v>0</v>
      </c>
      <c r="H36" s="3">
        <v>0</v>
      </c>
      <c r="I36" s="3">
        <v>0</v>
      </c>
      <c r="J36" s="3">
        <v>0</v>
      </c>
      <c r="K36" s="3">
        <v>2541798</v>
      </c>
      <c r="L36" s="3">
        <v>0</v>
      </c>
      <c r="M36" s="3">
        <v>0</v>
      </c>
      <c r="N36" s="3">
        <v>2541798</v>
      </c>
    </row>
    <row r="37" spans="1:15" x14ac:dyDescent="0.15">
      <c r="A37" s="1">
        <v>2005</v>
      </c>
      <c r="B37" s="3">
        <v>2498975</v>
      </c>
      <c r="C37" s="3">
        <v>0</v>
      </c>
      <c r="D37" s="3">
        <v>0</v>
      </c>
      <c r="E37" s="3">
        <v>519281</v>
      </c>
      <c r="F37" s="3">
        <v>0</v>
      </c>
      <c r="G37" s="3">
        <v>0</v>
      </c>
      <c r="H37" s="3">
        <v>0</v>
      </c>
      <c r="I37" s="3">
        <v>0</v>
      </c>
      <c r="J37" s="3">
        <v>0</v>
      </c>
      <c r="K37" s="3">
        <v>3018256</v>
      </c>
      <c r="L37" s="3">
        <v>0</v>
      </c>
      <c r="M37" s="3">
        <v>0</v>
      </c>
      <c r="N37" s="3">
        <v>3018256</v>
      </c>
    </row>
    <row r="38" spans="1:15" x14ac:dyDescent="0.15">
      <c r="A38" s="1">
        <v>2006</v>
      </c>
      <c r="B38" s="3">
        <v>2178563</v>
      </c>
      <c r="C38" s="3">
        <v>0</v>
      </c>
      <c r="D38" s="3">
        <v>0</v>
      </c>
      <c r="E38" s="3">
        <v>1410544</v>
      </c>
      <c r="F38" s="3">
        <v>0</v>
      </c>
      <c r="G38" s="3">
        <v>0</v>
      </c>
      <c r="H38" s="3">
        <v>170500</v>
      </c>
      <c r="I38" s="3">
        <v>0</v>
      </c>
      <c r="J38" s="3">
        <v>0</v>
      </c>
      <c r="K38" s="3">
        <v>3759607</v>
      </c>
      <c r="L38" s="3">
        <v>0</v>
      </c>
      <c r="M38" s="3">
        <v>0</v>
      </c>
      <c r="N38" s="3">
        <v>3759607</v>
      </c>
      <c r="O38" s="1" t="s">
        <v>283</v>
      </c>
    </row>
    <row r="39" spans="1:15" x14ac:dyDescent="0.15">
      <c r="A39" s="1">
        <v>2007</v>
      </c>
      <c r="B39" s="3">
        <v>2181556</v>
      </c>
      <c r="C39" s="3">
        <v>0</v>
      </c>
      <c r="D39" s="3">
        <v>0</v>
      </c>
      <c r="E39" s="3">
        <v>2381736</v>
      </c>
      <c r="F39" s="3">
        <v>0</v>
      </c>
      <c r="G39" s="3">
        <v>0</v>
      </c>
      <c r="H39" s="3">
        <v>0</v>
      </c>
      <c r="I39" s="3">
        <v>0</v>
      </c>
      <c r="J39" s="3">
        <v>0</v>
      </c>
      <c r="K39" s="3">
        <v>4563292</v>
      </c>
      <c r="L39" s="3">
        <v>0</v>
      </c>
      <c r="M39" s="3">
        <v>0</v>
      </c>
      <c r="N39" s="3">
        <v>4563292</v>
      </c>
    </row>
    <row r="40" spans="1:15" x14ac:dyDescent="0.15">
      <c r="A40" s="1">
        <v>2008</v>
      </c>
      <c r="B40" s="3">
        <v>2163559</v>
      </c>
      <c r="C40" s="3">
        <v>0</v>
      </c>
      <c r="D40" s="3">
        <v>0</v>
      </c>
      <c r="E40" s="3">
        <v>2203399</v>
      </c>
      <c r="F40" s="3">
        <v>0</v>
      </c>
      <c r="G40" s="3">
        <v>0</v>
      </c>
      <c r="H40" s="3">
        <v>0</v>
      </c>
      <c r="I40" s="3">
        <v>0</v>
      </c>
      <c r="J40" s="3">
        <v>0</v>
      </c>
      <c r="K40" s="3">
        <v>4366958</v>
      </c>
      <c r="L40" s="3">
        <v>0</v>
      </c>
      <c r="M40" s="3">
        <v>0</v>
      </c>
      <c r="N40" s="3">
        <v>4366958</v>
      </c>
    </row>
    <row r="41" spans="1:15" x14ac:dyDescent="0.15">
      <c r="A41" s="1">
        <v>2009</v>
      </c>
      <c r="B41" s="3">
        <v>2120210</v>
      </c>
      <c r="C41" s="3">
        <v>0</v>
      </c>
      <c r="D41" s="3">
        <v>0</v>
      </c>
      <c r="E41" s="3">
        <v>3018111</v>
      </c>
      <c r="F41" s="3">
        <v>0</v>
      </c>
      <c r="G41" s="3">
        <v>0</v>
      </c>
      <c r="H41" s="3">
        <v>729000</v>
      </c>
      <c r="I41" s="3">
        <v>0</v>
      </c>
      <c r="J41" s="3">
        <v>0</v>
      </c>
      <c r="K41" s="3">
        <v>5867321</v>
      </c>
      <c r="L41" s="3">
        <v>0</v>
      </c>
      <c r="M41" s="3">
        <v>0</v>
      </c>
      <c r="N41" s="3">
        <v>5867321</v>
      </c>
    </row>
    <row r="42" spans="1:15" x14ac:dyDescent="0.15">
      <c r="A42" s="1">
        <v>2010</v>
      </c>
      <c r="B42" s="3">
        <v>2152815</v>
      </c>
      <c r="C42" s="3">
        <v>0</v>
      </c>
      <c r="D42" s="3">
        <v>0</v>
      </c>
      <c r="E42" s="3">
        <v>2154164</v>
      </c>
      <c r="F42" s="3">
        <v>0</v>
      </c>
      <c r="G42" s="3">
        <v>0</v>
      </c>
      <c r="H42" s="3">
        <v>1341500</v>
      </c>
      <c r="I42" s="3">
        <v>0</v>
      </c>
      <c r="J42" s="3">
        <v>0</v>
      </c>
      <c r="K42" s="3">
        <v>5648479</v>
      </c>
      <c r="L42" s="3">
        <v>0</v>
      </c>
      <c r="M42" s="3">
        <v>0</v>
      </c>
      <c r="N42" s="3">
        <v>5648479</v>
      </c>
    </row>
    <row r="43" spans="1:15" x14ac:dyDescent="0.15">
      <c r="A43" s="1">
        <v>2011</v>
      </c>
      <c r="B43" s="3">
        <v>2176298</v>
      </c>
      <c r="C43" s="3">
        <v>0</v>
      </c>
      <c r="D43" s="3">
        <v>0</v>
      </c>
      <c r="E43" s="3">
        <v>2248936</v>
      </c>
      <c r="F43" s="3">
        <v>0</v>
      </c>
      <c r="G43" s="3">
        <v>0</v>
      </c>
      <c r="H43" s="3">
        <v>1451500</v>
      </c>
      <c r="I43" s="3">
        <v>0</v>
      </c>
      <c r="J43" s="3">
        <v>0</v>
      </c>
      <c r="K43" s="3">
        <v>5876734</v>
      </c>
      <c r="L43" s="3">
        <v>0</v>
      </c>
      <c r="M43" s="3">
        <v>0</v>
      </c>
      <c r="N43" s="3">
        <v>5876734</v>
      </c>
    </row>
    <row r="44" spans="1:15" x14ac:dyDescent="0.15">
      <c r="A44" s="1">
        <v>2012</v>
      </c>
      <c r="B44" s="3">
        <v>2099830</v>
      </c>
      <c r="C44" s="3">
        <v>0</v>
      </c>
      <c r="D44" s="3">
        <v>0</v>
      </c>
      <c r="E44" s="3">
        <v>2977861</v>
      </c>
      <c r="F44" s="3">
        <v>0</v>
      </c>
      <c r="G44" s="3">
        <v>0</v>
      </c>
      <c r="H44" s="3">
        <v>1381500</v>
      </c>
      <c r="I44" s="3">
        <v>0</v>
      </c>
      <c r="J44" s="3">
        <v>0</v>
      </c>
      <c r="K44" s="3">
        <v>6459191</v>
      </c>
      <c r="L44" s="3">
        <v>0</v>
      </c>
      <c r="M44" s="3">
        <v>0</v>
      </c>
      <c r="N44" s="3">
        <v>6459191</v>
      </c>
    </row>
    <row r="45" spans="1:15" x14ac:dyDescent="0.15">
      <c r="A45" s="1">
        <v>2013</v>
      </c>
      <c r="B45" s="3">
        <v>2138690</v>
      </c>
      <c r="C45" s="3">
        <v>0</v>
      </c>
      <c r="D45" s="3">
        <v>0</v>
      </c>
      <c r="E45" s="3">
        <v>2023264</v>
      </c>
      <c r="F45" s="3">
        <v>0</v>
      </c>
      <c r="G45" s="3">
        <v>0</v>
      </c>
      <c r="H45" s="3">
        <v>1350000</v>
      </c>
      <c r="I45" s="3">
        <v>0</v>
      </c>
      <c r="J45" s="3">
        <v>0</v>
      </c>
      <c r="K45" s="3">
        <v>5511954</v>
      </c>
      <c r="L45" s="3">
        <v>0</v>
      </c>
      <c r="M45" s="3">
        <v>0</v>
      </c>
      <c r="N45" s="3">
        <v>5511954</v>
      </c>
    </row>
    <row r="46" spans="1:15" x14ac:dyDescent="0.15">
      <c r="A46" s="1">
        <v>2014</v>
      </c>
      <c r="B46" s="3">
        <v>2018775</v>
      </c>
      <c r="C46" s="3">
        <v>0</v>
      </c>
      <c r="D46" s="3">
        <v>0</v>
      </c>
      <c r="E46" s="3">
        <v>1686252</v>
      </c>
      <c r="F46" s="3">
        <v>0</v>
      </c>
      <c r="G46" s="3">
        <v>0</v>
      </c>
      <c r="H46" s="3">
        <v>1339000</v>
      </c>
      <c r="I46" s="3">
        <v>0</v>
      </c>
      <c r="J46" s="3">
        <v>0</v>
      </c>
      <c r="K46" s="3">
        <v>5044027</v>
      </c>
      <c r="L46" s="3">
        <v>0</v>
      </c>
      <c r="M46" s="3">
        <v>0</v>
      </c>
      <c r="N46" s="3">
        <v>5044027</v>
      </c>
    </row>
    <row r="47" spans="1:15" x14ac:dyDescent="0.15">
      <c r="A47" s="1">
        <v>2015</v>
      </c>
      <c r="B47" s="3">
        <v>2018775</v>
      </c>
      <c r="C47" s="3">
        <v>0</v>
      </c>
      <c r="D47" s="3">
        <v>0</v>
      </c>
      <c r="E47" s="3">
        <v>1680759</v>
      </c>
      <c r="F47" s="3">
        <v>0</v>
      </c>
      <c r="G47" s="3">
        <v>0</v>
      </c>
      <c r="H47" s="3">
        <v>1345000</v>
      </c>
      <c r="I47" s="3">
        <v>0</v>
      </c>
      <c r="J47" s="3">
        <v>0</v>
      </c>
      <c r="K47" s="3">
        <v>5044534</v>
      </c>
      <c r="L47" s="3">
        <v>0</v>
      </c>
      <c r="M47" s="3">
        <v>0</v>
      </c>
      <c r="N47" s="3">
        <v>5044534</v>
      </c>
    </row>
    <row r="48" spans="1:15" x14ac:dyDescent="0.15">
      <c r="A48" s="1">
        <v>2016</v>
      </c>
      <c r="B48" s="3">
        <v>161000</v>
      </c>
      <c r="C48" s="3">
        <v>0</v>
      </c>
      <c r="D48" s="3">
        <v>0</v>
      </c>
      <c r="E48" s="3">
        <v>406039</v>
      </c>
      <c r="F48" s="3">
        <v>0</v>
      </c>
      <c r="G48" s="3">
        <v>0</v>
      </c>
      <c r="H48" s="3">
        <v>1170000</v>
      </c>
      <c r="I48" s="3">
        <v>0</v>
      </c>
      <c r="J48" s="3">
        <v>0</v>
      </c>
      <c r="K48" s="3">
        <v>1737039</v>
      </c>
      <c r="L48" s="3">
        <v>0</v>
      </c>
      <c r="M48" s="3">
        <v>0</v>
      </c>
      <c r="N48" s="3">
        <v>1737039</v>
      </c>
      <c r="O48" s="1" t="s">
        <v>282</v>
      </c>
    </row>
  </sheetData>
  <phoneticPr fontId="0"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48</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278000</v>
      </c>
      <c r="C7" s="3">
        <v>0</v>
      </c>
      <c r="D7" s="3">
        <v>0</v>
      </c>
      <c r="E7" s="3">
        <v>0</v>
      </c>
      <c r="F7" s="3">
        <v>0</v>
      </c>
      <c r="G7" s="3">
        <v>0</v>
      </c>
      <c r="H7" s="3">
        <v>0</v>
      </c>
      <c r="I7" s="3">
        <v>0</v>
      </c>
      <c r="J7" s="3">
        <v>0</v>
      </c>
      <c r="K7" s="3">
        <f t="shared" si="0"/>
        <v>278000</v>
      </c>
      <c r="L7" s="3">
        <f t="shared" si="0"/>
        <v>0</v>
      </c>
      <c r="M7" s="3">
        <f t="shared" si="0"/>
        <v>0</v>
      </c>
      <c r="N7" s="3">
        <f t="shared" si="1"/>
        <v>278000</v>
      </c>
      <c r="O7" s="1" t="s">
        <v>90</v>
      </c>
    </row>
    <row r="8" spans="1:15" x14ac:dyDescent="0.15">
      <c r="A8" s="1">
        <v>1976</v>
      </c>
      <c r="B8" s="3">
        <v>280000</v>
      </c>
      <c r="C8" s="3">
        <v>0</v>
      </c>
      <c r="D8" s="3">
        <v>0</v>
      </c>
      <c r="E8" s="3">
        <v>0</v>
      </c>
      <c r="F8" s="3">
        <v>0</v>
      </c>
      <c r="G8" s="3">
        <v>0</v>
      </c>
      <c r="H8" s="3">
        <v>0</v>
      </c>
      <c r="I8" s="3">
        <v>0</v>
      </c>
      <c r="J8" s="3">
        <v>0</v>
      </c>
      <c r="K8" s="3">
        <f t="shared" si="0"/>
        <v>280000</v>
      </c>
      <c r="L8" s="3">
        <f t="shared" si="0"/>
        <v>0</v>
      </c>
      <c r="M8" s="3">
        <f t="shared" si="0"/>
        <v>0</v>
      </c>
      <c r="N8" s="3">
        <f t="shared" si="1"/>
        <v>280000</v>
      </c>
      <c r="O8" s="1" t="s">
        <v>100</v>
      </c>
    </row>
    <row r="9" spans="1:15" x14ac:dyDescent="0.15">
      <c r="A9" s="1">
        <v>1977</v>
      </c>
      <c r="B9" s="3">
        <v>285000</v>
      </c>
      <c r="C9" s="3">
        <v>0</v>
      </c>
      <c r="D9" s="3">
        <v>0</v>
      </c>
      <c r="E9" s="3">
        <v>0</v>
      </c>
      <c r="F9" s="3">
        <v>0</v>
      </c>
      <c r="G9" s="3">
        <v>0</v>
      </c>
      <c r="H9" s="3">
        <v>0</v>
      </c>
      <c r="I9" s="3">
        <v>0</v>
      </c>
      <c r="J9" s="3">
        <v>0</v>
      </c>
      <c r="K9" s="3">
        <f t="shared" si="0"/>
        <v>285000</v>
      </c>
      <c r="L9" s="3">
        <f t="shared" si="0"/>
        <v>0</v>
      </c>
      <c r="M9" s="3">
        <f t="shared" si="0"/>
        <v>0</v>
      </c>
      <c r="N9" s="3">
        <f t="shared" si="1"/>
        <v>285000</v>
      </c>
    </row>
    <row r="10" spans="1:15" x14ac:dyDescent="0.15">
      <c r="A10" s="1">
        <v>1978</v>
      </c>
      <c r="B10" s="3">
        <v>409000</v>
      </c>
      <c r="C10" s="3">
        <v>0</v>
      </c>
      <c r="D10" s="3">
        <v>0</v>
      </c>
      <c r="E10" s="3">
        <v>0</v>
      </c>
      <c r="F10" s="3">
        <v>0</v>
      </c>
      <c r="G10" s="3">
        <v>0</v>
      </c>
      <c r="H10" s="3">
        <v>0</v>
      </c>
      <c r="I10" s="3">
        <v>0</v>
      </c>
      <c r="J10" s="3">
        <v>0</v>
      </c>
      <c r="K10" s="3">
        <f t="shared" si="0"/>
        <v>409000</v>
      </c>
      <c r="L10" s="3">
        <f t="shared" si="0"/>
        <v>0</v>
      </c>
      <c r="M10" s="3">
        <f t="shared" si="0"/>
        <v>0</v>
      </c>
      <c r="N10" s="3">
        <f t="shared" si="1"/>
        <v>409000</v>
      </c>
    </row>
    <row r="11" spans="1:15" x14ac:dyDescent="0.15">
      <c r="A11" s="1">
        <v>1979</v>
      </c>
      <c r="B11" s="3">
        <v>856000</v>
      </c>
      <c r="C11" s="3">
        <v>0</v>
      </c>
      <c r="D11" s="3">
        <v>0</v>
      </c>
      <c r="E11" s="3">
        <v>0</v>
      </c>
      <c r="F11" s="3">
        <v>0</v>
      </c>
      <c r="G11" s="3">
        <v>0</v>
      </c>
      <c r="H11" s="3">
        <v>0</v>
      </c>
      <c r="I11" s="3">
        <v>0</v>
      </c>
      <c r="J11" s="3">
        <v>0</v>
      </c>
      <c r="K11" s="3">
        <f t="shared" si="0"/>
        <v>856000</v>
      </c>
      <c r="L11" s="3">
        <f t="shared" si="0"/>
        <v>0</v>
      </c>
      <c r="M11" s="3">
        <f t="shared" si="0"/>
        <v>0</v>
      </c>
      <c r="N11" s="3">
        <f t="shared" si="1"/>
        <v>856000</v>
      </c>
    </row>
    <row r="12" spans="1:15" x14ac:dyDescent="0.15">
      <c r="A12" s="1">
        <v>1980</v>
      </c>
      <c r="B12" s="3">
        <v>1074000</v>
      </c>
      <c r="C12" s="3">
        <v>0</v>
      </c>
      <c r="D12" s="3">
        <v>0</v>
      </c>
      <c r="E12" s="3">
        <v>0</v>
      </c>
      <c r="F12" s="3">
        <v>0</v>
      </c>
      <c r="G12" s="3">
        <v>0</v>
      </c>
      <c r="H12" s="3">
        <v>0</v>
      </c>
      <c r="I12" s="3">
        <v>0</v>
      </c>
      <c r="J12" s="3">
        <v>0</v>
      </c>
      <c r="K12" s="3">
        <f t="shared" si="0"/>
        <v>1074000</v>
      </c>
      <c r="L12" s="3">
        <f t="shared" si="0"/>
        <v>0</v>
      </c>
      <c r="M12" s="3">
        <f t="shared" si="0"/>
        <v>0</v>
      </c>
      <c r="N12" s="3">
        <f t="shared" si="1"/>
        <v>1074000</v>
      </c>
    </row>
    <row r="13" spans="1:15" x14ac:dyDescent="0.15">
      <c r="A13" s="1">
        <v>1981</v>
      </c>
      <c r="B13" s="3">
        <v>1196000</v>
      </c>
      <c r="C13" s="3">
        <v>0</v>
      </c>
      <c r="D13" s="3">
        <v>0</v>
      </c>
      <c r="E13" s="3">
        <v>0</v>
      </c>
      <c r="F13" s="3">
        <v>0</v>
      </c>
      <c r="G13" s="3">
        <v>0</v>
      </c>
      <c r="H13" s="3">
        <v>0</v>
      </c>
      <c r="I13" s="3">
        <v>0</v>
      </c>
      <c r="J13" s="3">
        <v>0</v>
      </c>
      <c r="K13" s="3">
        <f t="shared" si="0"/>
        <v>1196000</v>
      </c>
      <c r="L13" s="3">
        <f t="shared" si="0"/>
        <v>0</v>
      </c>
      <c r="M13" s="3">
        <f t="shared" si="0"/>
        <v>0</v>
      </c>
      <c r="N13" s="3">
        <f t="shared" si="1"/>
        <v>1196000</v>
      </c>
    </row>
    <row r="14" spans="1:15" x14ac:dyDescent="0.15">
      <c r="A14" s="1">
        <v>1982</v>
      </c>
      <c r="B14" s="3">
        <v>1119000</v>
      </c>
      <c r="C14" s="3">
        <v>0</v>
      </c>
      <c r="D14" s="3">
        <v>0</v>
      </c>
      <c r="E14" s="3">
        <v>0</v>
      </c>
      <c r="F14" s="3">
        <v>0</v>
      </c>
      <c r="G14" s="3">
        <v>0</v>
      </c>
      <c r="H14" s="3">
        <v>0</v>
      </c>
      <c r="I14" s="3">
        <v>0</v>
      </c>
      <c r="J14" s="3">
        <v>0</v>
      </c>
      <c r="K14" s="3">
        <f t="shared" si="0"/>
        <v>1119000</v>
      </c>
      <c r="L14" s="3">
        <f t="shared" si="0"/>
        <v>0</v>
      </c>
      <c r="M14" s="3">
        <f t="shared" si="0"/>
        <v>0</v>
      </c>
      <c r="N14" s="3">
        <f t="shared" si="1"/>
        <v>1119000</v>
      </c>
    </row>
    <row r="15" spans="1:15" x14ac:dyDescent="0.15">
      <c r="A15" s="1">
        <v>1983</v>
      </c>
      <c r="B15" s="3">
        <v>1056000</v>
      </c>
      <c r="C15" s="3">
        <v>0</v>
      </c>
      <c r="D15" s="3">
        <v>0</v>
      </c>
      <c r="E15" s="3">
        <v>0</v>
      </c>
      <c r="F15" s="3">
        <v>0</v>
      </c>
      <c r="G15" s="3">
        <v>0</v>
      </c>
      <c r="H15" s="3">
        <v>0</v>
      </c>
      <c r="I15" s="3">
        <v>0</v>
      </c>
      <c r="J15" s="3">
        <v>0</v>
      </c>
      <c r="K15" s="3">
        <f t="shared" si="0"/>
        <v>1056000</v>
      </c>
      <c r="L15" s="3">
        <f t="shared" si="0"/>
        <v>0</v>
      </c>
      <c r="M15" s="3">
        <f t="shared" si="0"/>
        <v>0</v>
      </c>
      <c r="N15" s="3">
        <f t="shared" si="1"/>
        <v>1056000</v>
      </c>
    </row>
    <row r="16" spans="1:15" x14ac:dyDescent="0.15">
      <c r="A16" s="1">
        <v>1984</v>
      </c>
      <c r="B16" s="3">
        <v>860000</v>
      </c>
      <c r="C16" s="3">
        <v>0</v>
      </c>
      <c r="D16" s="3">
        <v>0</v>
      </c>
      <c r="E16" s="3">
        <v>0</v>
      </c>
      <c r="F16" s="3">
        <v>0</v>
      </c>
      <c r="G16" s="3">
        <v>0</v>
      </c>
      <c r="H16" s="3">
        <v>0</v>
      </c>
      <c r="I16" s="3">
        <v>0</v>
      </c>
      <c r="J16" s="3">
        <v>0</v>
      </c>
      <c r="K16" s="3">
        <f t="shared" si="0"/>
        <v>860000</v>
      </c>
      <c r="L16" s="3">
        <f t="shared" si="0"/>
        <v>0</v>
      </c>
      <c r="M16" s="3">
        <f t="shared" si="0"/>
        <v>0</v>
      </c>
      <c r="N16" s="3">
        <f t="shared" si="1"/>
        <v>860000</v>
      </c>
    </row>
    <row r="17" spans="1:15" x14ac:dyDescent="0.15">
      <c r="A17" s="1">
        <v>1985</v>
      </c>
      <c r="B17" s="3">
        <v>1089000</v>
      </c>
      <c r="C17" s="3">
        <v>0</v>
      </c>
      <c r="D17" s="3">
        <v>0</v>
      </c>
      <c r="E17" s="3">
        <v>0</v>
      </c>
      <c r="F17" s="3">
        <v>0</v>
      </c>
      <c r="G17" s="3">
        <v>0</v>
      </c>
      <c r="H17" s="3">
        <v>0</v>
      </c>
      <c r="I17" s="3">
        <v>0</v>
      </c>
      <c r="J17" s="3">
        <v>0</v>
      </c>
      <c r="K17" s="3">
        <f t="shared" si="0"/>
        <v>1089000</v>
      </c>
      <c r="L17" s="3">
        <f t="shared" si="0"/>
        <v>0</v>
      </c>
      <c r="M17" s="3">
        <f t="shared" si="0"/>
        <v>0</v>
      </c>
      <c r="N17" s="3">
        <f t="shared" si="1"/>
        <v>1089000</v>
      </c>
    </row>
    <row r="18" spans="1:15" x14ac:dyDescent="0.15">
      <c r="A18" s="1">
        <v>1986</v>
      </c>
      <c r="B18" s="3">
        <v>1089000</v>
      </c>
      <c r="C18" s="3">
        <v>0</v>
      </c>
      <c r="D18" s="3">
        <v>0</v>
      </c>
      <c r="E18" s="3">
        <v>0</v>
      </c>
      <c r="F18" s="3">
        <v>0</v>
      </c>
      <c r="G18" s="3">
        <v>0</v>
      </c>
      <c r="H18" s="3">
        <v>0</v>
      </c>
      <c r="I18" s="3">
        <v>0</v>
      </c>
      <c r="J18" s="3">
        <v>0</v>
      </c>
      <c r="K18" s="3">
        <f t="shared" si="0"/>
        <v>1089000</v>
      </c>
      <c r="L18" s="3">
        <f t="shared" si="0"/>
        <v>0</v>
      </c>
      <c r="M18" s="3">
        <f t="shared" si="0"/>
        <v>0</v>
      </c>
      <c r="N18" s="3">
        <f t="shared" si="1"/>
        <v>1089000</v>
      </c>
      <c r="O18" s="1" t="s">
        <v>166</v>
      </c>
    </row>
    <row r="19" spans="1:15" x14ac:dyDescent="0.15">
      <c r="A19" s="1">
        <v>1987</v>
      </c>
      <c r="B19" s="3">
        <v>1093000</v>
      </c>
      <c r="C19" s="3">
        <v>0</v>
      </c>
      <c r="D19" s="3">
        <v>0</v>
      </c>
      <c r="E19" s="3">
        <v>0</v>
      </c>
      <c r="F19" s="3">
        <v>0</v>
      </c>
      <c r="G19" s="3">
        <v>0</v>
      </c>
      <c r="H19" s="3">
        <v>0</v>
      </c>
      <c r="I19" s="3">
        <v>0</v>
      </c>
      <c r="J19" s="3">
        <v>0</v>
      </c>
      <c r="K19" s="3">
        <f t="shared" si="0"/>
        <v>1093000</v>
      </c>
      <c r="L19" s="3">
        <f t="shared" si="0"/>
        <v>0</v>
      </c>
      <c r="M19" s="3">
        <f t="shared" si="0"/>
        <v>0</v>
      </c>
      <c r="N19" s="3">
        <f t="shared" si="1"/>
        <v>1093000</v>
      </c>
    </row>
    <row r="20" spans="1:15" x14ac:dyDescent="0.15">
      <c r="A20" s="1">
        <v>1988</v>
      </c>
      <c r="B20" s="3">
        <v>1089000</v>
      </c>
      <c r="C20" s="3">
        <v>0</v>
      </c>
      <c r="D20" s="3">
        <v>0</v>
      </c>
      <c r="E20" s="3">
        <v>0</v>
      </c>
      <c r="F20" s="3">
        <v>0</v>
      </c>
      <c r="G20" s="3">
        <v>0</v>
      </c>
      <c r="H20" s="3">
        <v>0</v>
      </c>
      <c r="I20" s="3">
        <v>0</v>
      </c>
      <c r="J20" s="3">
        <v>0</v>
      </c>
      <c r="K20" s="3">
        <f t="shared" si="0"/>
        <v>1089000</v>
      </c>
      <c r="L20" s="3">
        <f t="shared" si="0"/>
        <v>0</v>
      </c>
      <c r="M20" s="3">
        <f t="shared" si="0"/>
        <v>0</v>
      </c>
      <c r="N20" s="3">
        <f t="shared" si="1"/>
        <v>1089000</v>
      </c>
    </row>
    <row r="21" spans="1:15" x14ac:dyDescent="0.15">
      <c r="A21" s="1">
        <v>1989</v>
      </c>
      <c r="B21" s="3">
        <v>1793000</v>
      </c>
      <c r="C21" s="3">
        <v>0</v>
      </c>
      <c r="D21" s="3">
        <v>0</v>
      </c>
      <c r="E21" s="3">
        <v>0</v>
      </c>
      <c r="F21" s="3">
        <v>0</v>
      </c>
      <c r="G21" s="3">
        <v>0</v>
      </c>
      <c r="H21" s="3">
        <v>0</v>
      </c>
      <c r="I21" s="3">
        <v>0</v>
      </c>
      <c r="J21" s="3">
        <v>0</v>
      </c>
      <c r="K21" s="3">
        <f t="shared" si="0"/>
        <v>1793000</v>
      </c>
      <c r="L21" s="3">
        <f t="shared" si="0"/>
        <v>0</v>
      </c>
      <c r="M21" s="3">
        <f t="shared" si="0"/>
        <v>0</v>
      </c>
      <c r="N21" s="3">
        <f t="shared" si="1"/>
        <v>1793000</v>
      </c>
    </row>
    <row r="22" spans="1:15" x14ac:dyDescent="0.15">
      <c r="A22" s="1">
        <v>1990</v>
      </c>
      <c r="B22" s="3">
        <v>1276000</v>
      </c>
      <c r="C22" s="3">
        <v>0</v>
      </c>
      <c r="D22" s="3">
        <v>0</v>
      </c>
      <c r="E22" s="3">
        <v>761000</v>
      </c>
      <c r="F22" s="3">
        <v>0</v>
      </c>
      <c r="G22" s="3">
        <v>0</v>
      </c>
      <c r="H22" s="3">
        <v>0</v>
      </c>
      <c r="I22" s="3">
        <v>0</v>
      </c>
      <c r="J22" s="3">
        <v>0</v>
      </c>
      <c r="K22" s="3">
        <f t="shared" ref="K22:M35" si="2">+B22+E22+H22</f>
        <v>2037000</v>
      </c>
      <c r="L22" s="3">
        <f t="shared" si="2"/>
        <v>0</v>
      </c>
      <c r="M22" s="3">
        <f t="shared" si="2"/>
        <v>0</v>
      </c>
      <c r="N22" s="3">
        <f t="shared" si="1"/>
        <v>2037000</v>
      </c>
      <c r="O22" s="1" t="s">
        <v>180</v>
      </c>
    </row>
    <row r="23" spans="1:15" x14ac:dyDescent="0.15">
      <c r="A23" s="1">
        <v>1991</v>
      </c>
      <c r="B23" s="3">
        <v>1310000</v>
      </c>
      <c r="C23" s="3">
        <v>0</v>
      </c>
      <c r="D23" s="3">
        <v>0</v>
      </c>
      <c r="E23" s="3">
        <v>886000</v>
      </c>
      <c r="F23" s="3">
        <v>0</v>
      </c>
      <c r="G23" s="3">
        <v>0</v>
      </c>
      <c r="H23" s="3">
        <v>0</v>
      </c>
      <c r="I23" s="3">
        <v>0</v>
      </c>
      <c r="J23" s="3">
        <v>0</v>
      </c>
      <c r="K23" s="3">
        <f t="shared" si="2"/>
        <v>2196000</v>
      </c>
      <c r="L23" s="3">
        <f t="shared" si="2"/>
        <v>0</v>
      </c>
      <c r="M23" s="3">
        <f t="shared" si="2"/>
        <v>0</v>
      </c>
      <c r="N23" s="3">
        <f t="shared" si="1"/>
        <v>2196000</v>
      </c>
    </row>
    <row r="24" spans="1:15" x14ac:dyDescent="0.15">
      <c r="A24" s="1">
        <v>1992</v>
      </c>
      <c r="B24" s="3">
        <v>1341000</v>
      </c>
      <c r="C24" s="3">
        <v>0</v>
      </c>
      <c r="D24" s="3">
        <v>0</v>
      </c>
      <c r="E24" s="3">
        <f>886000+125000</f>
        <v>1011000</v>
      </c>
      <c r="F24" s="3">
        <v>0</v>
      </c>
      <c r="G24" s="3">
        <v>0</v>
      </c>
      <c r="H24" s="3">
        <v>0</v>
      </c>
      <c r="I24" s="3">
        <v>0</v>
      </c>
      <c r="J24" s="3">
        <v>0</v>
      </c>
      <c r="K24" s="3">
        <f t="shared" si="2"/>
        <v>2352000</v>
      </c>
      <c r="L24" s="3">
        <f t="shared" si="2"/>
        <v>0</v>
      </c>
      <c r="M24" s="3">
        <f t="shared" si="2"/>
        <v>0</v>
      </c>
      <c r="N24" s="3">
        <f t="shared" si="1"/>
        <v>2352000</v>
      </c>
    </row>
    <row r="25" spans="1:15" x14ac:dyDescent="0.15">
      <c r="A25" s="1">
        <v>1993</v>
      </c>
      <c r="B25" s="3">
        <v>1402000</v>
      </c>
      <c r="C25" s="3">
        <v>0</v>
      </c>
      <c r="D25" s="3">
        <v>0</v>
      </c>
      <c r="E25" s="3">
        <f>886000+325000</f>
        <v>1211000</v>
      </c>
      <c r="F25" s="3">
        <v>0</v>
      </c>
      <c r="G25" s="3">
        <v>0</v>
      </c>
      <c r="H25" s="3">
        <v>0</v>
      </c>
      <c r="I25" s="3">
        <v>0</v>
      </c>
      <c r="J25" s="3">
        <v>0</v>
      </c>
      <c r="K25" s="3">
        <f t="shared" si="2"/>
        <v>2613000</v>
      </c>
      <c r="L25" s="3">
        <f t="shared" si="2"/>
        <v>0</v>
      </c>
      <c r="M25" s="3">
        <f t="shared" si="2"/>
        <v>0</v>
      </c>
      <c r="N25" s="3">
        <f t="shared" si="1"/>
        <v>2613000</v>
      </c>
    </row>
    <row r="26" spans="1:15" x14ac:dyDescent="0.15">
      <c r="A26" s="1">
        <v>1994</v>
      </c>
      <c r="B26" s="3">
        <v>1394000</v>
      </c>
      <c r="C26" s="3">
        <v>0</v>
      </c>
      <c r="D26" s="3">
        <v>0</v>
      </c>
      <c r="E26" s="3">
        <f>872000+420000</f>
        <v>1292000</v>
      </c>
      <c r="F26" s="3">
        <v>0</v>
      </c>
      <c r="G26" s="3">
        <v>0</v>
      </c>
      <c r="H26" s="3">
        <v>0</v>
      </c>
      <c r="I26" s="3">
        <v>0</v>
      </c>
      <c r="J26" s="3">
        <v>0</v>
      </c>
      <c r="K26" s="3">
        <f t="shared" si="2"/>
        <v>2686000</v>
      </c>
      <c r="L26" s="3">
        <f t="shared" si="2"/>
        <v>0</v>
      </c>
      <c r="M26" s="3">
        <f t="shared" si="2"/>
        <v>0</v>
      </c>
      <c r="N26" s="3">
        <f t="shared" si="1"/>
        <v>2686000</v>
      </c>
    </row>
    <row r="27" spans="1:15" x14ac:dyDescent="0.15">
      <c r="A27" s="1">
        <v>1995</v>
      </c>
      <c r="B27" s="3">
        <v>1393419</v>
      </c>
      <c r="C27" s="3">
        <v>0</v>
      </c>
      <c r="D27" s="3">
        <v>0</v>
      </c>
      <c r="E27" s="3">
        <f>2726000-B27</f>
        <v>1332581</v>
      </c>
      <c r="F27" s="3">
        <v>0</v>
      </c>
      <c r="G27" s="3">
        <v>0</v>
      </c>
      <c r="H27" s="3">
        <v>0</v>
      </c>
      <c r="I27" s="3">
        <v>0</v>
      </c>
      <c r="J27" s="3">
        <v>0</v>
      </c>
      <c r="K27" s="3">
        <f t="shared" si="2"/>
        <v>2726000</v>
      </c>
      <c r="L27" s="3">
        <f t="shared" si="2"/>
        <v>0</v>
      </c>
      <c r="M27" s="3">
        <f t="shared" si="2"/>
        <v>0</v>
      </c>
      <c r="N27" s="3">
        <f t="shared" si="1"/>
        <v>2726000</v>
      </c>
    </row>
    <row r="28" spans="1:15" x14ac:dyDescent="0.15">
      <c r="A28" s="1">
        <v>1996</v>
      </c>
      <c r="B28" s="3">
        <v>1459617</v>
      </c>
      <c r="C28" s="3">
        <v>0</v>
      </c>
      <c r="D28" s="3">
        <v>0</v>
      </c>
      <c r="E28" s="3">
        <f>3114000-B28</f>
        <v>1654383</v>
      </c>
      <c r="F28" s="3">
        <v>0</v>
      </c>
      <c r="G28" s="3">
        <v>0</v>
      </c>
      <c r="H28" s="3">
        <v>0</v>
      </c>
      <c r="I28" s="3">
        <v>0</v>
      </c>
      <c r="J28" s="3">
        <v>0</v>
      </c>
      <c r="K28" s="3">
        <f t="shared" si="2"/>
        <v>3114000</v>
      </c>
      <c r="L28" s="3">
        <f t="shared" si="2"/>
        <v>0</v>
      </c>
      <c r="M28" s="3">
        <f t="shared" si="2"/>
        <v>0</v>
      </c>
      <c r="N28" s="3">
        <f t="shared" si="1"/>
        <v>3114000</v>
      </c>
    </row>
    <row r="29" spans="1:15" x14ac:dyDescent="0.15">
      <c r="A29" s="1">
        <v>1997</v>
      </c>
      <c r="B29" s="3">
        <v>1272309</v>
      </c>
      <c r="C29" s="3">
        <v>0</v>
      </c>
      <c r="D29" s="3">
        <v>0</v>
      </c>
      <c r="E29" s="3">
        <f>1043528+895000</f>
        <v>1938528</v>
      </c>
      <c r="F29" s="3">
        <v>0</v>
      </c>
      <c r="G29" s="3">
        <v>0</v>
      </c>
      <c r="H29" s="3">
        <v>0</v>
      </c>
      <c r="I29" s="3">
        <v>0</v>
      </c>
      <c r="J29" s="3">
        <v>0</v>
      </c>
      <c r="K29" s="3">
        <f t="shared" si="2"/>
        <v>3210837</v>
      </c>
      <c r="L29" s="3">
        <f t="shared" si="2"/>
        <v>0</v>
      </c>
      <c r="M29" s="3">
        <f t="shared" si="2"/>
        <v>0</v>
      </c>
      <c r="N29" s="3">
        <f t="shared" si="1"/>
        <v>3210837</v>
      </c>
    </row>
    <row r="30" spans="1:15" x14ac:dyDescent="0.15">
      <c r="A30" s="1">
        <v>1998</v>
      </c>
      <c r="B30" s="3">
        <f>813786+665825</f>
        <v>1479611</v>
      </c>
      <c r="C30" s="3">
        <v>0</v>
      </c>
      <c r="D30" s="3">
        <v>0</v>
      </c>
      <c r="E30" s="3">
        <f>4094000-B30</f>
        <v>2614389</v>
      </c>
      <c r="F30" s="3">
        <v>0</v>
      </c>
      <c r="G30" s="3">
        <v>0</v>
      </c>
      <c r="H30" s="3">
        <v>0</v>
      </c>
      <c r="I30" s="3">
        <v>0</v>
      </c>
      <c r="J30" s="3">
        <v>0</v>
      </c>
      <c r="K30" s="3">
        <f t="shared" si="2"/>
        <v>4094000</v>
      </c>
      <c r="L30" s="3">
        <f t="shared" si="2"/>
        <v>0</v>
      </c>
      <c r="M30" s="3">
        <f t="shared" si="2"/>
        <v>0</v>
      </c>
      <c r="N30" s="3">
        <f t="shared" si="1"/>
        <v>4094000</v>
      </c>
    </row>
    <row r="31" spans="1:15" x14ac:dyDescent="0.15">
      <c r="A31" s="1">
        <v>1999</v>
      </c>
      <c r="B31" s="3">
        <v>1529158</v>
      </c>
      <c r="C31" s="3">
        <v>0</v>
      </c>
      <c r="D31" s="3">
        <v>0</v>
      </c>
      <c r="E31" s="3">
        <f>2000000+1163038</f>
        <v>3163038</v>
      </c>
      <c r="F31" s="3">
        <v>0</v>
      </c>
      <c r="G31" s="3">
        <v>0</v>
      </c>
      <c r="H31" s="3">
        <v>0</v>
      </c>
      <c r="I31" s="3">
        <v>0</v>
      </c>
      <c r="J31" s="3">
        <v>0</v>
      </c>
      <c r="K31" s="3">
        <f t="shared" si="2"/>
        <v>4692196</v>
      </c>
      <c r="L31" s="3">
        <f t="shared" si="2"/>
        <v>0</v>
      </c>
      <c r="M31" s="3">
        <f t="shared" si="2"/>
        <v>0</v>
      </c>
      <c r="N31" s="3">
        <f t="shared" si="1"/>
        <v>4692196</v>
      </c>
    </row>
    <row r="32" spans="1:15" x14ac:dyDescent="0.15">
      <c r="A32" s="1">
        <v>2000</v>
      </c>
      <c r="B32" s="3">
        <v>1744113</v>
      </c>
      <c r="C32" s="3">
        <v>0</v>
      </c>
      <c r="D32" s="3">
        <v>0</v>
      </c>
      <c r="E32" s="3">
        <f>2340000+1560993</f>
        <v>3900993</v>
      </c>
      <c r="F32" s="3">
        <v>0</v>
      </c>
      <c r="G32" s="3">
        <v>0</v>
      </c>
      <c r="H32" s="3">
        <v>0</v>
      </c>
      <c r="I32" s="3">
        <v>0</v>
      </c>
      <c r="J32" s="3">
        <v>0</v>
      </c>
      <c r="K32" s="3">
        <f t="shared" si="2"/>
        <v>5645106</v>
      </c>
      <c r="L32" s="3">
        <f t="shared" si="2"/>
        <v>0</v>
      </c>
      <c r="M32" s="3">
        <f t="shared" si="2"/>
        <v>0</v>
      </c>
      <c r="N32" s="3">
        <f t="shared" si="1"/>
        <v>5645106</v>
      </c>
    </row>
    <row r="33" spans="1:15" x14ac:dyDescent="0.15">
      <c r="A33" s="1">
        <v>2001</v>
      </c>
      <c r="B33" s="3">
        <f>922123+998967</f>
        <v>1921090</v>
      </c>
      <c r="C33" s="3">
        <v>0</v>
      </c>
      <c r="D33" s="3">
        <v>0</v>
      </c>
      <c r="E33" s="3">
        <f>1150191+469797+2434050</f>
        <v>4054038</v>
      </c>
      <c r="F33" s="3">
        <v>0</v>
      </c>
      <c r="G33" s="3">
        <v>0</v>
      </c>
      <c r="H33" s="3">
        <v>0</v>
      </c>
      <c r="I33" s="3">
        <v>0</v>
      </c>
      <c r="J33" s="3">
        <v>0</v>
      </c>
      <c r="K33" s="3">
        <f t="shared" si="2"/>
        <v>5975128</v>
      </c>
      <c r="L33" s="3">
        <f t="shared" si="2"/>
        <v>0</v>
      </c>
      <c r="M33" s="3">
        <f t="shared" si="2"/>
        <v>0</v>
      </c>
      <c r="N33" s="3">
        <f t="shared" si="1"/>
        <v>5975128</v>
      </c>
    </row>
    <row r="34" spans="1:15" x14ac:dyDescent="0.15">
      <c r="A34" s="1">
        <v>2002</v>
      </c>
      <c r="B34" s="3">
        <v>2476003</v>
      </c>
      <c r="C34" s="3">
        <v>0</v>
      </c>
      <c r="D34" s="3">
        <v>0</v>
      </c>
      <c r="E34" s="3">
        <f>2859050+2044555</f>
        <v>4903605</v>
      </c>
      <c r="F34" s="3">
        <v>0</v>
      </c>
      <c r="G34" s="3">
        <v>0</v>
      </c>
      <c r="H34" s="3">
        <v>0</v>
      </c>
      <c r="I34" s="3">
        <v>0</v>
      </c>
      <c r="J34" s="3">
        <v>0</v>
      </c>
      <c r="K34" s="3">
        <f t="shared" si="2"/>
        <v>7379608</v>
      </c>
      <c r="L34" s="3">
        <f t="shared" si="2"/>
        <v>0</v>
      </c>
      <c r="M34" s="3">
        <f t="shared" si="2"/>
        <v>0</v>
      </c>
      <c r="N34" s="3">
        <f t="shared" si="1"/>
        <v>7379608</v>
      </c>
    </row>
    <row r="35" spans="1:15" x14ac:dyDescent="0.15">
      <c r="A35" s="1">
        <v>2003</v>
      </c>
      <c r="B35" s="3">
        <v>2457825</v>
      </c>
      <c r="C35" s="3">
        <v>0</v>
      </c>
      <c r="D35" s="3">
        <v>0</v>
      </c>
      <c r="E35" s="3">
        <v>0</v>
      </c>
      <c r="F35" s="3">
        <v>0</v>
      </c>
      <c r="G35" s="3">
        <v>4003797</v>
      </c>
      <c r="H35" s="3">
        <v>0</v>
      </c>
      <c r="I35" s="3">
        <v>0</v>
      </c>
      <c r="J35" s="3">
        <v>0</v>
      </c>
      <c r="K35" s="3">
        <f t="shared" si="2"/>
        <v>2457825</v>
      </c>
      <c r="L35" s="3">
        <f t="shared" si="2"/>
        <v>0</v>
      </c>
      <c r="M35" s="3">
        <f t="shared" si="2"/>
        <v>4003797</v>
      </c>
      <c r="N35" s="3">
        <f t="shared" si="1"/>
        <v>6461622</v>
      </c>
      <c r="O35" s="1" t="s">
        <v>249</v>
      </c>
    </row>
    <row r="36" spans="1:15" x14ac:dyDescent="0.15">
      <c r="A36" s="1">
        <v>2004</v>
      </c>
      <c r="B36" s="3">
        <v>8741578</v>
      </c>
      <c r="C36" s="3">
        <v>0</v>
      </c>
      <c r="D36" s="3">
        <v>0</v>
      </c>
      <c r="E36" s="3">
        <v>0</v>
      </c>
      <c r="F36" s="3">
        <v>0</v>
      </c>
      <c r="G36" s="3">
        <v>0</v>
      </c>
      <c r="H36" s="3">
        <v>0</v>
      </c>
      <c r="I36" s="3">
        <v>0</v>
      </c>
      <c r="J36" s="3">
        <v>0</v>
      </c>
      <c r="K36" s="3">
        <v>8741578</v>
      </c>
      <c r="L36" s="3">
        <v>0</v>
      </c>
      <c r="M36" s="3">
        <v>0</v>
      </c>
      <c r="N36" s="3">
        <v>8741578</v>
      </c>
      <c r="O36" s="1" t="s">
        <v>284</v>
      </c>
    </row>
    <row r="37" spans="1:15" x14ac:dyDescent="0.15">
      <c r="A37" s="1">
        <v>2005</v>
      </c>
      <c r="B37" s="3">
        <v>8336694</v>
      </c>
      <c r="C37" s="3">
        <v>0</v>
      </c>
      <c r="D37" s="3">
        <v>0</v>
      </c>
      <c r="E37" s="3">
        <v>0</v>
      </c>
      <c r="F37" s="3">
        <v>0</v>
      </c>
      <c r="G37" s="3">
        <v>0</v>
      </c>
      <c r="H37" s="3">
        <v>0</v>
      </c>
      <c r="I37" s="3">
        <v>0</v>
      </c>
      <c r="J37" s="3">
        <v>0</v>
      </c>
      <c r="K37" s="3">
        <v>8336694</v>
      </c>
      <c r="L37" s="3">
        <v>0</v>
      </c>
      <c r="M37" s="3">
        <v>0</v>
      </c>
      <c r="N37" s="3">
        <v>8336694</v>
      </c>
    </row>
    <row r="38" spans="1:15" x14ac:dyDescent="0.15">
      <c r="A38" s="1">
        <v>2006</v>
      </c>
      <c r="B38" s="3">
        <v>9917595</v>
      </c>
      <c r="C38" s="3">
        <v>0</v>
      </c>
      <c r="D38" s="3">
        <v>0</v>
      </c>
      <c r="E38" s="3">
        <v>0</v>
      </c>
      <c r="F38" s="3">
        <v>0</v>
      </c>
      <c r="G38" s="3">
        <v>0</v>
      </c>
      <c r="H38" s="3">
        <v>0</v>
      </c>
      <c r="I38" s="3">
        <v>0</v>
      </c>
      <c r="J38" s="3">
        <v>0</v>
      </c>
      <c r="K38" s="3">
        <v>9917595</v>
      </c>
      <c r="L38" s="3">
        <v>0</v>
      </c>
      <c r="M38" s="3">
        <v>0</v>
      </c>
      <c r="N38" s="3">
        <v>9917595</v>
      </c>
    </row>
    <row r="39" spans="1:15" x14ac:dyDescent="0.15">
      <c r="A39" s="1">
        <v>2007</v>
      </c>
      <c r="B39" s="3">
        <v>10388223</v>
      </c>
      <c r="C39" s="3">
        <v>0</v>
      </c>
      <c r="D39" s="3">
        <v>0</v>
      </c>
      <c r="E39" s="3">
        <v>0</v>
      </c>
      <c r="F39" s="3">
        <v>0</v>
      </c>
      <c r="G39" s="3">
        <v>0</v>
      </c>
      <c r="H39" s="3">
        <v>0</v>
      </c>
      <c r="I39" s="3">
        <v>0</v>
      </c>
      <c r="J39" s="3">
        <v>0</v>
      </c>
      <c r="K39" s="3">
        <v>10388223</v>
      </c>
      <c r="L39" s="3">
        <v>0</v>
      </c>
      <c r="M39" s="3">
        <v>0</v>
      </c>
      <c r="N39" s="3">
        <v>10388223</v>
      </c>
    </row>
    <row r="40" spans="1:15" x14ac:dyDescent="0.15">
      <c r="A40" s="1">
        <v>2008</v>
      </c>
      <c r="B40" s="3">
        <v>12421824</v>
      </c>
      <c r="C40" s="3">
        <v>0</v>
      </c>
      <c r="D40" s="3">
        <v>0</v>
      </c>
      <c r="E40" s="3">
        <v>114856</v>
      </c>
      <c r="F40" s="3">
        <v>0</v>
      </c>
      <c r="G40" s="3">
        <v>0</v>
      </c>
      <c r="H40" s="3">
        <v>0</v>
      </c>
      <c r="I40" s="3">
        <v>0</v>
      </c>
      <c r="J40" s="3">
        <v>0</v>
      </c>
      <c r="K40" s="3">
        <v>12536680</v>
      </c>
      <c r="L40" s="3">
        <v>0</v>
      </c>
      <c r="M40" s="3">
        <v>0</v>
      </c>
      <c r="N40" s="3">
        <v>12536680</v>
      </c>
      <c r="O40" s="1" t="s">
        <v>285</v>
      </c>
    </row>
    <row r="41" spans="1:15" x14ac:dyDescent="0.15">
      <c r="A41" s="1">
        <v>2009</v>
      </c>
      <c r="B41" s="3">
        <v>12611384</v>
      </c>
      <c r="C41" s="3">
        <v>0</v>
      </c>
      <c r="D41" s="3">
        <v>0</v>
      </c>
      <c r="E41" s="3">
        <v>216754</v>
      </c>
      <c r="F41" s="3">
        <v>0</v>
      </c>
      <c r="G41" s="3">
        <v>0</v>
      </c>
      <c r="H41" s="3">
        <v>0</v>
      </c>
      <c r="I41" s="3">
        <v>0</v>
      </c>
      <c r="J41" s="3">
        <v>0</v>
      </c>
      <c r="K41" s="3">
        <v>12828138</v>
      </c>
      <c r="L41" s="3">
        <v>0</v>
      </c>
      <c r="M41" s="3">
        <v>0</v>
      </c>
      <c r="N41" s="3">
        <v>12828138</v>
      </c>
    </row>
    <row r="42" spans="1:15" x14ac:dyDescent="0.15">
      <c r="A42" s="1">
        <v>2010</v>
      </c>
      <c r="B42" s="3">
        <v>14093053</v>
      </c>
      <c r="C42" s="3">
        <v>0</v>
      </c>
      <c r="D42" s="3">
        <v>0</v>
      </c>
      <c r="E42" s="3">
        <v>338149</v>
      </c>
      <c r="F42" s="3">
        <v>0</v>
      </c>
      <c r="G42" s="3">
        <v>0</v>
      </c>
      <c r="H42" s="3">
        <v>0</v>
      </c>
      <c r="I42" s="3">
        <v>0</v>
      </c>
      <c r="J42" s="3">
        <v>0</v>
      </c>
      <c r="K42" s="3">
        <v>14431202</v>
      </c>
      <c r="L42" s="3">
        <v>0</v>
      </c>
      <c r="M42" s="3">
        <v>0</v>
      </c>
      <c r="N42" s="3">
        <v>14431202</v>
      </c>
    </row>
    <row r="43" spans="1:15" x14ac:dyDescent="0.15">
      <c r="A43" s="1">
        <v>2011</v>
      </c>
      <c r="B43" s="3">
        <v>14947663</v>
      </c>
      <c r="C43" s="3">
        <v>0</v>
      </c>
      <c r="D43" s="3">
        <v>0</v>
      </c>
      <c r="E43" s="3">
        <v>723669</v>
      </c>
      <c r="F43" s="3">
        <v>0</v>
      </c>
      <c r="G43" s="3">
        <v>0</v>
      </c>
      <c r="H43" s="3">
        <v>0</v>
      </c>
      <c r="I43" s="3">
        <v>0</v>
      </c>
      <c r="J43" s="3">
        <v>0</v>
      </c>
      <c r="K43" s="3">
        <v>15671332</v>
      </c>
      <c r="L43" s="3">
        <v>0</v>
      </c>
      <c r="M43" s="3">
        <v>0</v>
      </c>
      <c r="N43" s="3">
        <v>15671332</v>
      </c>
    </row>
    <row r="44" spans="1:15" x14ac:dyDescent="0.15">
      <c r="A44" s="1">
        <v>2012</v>
      </c>
      <c r="B44" s="3">
        <v>14678211</v>
      </c>
      <c r="C44" s="3">
        <v>0</v>
      </c>
      <c r="D44" s="3">
        <v>0</v>
      </c>
      <c r="E44" s="3">
        <v>787225</v>
      </c>
      <c r="F44" s="3">
        <v>0</v>
      </c>
      <c r="G44" s="3">
        <v>0</v>
      </c>
      <c r="H44" s="3">
        <v>0</v>
      </c>
      <c r="I44" s="3">
        <v>0</v>
      </c>
      <c r="J44" s="3">
        <v>0</v>
      </c>
      <c r="K44" s="3">
        <v>15465436</v>
      </c>
      <c r="L44" s="3">
        <v>0</v>
      </c>
      <c r="M44" s="3">
        <v>0</v>
      </c>
      <c r="N44" s="3">
        <v>15465436</v>
      </c>
      <c r="O44" s="1" t="s">
        <v>287</v>
      </c>
    </row>
    <row r="45" spans="1:15" x14ac:dyDescent="0.15">
      <c r="A45" s="1">
        <v>2013</v>
      </c>
      <c r="B45" s="3">
        <v>15185498</v>
      </c>
      <c r="C45" s="3">
        <v>0</v>
      </c>
      <c r="D45" s="3">
        <v>0</v>
      </c>
      <c r="E45" s="3">
        <v>813760</v>
      </c>
      <c r="F45" s="3">
        <v>0</v>
      </c>
      <c r="G45" s="3">
        <v>0</v>
      </c>
      <c r="H45" s="3">
        <v>0</v>
      </c>
      <c r="I45" s="3">
        <v>0</v>
      </c>
      <c r="J45" s="3">
        <v>0</v>
      </c>
      <c r="K45" s="3">
        <v>15999258</v>
      </c>
      <c r="L45" s="3">
        <v>0</v>
      </c>
      <c r="M45" s="3">
        <v>0</v>
      </c>
      <c r="N45" s="3">
        <v>15999258</v>
      </c>
    </row>
    <row r="46" spans="1:15" x14ac:dyDescent="0.15">
      <c r="A46" s="1">
        <v>2014</v>
      </c>
      <c r="B46" s="3">
        <v>16419718</v>
      </c>
      <c r="C46" s="3">
        <v>0</v>
      </c>
      <c r="D46" s="3">
        <v>0</v>
      </c>
      <c r="E46" s="3">
        <v>921071</v>
      </c>
      <c r="F46" s="3">
        <v>0</v>
      </c>
      <c r="G46" s="3">
        <v>0</v>
      </c>
      <c r="H46" s="3">
        <v>0</v>
      </c>
      <c r="I46" s="3">
        <v>0</v>
      </c>
      <c r="J46" s="3">
        <v>0</v>
      </c>
      <c r="K46" s="3">
        <v>17340789</v>
      </c>
      <c r="L46" s="3">
        <v>0</v>
      </c>
      <c r="M46" s="3">
        <v>0</v>
      </c>
      <c r="N46" s="3">
        <v>17340789</v>
      </c>
    </row>
    <row r="47" spans="1:15" x14ac:dyDescent="0.15">
      <c r="A47" s="1">
        <v>2015</v>
      </c>
      <c r="B47" s="3">
        <v>16455272</v>
      </c>
      <c r="C47" s="3">
        <v>0</v>
      </c>
      <c r="D47" s="3">
        <v>0</v>
      </c>
      <c r="E47" s="3">
        <v>953596</v>
      </c>
      <c r="F47" s="3">
        <v>0</v>
      </c>
      <c r="G47" s="3">
        <v>0</v>
      </c>
      <c r="H47" s="3">
        <v>0</v>
      </c>
      <c r="I47" s="3">
        <v>0</v>
      </c>
      <c r="J47" s="3">
        <v>0</v>
      </c>
      <c r="K47" s="3">
        <v>17408868</v>
      </c>
      <c r="L47" s="3">
        <v>0</v>
      </c>
      <c r="M47" s="3">
        <v>0</v>
      </c>
      <c r="N47" s="3">
        <v>17408868</v>
      </c>
    </row>
    <row r="48" spans="1:15" x14ac:dyDescent="0.15">
      <c r="A48" s="1">
        <v>2016</v>
      </c>
      <c r="B48" s="3">
        <v>16833918</v>
      </c>
      <c r="C48" s="3">
        <v>0</v>
      </c>
      <c r="D48" s="3">
        <v>0</v>
      </c>
      <c r="E48" s="3">
        <v>814910</v>
      </c>
      <c r="F48" s="3">
        <v>0</v>
      </c>
      <c r="G48" s="3">
        <v>0</v>
      </c>
      <c r="H48" s="3">
        <v>1766280</v>
      </c>
      <c r="I48" s="3">
        <v>477400</v>
      </c>
      <c r="J48" s="3">
        <v>0</v>
      </c>
      <c r="K48" s="3">
        <v>19415108</v>
      </c>
      <c r="L48" s="3">
        <v>477400</v>
      </c>
      <c r="M48" s="3">
        <v>0</v>
      </c>
      <c r="N48" s="3">
        <v>19892508</v>
      </c>
      <c r="O48" s="1" t="s">
        <v>286</v>
      </c>
    </row>
  </sheetData>
  <phoneticPr fontId="0"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5" defaultRowHeight="11.25" x14ac:dyDescent="0.15"/>
  <cols>
    <col min="1" max="16384" width="10.5" style="1"/>
  </cols>
  <sheetData>
    <row r="1" spans="1:15" x14ac:dyDescent="0.15">
      <c r="A1" s="1" t="s">
        <v>49</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0</v>
      </c>
      <c r="C9" s="3">
        <v>0</v>
      </c>
      <c r="D9" s="3">
        <v>0</v>
      </c>
      <c r="E9" s="3">
        <v>0</v>
      </c>
      <c r="F9" s="3">
        <v>0</v>
      </c>
      <c r="G9" s="3">
        <v>0</v>
      </c>
      <c r="H9" s="3">
        <v>0</v>
      </c>
      <c r="I9" s="3">
        <v>0</v>
      </c>
      <c r="J9" s="3">
        <v>0</v>
      </c>
      <c r="K9" s="3">
        <f t="shared" si="0"/>
        <v>0</v>
      </c>
      <c r="L9" s="3">
        <f t="shared" si="0"/>
        <v>0</v>
      </c>
      <c r="M9" s="3">
        <f t="shared" si="0"/>
        <v>0</v>
      </c>
      <c r="N9" s="3">
        <f t="shared" si="1"/>
        <v>0</v>
      </c>
    </row>
    <row r="10" spans="1:15" x14ac:dyDescent="0.15">
      <c r="A10" s="1">
        <v>1978</v>
      </c>
      <c r="B10" s="3">
        <v>173000</v>
      </c>
      <c r="C10" s="3">
        <v>0</v>
      </c>
      <c r="D10" s="3">
        <v>0</v>
      </c>
      <c r="E10" s="3">
        <v>0</v>
      </c>
      <c r="F10" s="3">
        <v>0</v>
      </c>
      <c r="G10" s="3">
        <v>0</v>
      </c>
      <c r="H10" s="3">
        <v>0</v>
      </c>
      <c r="I10" s="3">
        <v>0</v>
      </c>
      <c r="J10" s="3">
        <v>0</v>
      </c>
      <c r="K10" s="3">
        <f t="shared" si="0"/>
        <v>173000</v>
      </c>
      <c r="L10" s="3">
        <f t="shared" si="0"/>
        <v>0</v>
      </c>
      <c r="M10" s="3">
        <f t="shared" si="0"/>
        <v>0</v>
      </c>
      <c r="N10" s="3">
        <f t="shared" si="1"/>
        <v>173000</v>
      </c>
      <c r="O10" s="1" t="s">
        <v>106</v>
      </c>
    </row>
    <row r="11" spans="1:15" x14ac:dyDescent="0.15">
      <c r="A11" s="1">
        <v>1979</v>
      </c>
      <c r="B11" s="3">
        <v>172000</v>
      </c>
      <c r="C11" s="3">
        <v>0</v>
      </c>
      <c r="D11" s="3">
        <v>0</v>
      </c>
      <c r="E11" s="3">
        <v>0</v>
      </c>
      <c r="F11" s="3">
        <v>0</v>
      </c>
      <c r="G11" s="3">
        <v>0</v>
      </c>
      <c r="H11" s="3">
        <v>0</v>
      </c>
      <c r="I11" s="3">
        <v>0</v>
      </c>
      <c r="J11" s="3">
        <v>0</v>
      </c>
      <c r="K11" s="3">
        <f t="shared" si="0"/>
        <v>172000</v>
      </c>
      <c r="L11" s="3">
        <f t="shared" si="0"/>
        <v>0</v>
      </c>
      <c r="M11" s="3">
        <f t="shared" si="0"/>
        <v>0</v>
      </c>
      <c r="N11" s="3">
        <f t="shared" si="1"/>
        <v>172000</v>
      </c>
    </row>
    <row r="12" spans="1:15" x14ac:dyDescent="0.15">
      <c r="A12" s="1">
        <v>1980</v>
      </c>
      <c r="B12" s="3">
        <v>291000</v>
      </c>
      <c r="C12" s="3">
        <v>0</v>
      </c>
      <c r="D12" s="3">
        <v>0</v>
      </c>
      <c r="E12" s="3">
        <v>0</v>
      </c>
      <c r="F12" s="3">
        <v>0</v>
      </c>
      <c r="G12" s="3">
        <v>0</v>
      </c>
      <c r="H12" s="3">
        <v>0</v>
      </c>
      <c r="I12" s="3">
        <v>0</v>
      </c>
      <c r="J12" s="3">
        <v>0</v>
      </c>
      <c r="K12" s="3">
        <f t="shared" si="0"/>
        <v>291000</v>
      </c>
      <c r="L12" s="3">
        <f t="shared" si="0"/>
        <v>0</v>
      </c>
      <c r="M12" s="3">
        <f t="shared" si="0"/>
        <v>0</v>
      </c>
      <c r="N12" s="3">
        <f t="shared" si="1"/>
        <v>291000</v>
      </c>
    </row>
    <row r="13" spans="1:15" x14ac:dyDescent="0.15">
      <c r="A13" s="1">
        <v>1981</v>
      </c>
      <c r="B13" s="3">
        <v>287000</v>
      </c>
      <c r="C13" s="3">
        <v>0</v>
      </c>
      <c r="D13" s="3">
        <v>0</v>
      </c>
      <c r="E13" s="3">
        <v>0</v>
      </c>
      <c r="F13" s="3">
        <v>0</v>
      </c>
      <c r="G13" s="3">
        <v>0</v>
      </c>
      <c r="H13" s="3">
        <v>0</v>
      </c>
      <c r="I13" s="3">
        <v>0</v>
      </c>
      <c r="J13" s="3">
        <v>0</v>
      </c>
      <c r="K13" s="3">
        <f t="shared" si="0"/>
        <v>287000</v>
      </c>
      <c r="L13" s="3">
        <f t="shared" si="0"/>
        <v>0</v>
      </c>
      <c r="M13" s="3">
        <f t="shared" si="0"/>
        <v>0</v>
      </c>
      <c r="N13" s="3">
        <f t="shared" si="1"/>
        <v>287000</v>
      </c>
    </row>
    <row r="14" spans="1:15" x14ac:dyDescent="0.15">
      <c r="A14" s="1">
        <v>1982</v>
      </c>
      <c r="B14" s="3">
        <v>150000</v>
      </c>
      <c r="C14" s="3">
        <v>0</v>
      </c>
      <c r="D14" s="3">
        <v>0</v>
      </c>
      <c r="E14" s="3">
        <v>0</v>
      </c>
      <c r="F14" s="3">
        <v>0</v>
      </c>
      <c r="G14" s="3">
        <v>0</v>
      </c>
      <c r="H14" s="3">
        <v>0</v>
      </c>
      <c r="I14" s="3">
        <v>0</v>
      </c>
      <c r="J14" s="3">
        <v>0</v>
      </c>
      <c r="K14" s="3">
        <f t="shared" si="0"/>
        <v>150000</v>
      </c>
      <c r="L14" s="3">
        <f t="shared" si="0"/>
        <v>0</v>
      </c>
      <c r="M14" s="3">
        <f t="shared" si="0"/>
        <v>0</v>
      </c>
      <c r="N14" s="3">
        <f t="shared" si="1"/>
        <v>150000</v>
      </c>
      <c r="O14" s="1" t="s">
        <v>145</v>
      </c>
    </row>
    <row r="15" spans="1:15" x14ac:dyDescent="0.15">
      <c r="A15" s="1">
        <v>1983</v>
      </c>
      <c r="B15" s="3">
        <v>150000</v>
      </c>
      <c r="C15" s="3">
        <v>0</v>
      </c>
      <c r="D15" s="3">
        <v>0</v>
      </c>
      <c r="E15" s="3">
        <v>0</v>
      </c>
      <c r="F15" s="3">
        <v>0</v>
      </c>
      <c r="G15" s="3">
        <v>0</v>
      </c>
      <c r="H15" s="3">
        <v>0</v>
      </c>
      <c r="I15" s="3">
        <v>0</v>
      </c>
      <c r="J15" s="3">
        <v>0</v>
      </c>
      <c r="K15" s="3">
        <f t="shared" si="0"/>
        <v>150000</v>
      </c>
      <c r="L15" s="3">
        <f t="shared" si="0"/>
        <v>0</v>
      </c>
      <c r="M15" s="3">
        <f t="shared" si="0"/>
        <v>0</v>
      </c>
      <c r="N15" s="3">
        <f t="shared" si="1"/>
        <v>150000</v>
      </c>
      <c r="O15" s="1" t="s">
        <v>146</v>
      </c>
    </row>
    <row r="16" spans="1:15" x14ac:dyDescent="0.15">
      <c r="A16" s="1">
        <v>1984</v>
      </c>
      <c r="B16" s="3">
        <v>327000</v>
      </c>
      <c r="C16" s="3">
        <v>0</v>
      </c>
      <c r="D16" s="3">
        <v>0</v>
      </c>
      <c r="E16" s="3">
        <v>0</v>
      </c>
      <c r="F16" s="3">
        <v>0</v>
      </c>
      <c r="G16" s="3">
        <v>0</v>
      </c>
      <c r="H16" s="3">
        <v>0</v>
      </c>
      <c r="I16" s="3">
        <v>0</v>
      </c>
      <c r="J16" s="3">
        <v>0</v>
      </c>
      <c r="K16" s="3">
        <f t="shared" si="0"/>
        <v>327000</v>
      </c>
      <c r="L16" s="3">
        <f t="shared" si="0"/>
        <v>0</v>
      </c>
      <c r="M16" s="3">
        <f t="shared" si="0"/>
        <v>0</v>
      </c>
      <c r="N16" s="3">
        <f t="shared" si="1"/>
        <v>327000</v>
      </c>
    </row>
    <row r="17" spans="1:15" x14ac:dyDescent="0.15">
      <c r="A17" s="1">
        <v>1985</v>
      </c>
      <c r="B17" s="3">
        <v>0</v>
      </c>
      <c r="C17" s="3">
        <v>0</v>
      </c>
      <c r="D17" s="3">
        <v>414000</v>
      </c>
      <c r="E17" s="3">
        <v>0</v>
      </c>
      <c r="F17" s="3">
        <v>0</v>
      </c>
      <c r="G17" s="3">
        <v>0</v>
      </c>
      <c r="H17" s="3">
        <v>0</v>
      </c>
      <c r="I17" s="3">
        <v>0</v>
      </c>
      <c r="J17" s="3">
        <v>0</v>
      </c>
      <c r="K17" s="3">
        <f t="shared" si="0"/>
        <v>0</v>
      </c>
      <c r="L17" s="3">
        <f t="shared" si="0"/>
        <v>0</v>
      </c>
      <c r="M17" s="3">
        <f t="shared" si="0"/>
        <v>414000</v>
      </c>
      <c r="N17" s="3">
        <f t="shared" si="1"/>
        <v>414000</v>
      </c>
    </row>
    <row r="18" spans="1:15" x14ac:dyDescent="0.15">
      <c r="A18" s="1">
        <v>1986</v>
      </c>
      <c r="B18" s="3">
        <v>0</v>
      </c>
      <c r="C18" s="3">
        <v>0</v>
      </c>
      <c r="D18" s="3">
        <v>414000</v>
      </c>
      <c r="E18" s="3">
        <v>0</v>
      </c>
      <c r="F18" s="3">
        <v>0</v>
      </c>
      <c r="G18" s="3">
        <v>0</v>
      </c>
      <c r="H18" s="3">
        <v>0</v>
      </c>
      <c r="I18" s="3">
        <v>0</v>
      </c>
      <c r="J18" s="3">
        <v>0</v>
      </c>
      <c r="K18" s="3">
        <f t="shared" si="0"/>
        <v>0</v>
      </c>
      <c r="L18" s="3">
        <f t="shared" si="0"/>
        <v>0</v>
      </c>
      <c r="M18" s="3">
        <f t="shared" si="0"/>
        <v>414000</v>
      </c>
      <c r="N18" s="3">
        <f t="shared" si="1"/>
        <v>414000</v>
      </c>
      <c r="O18" s="1" t="s">
        <v>146</v>
      </c>
    </row>
    <row r="19" spans="1:15" x14ac:dyDescent="0.15">
      <c r="A19" s="1">
        <v>1987</v>
      </c>
      <c r="B19" s="3">
        <v>0</v>
      </c>
      <c r="C19" s="3">
        <v>0</v>
      </c>
      <c r="D19" s="3">
        <v>414000</v>
      </c>
      <c r="E19" s="3">
        <v>0</v>
      </c>
      <c r="F19" s="3">
        <v>0</v>
      </c>
      <c r="G19" s="3">
        <v>0</v>
      </c>
      <c r="H19" s="3">
        <v>0</v>
      </c>
      <c r="I19" s="3">
        <v>0</v>
      </c>
      <c r="J19" s="3">
        <v>0</v>
      </c>
      <c r="K19" s="3">
        <f t="shared" si="0"/>
        <v>0</v>
      </c>
      <c r="L19" s="3">
        <f t="shared" si="0"/>
        <v>0</v>
      </c>
      <c r="M19" s="3">
        <f t="shared" si="0"/>
        <v>414000</v>
      </c>
      <c r="N19" s="3">
        <f t="shared" si="1"/>
        <v>414000</v>
      </c>
      <c r="O19" s="1" t="s">
        <v>146</v>
      </c>
    </row>
    <row r="20" spans="1:15" x14ac:dyDescent="0.15">
      <c r="A20" s="1">
        <v>1988</v>
      </c>
      <c r="B20" s="3">
        <v>352000</v>
      </c>
      <c r="C20" s="3">
        <v>48000</v>
      </c>
      <c r="D20" s="3">
        <v>0</v>
      </c>
      <c r="E20" s="3">
        <v>0</v>
      </c>
      <c r="F20" s="3">
        <v>0</v>
      </c>
      <c r="G20" s="3">
        <v>0</v>
      </c>
      <c r="H20" s="3">
        <v>0</v>
      </c>
      <c r="I20" s="3">
        <v>0</v>
      </c>
      <c r="J20" s="3">
        <v>0</v>
      </c>
      <c r="K20" s="3">
        <f t="shared" si="0"/>
        <v>352000</v>
      </c>
      <c r="L20" s="3">
        <f t="shared" si="0"/>
        <v>48000</v>
      </c>
      <c r="M20" s="3">
        <f t="shared" si="0"/>
        <v>0</v>
      </c>
      <c r="N20" s="3">
        <f t="shared" si="1"/>
        <v>400000</v>
      </c>
    </row>
    <row r="21" spans="1:15" x14ac:dyDescent="0.15">
      <c r="A21" s="1">
        <v>1989</v>
      </c>
      <c r="B21" s="3">
        <v>352000</v>
      </c>
      <c r="C21" s="3">
        <v>48000</v>
      </c>
      <c r="D21" s="3">
        <v>0</v>
      </c>
      <c r="E21" s="3">
        <v>0</v>
      </c>
      <c r="F21" s="3">
        <v>0</v>
      </c>
      <c r="G21" s="3">
        <v>0</v>
      </c>
      <c r="H21" s="3">
        <v>0</v>
      </c>
      <c r="I21" s="3">
        <v>0</v>
      </c>
      <c r="J21" s="3">
        <v>0</v>
      </c>
      <c r="K21" s="3">
        <f t="shared" si="0"/>
        <v>352000</v>
      </c>
      <c r="L21" s="3">
        <f t="shared" si="0"/>
        <v>48000</v>
      </c>
      <c r="M21" s="3">
        <f t="shared" si="0"/>
        <v>0</v>
      </c>
      <c r="N21" s="3">
        <f t="shared" si="1"/>
        <v>400000</v>
      </c>
      <c r="O21" s="1" t="s">
        <v>146</v>
      </c>
    </row>
    <row r="22" spans="1:15" x14ac:dyDescent="0.15">
      <c r="A22" s="1">
        <v>1990</v>
      </c>
      <c r="B22" s="3">
        <v>352000</v>
      </c>
      <c r="C22" s="3">
        <v>48000</v>
      </c>
      <c r="D22" s="3">
        <v>0</v>
      </c>
      <c r="E22" s="3">
        <v>0</v>
      </c>
      <c r="F22" s="3">
        <v>0</v>
      </c>
      <c r="G22" s="3">
        <v>0</v>
      </c>
      <c r="H22" s="3">
        <v>0</v>
      </c>
      <c r="I22" s="3">
        <v>0</v>
      </c>
      <c r="J22" s="3">
        <v>0</v>
      </c>
      <c r="K22" s="3">
        <f t="shared" ref="K22:M35" si="2">+B22+E22+H22</f>
        <v>352000</v>
      </c>
      <c r="L22" s="3">
        <f t="shared" si="2"/>
        <v>48000</v>
      </c>
      <c r="M22" s="3">
        <f t="shared" si="2"/>
        <v>0</v>
      </c>
      <c r="N22" s="3">
        <f t="shared" si="1"/>
        <v>400000</v>
      </c>
      <c r="O22" s="1" t="s">
        <v>146</v>
      </c>
    </row>
    <row r="23" spans="1:15" x14ac:dyDescent="0.15">
      <c r="A23" s="1">
        <v>1991</v>
      </c>
      <c r="B23" s="3">
        <v>352000</v>
      </c>
      <c r="C23" s="3">
        <v>48000</v>
      </c>
      <c r="D23" s="3">
        <v>0</v>
      </c>
      <c r="E23" s="3">
        <v>0</v>
      </c>
      <c r="F23" s="3">
        <v>0</v>
      </c>
      <c r="G23" s="3">
        <v>0</v>
      </c>
      <c r="H23" s="3">
        <v>0</v>
      </c>
      <c r="I23" s="3">
        <v>0</v>
      </c>
      <c r="J23" s="3">
        <v>0</v>
      </c>
      <c r="K23" s="3">
        <f t="shared" si="2"/>
        <v>352000</v>
      </c>
      <c r="L23" s="3">
        <f t="shared" si="2"/>
        <v>48000</v>
      </c>
      <c r="M23" s="3">
        <f t="shared" si="2"/>
        <v>0</v>
      </c>
      <c r="N23" s="3">
        <f t="shared" si="1"/>
        <v>400000</v>
      </c>
      <c r="O23" s="1" t="s">
        <v>146</v>
      </c>
    </row>
    <row r="24" spans="1:15" x14ac:dyDescent="0.15">
      <c r="A24" s="1">
        <v>1992</v>
      </c>
      <c r="B24" s="3">
        <v>332000</v>
      </c>
      <c r="C24" s="3">
        <v>45000</v>
      </c>
      <c r="D24" s="3">
        <v>0</v>
      </c>
      <c r="E24" s="3">
        <v>0</v>
      </c>
      <c r="F24" s="3">
        <v>0</v>
      </c>
      <c r="G24" s="3">
        <v>0</v>
      </c>
      <c r="H24" s="3">
        <v>0</v>
      </c>
      <c r="I24" s="3">
        <v>0</v>
      </c>
      <c r="J24" s="3">
        <v>0</v>
      </c>
      <c r="K24" s="3">
        <f t="shared" si="2"/>
        <v>332000</v>
      </c>
      <c r="L24" s="3">
        <f t="shared" si="2"/>
        <v>45000</v>
      </c>
      <c r="M24" s="3">
        <f t="shared" si="2"/>
        <v>0</v>
      </c>
      <c r="N24" s="3">
        <f t="shared" si="1"/>
        <v>377000</v>
      </c>
    </row>
    <row r="25" spans="1:15" x14ac:dyDescent="0.15">
      <c r="A25" s="1">
        <v>1993</v>
      </c>
      <c r="B25" s="3">
        <v>341000</v>
      </c>
      <c r="C25" s="3">
        <v>60000</v>
      </c>
      <c r="D25" s="3">
        <v>0</v>
      </c>
      <c r="E25" s="3">
        <v>0</v>
      </c>
      <c r="F25" s="3">
        <v>0</v>
      </c>
      <c r="G25" s="3">
        <v>0</v>
      </c>
      <c r="H25" s="3">
        <v>0</v>
      </c>
      <c r="I25" s="3">
        <v>0</v>
      </c>
      <c r="J25" s="3">
        <v>0</v>
      </c>
      <c r="K25" s="3">
        <f t="shared" si="2"/>
        <v>341000</v>
      </c>
      <c r="L25" s="3">
        <f t="shared" si="2"/>
        <v>60000</v>
      </c>
      <c r="M25" s="3">
        <f t="shared" si="2"/>
        <v>0</v>
      </c>
      <c r="N25" s="3">
        <f t="shared" si="1"/>
        <v>401000</v>
      </c>
    </row>
    <row r="26" spans="1:15" x14ac:dyDescent="0.15">
      <c r="A26" s="1">
        <v>1994</v>
      </c>
      <c r="B26" s="3">
        <v>342000</v>
      </c>
      <c r="C26" s="3">
        <v>60000</v>
      </c>
      <c r="D26" s="3">
        <v>0</v>
      </c>
      <c r="E26" s="3">
        <v>0</v>
      </c>
      <c r="F26" s="3">
        <v>0</v>
      </c>
      <c r="G26" s="3">
        <v>0</v>
      </c>
      <c r="H26" s="3">
        <v>0</v>
      </c>
      <c r="I26" s="3">
        <v>0</v>
      </c>
      <c r="J26" s="3">
        <v>0</v>
      </c>
      <c r="K26" s="3">
        <f t="shared" si="2"/>
        <v>342000</v>
      </c>
      <c r="L26" s="3">
        <f t="shared" si="2"/>
        <v>60000</v>
      </c>
      <c r="M26" s="3">
        <f t="shared" si="2"/>
        <v>0</v>
      </c>
      <c r="N26" s="3">
        <f t="shared" si="1"/>
        <v>402000</v>
      </c>
    </row>
    <row r="27" spans="1:15" x14ac:dyDescent="0.15">
      <c r="A27" s="1">
        <v>1995</v>
      </c>
      <c r="B27" s="3">
        <v>342000</v>
      </c>
      <c r="C27" s="3">
        <v>60000</v>
      </c>
      <c r="D27" s="3">
        <v>0</v>
      </c>
      <c r="E27" s="3">
        <v>0</v>
      </c>
      <c r="F27" s="3">
        <v>0</v>
      </c>
      <c r="G27" s="3">
        <v>0</v>
      </c>
      <c r="H27" s="3">
        <v>0</v>
      </c>
      <c r="I27" s="3">
        <v>0</v>
      </c>
      <c r="J27" s="3">
        <v>0</v>
      </c>
      <c r="K27" s="3">
        <f t="shared" si="2"/>
        <v>342000</v>
      </c>
      <c r="L27" s="3">
        <f t="shared" si="2"/>
        <v>60000</v>
      </c>
      <c r="M27" s="3">
        <f t="shared" si="2"/>
        <v>0</v>
      </c>
      <c r="N27" s="3">
        <f t="shared" si="1"/>
        <v>402000</v>
      </c>
      <c r="O27" s="1" t="s">
        <v>146</v>
      </c>
    </row>
    <row r="28" spans="1:15" x14ac:dyDescent="0.15">
      <c r="A28" s="1">
        <v>1996</v>
      </c>
      <c r="B28" s="3">
        <v>0</v>
      </c>
      <c r="C28" s="3">
        <v>0</v>
      </c>
      <c r="D28" s="3">
        <v>0</v>
      </c>
      <c r="E28" s="3">
        <v>2595000</v>
      </c>
      <c r="F28" s="3">
        <v>92000</v>
      </c>
      <c r="G28" s="3">
        <v>0</v>
      </c>
      <c r="H28" s="3">
        <v>468000</v>
      </c>
      <c r="I28" s="3">
        <v>33000</v>
      </c>
      <c r="J28" s="3">
        <v>0</v>
      </c>
      <c r="K28" s="3">
        <f t="shared" si="2"/>
        <v>3063000</v>
      </c>
      <c r="L28" s="3">
        <f t="shared" si="2"/>
        <v>125000</v>
      </c>
      <c r="M28" s="3">
        <f t="shared" si="2"/>
        <v>0</v>
      </c>
      <c r="N28" s="3">
        <f t="shared" si="1"/>
        <v>3188000</v>
      </c>
      <c r="O28" s="1" t="s">
        <v>210</v>
      </c>
    </row>
    <row r="29" spans="1:15" x14ac:dyDescent="0.15">
      <c r="A29" s="1">
        <v>1997</v>
      </c>
      <c r="B29" s="3">
        <v>0</v>
      </c>
      <c r="C29" s="3">
        <v>0</v>
      </c>
      <c r="D29" s="3">
        <v>0</v>
      </c>
      <c r="E29" s="3">
        <v>3180000</v>
      </c>
      <c r="F29" s="3">
        <v>1017000</v>
      </c>
      <c r="G29" s="3">
        <v>0</v>
      </c>
      <c r="H29" s="3">
        <v>527000</v>
      </c>
      <c r="I29" s="3">
        <v>176000</v>
      </c>
      <c r="J29" s="3">
        <v>0</v>
      </c>
      <c r="K29" s="3">
        <f t="shared" si="2"/>
        <v>3707000</v>
      </c>
      <c r="L29" s="3">
        <f t="shared" si="2"/>
        <v>1193000</v>
      </c>
      <c r="M29" s="3">
        <f t="shared" si="2"/>
        <v>0</v>
      </c>
      <c r="N29" s="3">
        <f t="shared" si="1"/>
        <v>4900000</v>
      </c>
      <c r="O29" s="1" t="s">
        <v>224</v>
      </c>
    </row>
    <row r="30" spans="1:15" x14ac:dyDescent="0.15">
      <c r="A30" s="1">
        <v>1998</v>
      </c>
      <c r="B30" s="3">
        <v>5556470</v>
      </c>
      <c r="C30" s="3">
        <v>0</v>
      </c>
      <c r="D30" s="3">
        <v>0</v>
      </c>
      <c r="E30" s="3">
        <f>5900000-B30</f>
        <v>343530</v>
      </c>
      <c r="F30" s="3">
        <v>1318000</v>
      </c>
      <c r="G30" s="3">
        <v>0</v>
      </c>
      <c r="H30" s="3">
        <v>0</v>
      </c>
      <c r="I30" s="3">
        <v>0</v>
      </c>
      <c r="J30" s="3">
        <v>0</v>
      </c>
      <c r="K30" s="3">
        <f t="shared" si="2"/>
        <v>5900000</v>
      </c>
      <c r="L30" s="3">
        <f t="shared" si="2"/>
        <v>1318000</v>
      </c>
      <c r="M30" s="3">
        <f t="shared" si="2"/>
        <v>0</v>
      </c>
      <c r="N30" s="3">
        <f t="shared" si="1"/>
        <v>7218000</v>
      </c>
      <c r="O30" s="1" t="s">
        <v>225</v>
      </c>
    </row>
    <row r="31" spans="1:15" x14ac:dyDescent="0.15">
      <c r="A31" s="1">
        <v>1999</v>
      </c>
      <c r="B31" s="3">
        <v>5556470</v>
      </c>
      <c r="C31" s="3">
        <v>0</v>
      </c>
      <c r="D31" s="3">
        <v>0</v>
      </c>
      <c r="E31" s="3">
        <f>5900000-B31</f>
        <v>343530</v>
      </c>
      <c r="F31" s="3">
        <v>1318000</v>
      </c>
      <c r="G31" s="3">
        <v>0</v>
      </c>
      <c r="H31" s="3">
        <v>0</v>
      </c>
      <c r="I31" s="3">
        <v>0</v>
      </c>
      <c r="J31" s="3">
        <v>0</v>
      </c>
      <c r="K31" s="3">
        <f t="shared" si="2"/>
        <v>5900000</v>
      </c>
      <c r="L31" s="3">
        <f t="shared" si="2"/>
        <v>1318000</v>
      </c>
      <c r="M31" s="3">
        <f t="shared" si="2"/>
        <v>0</v>
      </c>
      <c r="N31" s="3">
        <f t="shared" si="1"/>
        <v>7218000</v>
      </c>
      <c r="O31" s="1" t="s">
        <v>146</v>
      </c>
    </row>
    <row r="32" spans="1:15" x14ac:dyDescent="0.15">
      <c r="A32" s="1">
        <v>2000</v>
      </c>
      <c r="B32" s="3">
        <v>5459238</v>
      </c>
      <c r="C32" s="3">
        <v>0</v>
      </c>
      <c r="D32" s="3">
        <v>0</v>
      </c>
      <c r="E32" s="3">
        <f>6083000-B32</f>
        <v>623762</v>
      </c>
      <c r="F32" s="3">
        <v>729000</v>
      </c>
      <c r="G32" s="3">
        <v>0</v>
      </c>
      <c r="H32" s="3">
        <v>0</v>
      </c>
      <c r="I32" s="3">
        <v>0</v>
      </c>
      <c r="J32" s="3">
        <v>0</v>
      </c>
      <c r="K32" s="3">
        <f t="shared" si="2"/>
        <v>6083000</v>
      </c>
      <c r="L32" s="3">
        <f t="shared" si="2"/>
        <v>729000</v>
      </c>
      <c r="M32" s="3">
        <f t="shared" si="2"/>
        <v>0</v>
      </c>
      <c r="N32" s="3">
        <f t="shared" si="1"/>
        <v>6812000</v>
      </c>
    </row>
    <row r="33" spans="1:15" x14ac:dyDescent="0.15">
      <c r="A33" s="1">
        <v>2001</v>
      </c>
      <c r="B33" s="3">
        <v>5987212</v>
      </c>
      <c r="C33" s="3">
        <v>0</v>
      </c>
      <c r="D33" s="3">
        <v>0</v>
      </c>
      <c r="E33" s="3">
        <f>6529000-B33</f>
        <v>541788</v>
      </c>
      <c r="F33" s="3">
        <v>919000</v>
      </c>
      <c r="G33" s="3">
        <v>0</v>
      </c>
      <c r="H33" s="3">
        <v>6920000</v>
      </c>
      <c r="I33" s="3">
        <v>0</v>
      </c>
      <c r="J33" s="3">
        <v>0</v>
      </c>
      <c r="K33" s="3">
        <f t="shared" si="2"/>
        <v>13449000</v>
      </c>
      <c r="L33" s="3">
        <f t="shared" si="2"/>
        <v>919000</v>
      </c>
      <c r="M33" s="3">
        <f t="shared" si="2"/>
        <v>0</v>
      </c>
      <c r="N33" s="3">
        <f t="shared" si="1"/>
        <v>14368000</v>
      </c>
      <c r="O33" s="1" t="s">
        <v>237</v>
      </c>
    </row>
    <row r="34" spans="1:15" x14ac:dyDescent="0.15">
      <c r="A34" s="1">
        <v>2002</v>
      </c>
      <c r="B34" s="3">
        <v>5987242</v>
      </c>
      <c r="C34" s="3">
        <v>0</v>
      </c>
      <c r="D34" s="3">
        <v>0</v>
      </c>
      <c r="E34" s="3">
        <f>6545000-B34</f>
        <v>557758</v>
      </c>
      <c r="F34" s="3">
        <v>928000</v>
      </c>
      <c r="G34" s="3">
        <v>0</v>
      </c>
      <c r="H34" s="3">
        <v>13354000</v>
      </c>
      <c r="I34" s="3">
        <v>0</v>
      </c>
      <c r="J34" s="3">
        <v>0</v>
      </c>
      <c r="K34" s="3">
        <f t="shared" si="2"/>
        <v>19899000</v>
      </c>
      <c r="L34" s="3">
        <f t="shared" si="2"/>
        <v>928000</v>
      </c>
      <c r="M34" s="3">
        <f t="shared" si="2"/>
        <v>0</v>
      </c>
      <c r="N34" s="3">
        <f t="shared" si="1"/>
        <v>20827000</v>
      </c>
    </row>
    <row r="35" spans="1:15" x14ac:dyDescent="0.15">
      <c r="A35" s="1">
        <v>2003</v>
      </c>
      <c r="B35" s="3">
        <v>0</v>
      </c>
      <c r="C35" s="3">
        <v>0</v>
      </c>
      <c r="D35" s="3">
        <v>10712575</v>
      </c>
      <c r="E35" s="3">
        <v>0</v>
      </c>
      <c r="F35" s="3">
        <v>0</v>
      </c>
      <c r="G35" s="3">
        <v>319396</v>
      </c>
      <c r="H35" s="3">
        <v>0</v>
      </c>
      <c r="I35" s="3">
        <v>0</v>
      </c>
      <c r="J35" s="3">
        <v>20699496</v>
      </c>
      <c r="K35" s="3">
        <f t="shared" si="2"/>
        <v>0</v>
      </c>
      <c r="L35" s="3">
        <f t="shared" si="2"/>
        <v>0</v>
      </c>
      <c r="M35" s="3">
        <f t="shared" si="2"/>
        <v>31731467</v>
      </c>
      <c r="N35" s="3">
        <f t="shared" si="1"/>
        <v>31731467</v>
      </c>
    </row>
    <row r="36" spans="1:15" x14ac:dyDescent="0.15">
      <c r="A36" s="1">
        <v>2004</v>
      </c>
      <c r="B36" s="3">
        <v>7370343</v>
      </c>
      <c r="C36" s="3">
        <v>0</v>
      </c>
      <c r="D36" s="3">
        <v>0</v>
      </c>
      <c r="E36" s="3">
        <v>384680</v>
      </c>
      <c r="F36" s="3">
        <v>0</v>
      </c>
      <c r="G36" s="3">
        <v>0</v>
      </c>
      <c r="H36" s="3">
        <v>26780089</v>
      </c>
      <c r="I36" s="3">
        <v>0</v>
      </c>
      <c r="J36" s="3">
        <v>1053488</v>
      </c>
      <c r="K36" s="3">
        <v>34535112</v>
      </c>
      <c r="L36" s="3">
        <v>0</v>
      </c>
      <c r="M36" s="3">
        <v>1053488</v>
      </c>
      <c r="N36" s="3">
        <v>35588600</v>
      </c>
    </row>
    <row r="37" spans="1:15" x14ac:dyDescent="0.15">
      <c r="A37" s="1">
        <v>2005</v>
      </c>
      <c r="B37" s="3">
        <v>9753777</v>
      </c>
      <c r="C37" s="3">
        <v>0</v>
      </c>
      <c r="D37" s="3">
        <v>0</v>
      </c>
      <c r="E37" s="3">
        <v>244579</v>
      </c>
      <c r="F37" s="3">
        <v>121931</v>
      </c>
      <c r="G37" s="3">
        <v>26525</v>
      </c>
      <c r="H37" s="3">
        <v>30651532</v>
      </c>
      <c r="I37" s="3">
        <v>177882</v>
      </c>
      <c r="J37" s="3">
        <v>0</v>
      </c>
      <c r="K37" s="3">
        <v>40649888</v>
      </c>
      <c r="L37" s="3">
        <v>299813</v>
      </c>
      <c r="M37" s="3">
        <v>26525</v>
      </c>
      <c r="N37" s="3">
        <v>40976226</v>
      </c>
    </row>
    <row r="38" spans="1:15" x14ac:dyDescent="0.15">
      <c r="A38" s="1">
        <v>2006</v>
      </c>
      <c r="B38" s="3">
        <v>10954673</v>
      </c>
      <c r="C38" s="3">
        <v>2167497</v>
      </c>
      <c r="D38" s="3">
        <v>0</v>
      </c>
      <c r="E38" s="3">
        <v>244731</v>
      </c>
      <c r="F38" s="3">
        <v>115472</v>
      </c>
      <c r="G38" s="3">
        <v>0</v>
      </c>
      <c r="H38" s="3">
        <v>28471360</v>
      </c>
      <c r="I38" s="3">
        <v>0</v>
      </c>
      <c r="J38" s="3">
        <v>0</v>
      </c>
      <c r="K38" s="3">
        <v>39670764</v>
      </c>
      <c r="L38" s="3">
        <v>2282969</v>
      </c>
      <c r="M38" s="3">
        <v>0</v>
      </c>
      <c r="N38" s="3">
        <v>41953733</v>
      </c>
    </row>
    <row r="39" spans="1:15" x14ac:dyDescent="0.15">
      <c r="A39" s="1">
        <v>2007</v>
      </c>
      <c r="B39" s="3">
        <v>12696678</v>
      </c>
      <c r="C39" s="3">
        <v>2549062</v>
      </c>
      <c r="D39" s="3">
        <v>0</v>
      </c>
      <c r="E39" s="3">
        <v>264769</v>
      </c>
      <c r="F39" s="3">
        <v>101810</v>
      </c>
      <c r="G39" s="3">
        <v>0</v>
      </c>
      <c r="H39" s="3">
        <v>25391534</v>
      </c>
      <c r="I39" s="3">
        <v>0</v>
      </c>
      <c r="J39" s="3">
        <v>0</v>
      </c>
      <c r="K39" s="3">
        <v>38352981</v>
      </c>
      <c r="L39" s="3">
        <v>2650872</v>
      </c>
      <c r="M39" s="3">
        <v>0</v>
      </c>
      <c r="N39" s="3">
        <v>41003853</v>
      </c>
    </row>
    <row r="40" spans="1:15" x14ac:dyDescent="0.15">
      <c r="A40" s="1">
        <v>2008</v>
      </c>
      <c r="B40" s="3">
        <v>13201512</v>
      </c>
      <c r="C40" s="3">
        <v>2930918</v>
      </c>
      <c r="D40" s="3">
        <v>0</v>
      </c>
      <c r="E40" s="3">
        <v>208102</v>
      </c>
      <c r="F40" s="3">
        <v>150725</v>
      </c>
      <c r="G40" s="3">
        <v>0</v>
      </c>
      <c r="H40" s="3">
        <v>25699653</v>
      </c>
      <c r="I40" s="3">
        <v>0</v>
      </c>
      <c r="J40" s="3">
        <v>0</v>
      </c>
      <c r="K40" s="3">
        <v>39109267</v>
      </c>
      <c r="L40" s="3">
        <v>3081643</v>
      </c>
      <c r="M40" s="3">
        <v>0</v>
      </c>
      <c r="N40" s="3">
        <v>42190910</v>
      </c>
    </row>
    <row r="41" spans="1:15" x14ac:dyDescent="0.15">
      <c r="A41" s="1">
        <v>2009</v>
      </c>
      <c r="B41" s="3">
        <v>13884965</v>
      </c>
      <c r="C41" s="3">
        <v>3517390</v>
      </c>
      <c r="D41" s="3">
        <v>0</v>
      </c>
      <c r="E41" s="3">
        <v>372270</v>
      </c>
      <c r="F41" s="3">
        <v>0</v>
      </c>
      <c r="G41" s="3">
        <v>0</v>
      </c>
      <c r="H41" s="3">
        <v>25661960</v>
      </c>
      <c r="I41" s="3">
        <v>0</v>
      </c>
      <c r="J41" s="3">
        <v>0</v>
      </c>
      <c r="K41" s="3">
        <v>39919195</v>
      </c>
      <c r="L41" s="3">
        <v>3517390</v>
      </c>
      <c r="M41" s="3">
        <v>0</v>
      </c>
      <c r="N41" s="3">
        <v>43436585</v>
      </c>
    </row>
    <row r="42" spans="1:15" x14ac:dyDescent="0.15">
      <c r="A42" s="1">
        <v>2010</v>
      </c>
      <c r="B42" s="3">
        <v>16314921</v>
      </c>
      <c r="C42" s="3">
        <v>4478323</v>
      </c>
      <c r="D42" s="3">
        <v>0</v>
      </c>
      <c r="E42" s="3">
        <v>311813</v>
      </c>
      <c r="F42" s="3">
        <v>37063</v>
      </c>
      <c r="G42" s="3">
        <v>0</v>
      </c>
      <c r="H42" s="3">
        <v>25244197</v>
      </c>
      <c r="I42" s="3">
        <v>0</v>
      </c>
      <c r="J42" s="3">
        <v>0</v>
      </c>
      <c r="K42" s="3">
        <v>41870931</v>
      </c>
      <c r="L42" s="3">
        <v>4515386</v>
      </c>
      <c r="M42" s="3">
        <v>0</v>
      </c>
      <c r="N42" s="3">
        <v>46386317</v>
      </c>
    </row>
    <row r="43" spans="1:15" x14ac:dyDescent="0.15">
      <c r="A43" s="1">
        <v>2011</v>
      </c>
      <c r="B43" s="3">
        <v>23489609</v>
      </c>
      <c r="C43" s="3">
        <v>4637088</v>
      </c>
      <c r="D43" s="3">
        <v>0</v>
      </c>
      <c r="E43" s="3">
        <v>279779</v>
      </c>
      <c r="F43" s="3">
        <v>67669</v>
      </c>
      <c r="G43" s="3">
        <v>0</v>
      </c>
      <c r="H43" s="3">
        <v>24068637</v>
      </c>
      <c r="I43" s="3">
        <v>0</v>
      </c>
      <c r="J43" s="3">
        <v>0</v>
      </c>
      <c r="K43" s="3">
        <v>47838025</v>
      </c>
      <c r="L43" s="3">
        <v>4704757</v>
      </c>
      <c r="M43" s="3">
        <v>0</v>
      </c>
      <c r="N43" s="3">
        <v>52542782</v>
      </c>
      <c r="O43" s="1" t="s">
        <v>288</v>
      </c>
    </row>
    <row r="44" spans="1:15" x14ac:dyDescent="0.15">
      <c r="A44" s="1">
        <v>2012</v>
      </c>
      <c r="B44" s="3">
        <v>27725459</v>
      </c>
      <c r="C44" s="3">
        <v>6078482</v>
      </c>
      <c r="D44" s="3">
        <v>0</v>
      </c>
      <c r="E44" s="3">
        <v>0</v>
      </c>
      <c r="F44" s="3">
        <v>0</v>
      </c>
      <c r="G44" s="3">
        <v>0</v>
      </c>
      <c r="H44" s="3">
        <v>22861510</v>
      </c>
      <c r="I44" s="3">
        <v>0</v>
      </c>
      <c r="J44" s="3">
        <v>0</v>
      </c>
      <c r="K44" s="3">
        <v>50586969</v>
      </c>
      <c r="L44" s="3">
        <v>6078482</v>
      </c>
      <c r="M44" s="3">
        <v>0</v>
      </c>
      <c r="N44" s="3">
        <v>56665451</v>
      </c>
    </row>
    <row r="45" spans="1:15" x14ac:dyDescent="0.15">
      <c r="A45" s="1">
        <v>2013</v>
      </c>
      <c r="B45" s="3">
        <v>29549404</v>
      </c>
      <c r="C45" s="3">
        <v>6719926</v>
      </c>
      <c r="D45" s="3">
        <v>0</v>
      </c>
      <c r="E45" s="3">
        <v>0</v>
      </c>
      <c r="F45" s="3">
        <v>0</v>
      </c>
      <c r="G45" s="3">
        <v>0</v>
      </c>
      <c r="H45" s="3">
        <v>23052939</v>
      </c>
      <c r="I45" s="3">
        <v>0</v>
      </c>
      <c r="J45" s="3">
        <v>0</v>
      </c>
      <c r="K45" s="3">
        <v>52602343</v>
      </c>
      <c r="L45" s="3">
        <v>6719926</v>
      </c>
      <c r="M45" s="3">
        <v>0</v>
      </c>
      <c r="N45" s="3">
        <v>59322269</v>
      </c>
    </row>
    <row r="46" spans="1:15" x14ac:dyDescent="0.15">
      <c r="A46" s="1">
        <v>2014</v>
      </c>
      <c r="B46" s="3">
        <v>9764056</v>
      </c>
      <c r="C46" s="3">
        <v>632690</v>
      </c>
      <c r="D46" s="3">
        <v>0</v>
      </c>
      <c r="E46" s="3">
        <v>0</v>
      </c>
      <c r="F46" s="3">
        <v>0</v>
      </c>
      <c r="G46" s="3">
        <v>0</v>
      </c>
      <c r="H46" s="3">
        <v>23866375</v>
      </c>
      <c r="I46" s="3">
        <v>0</v>
      </c>
      <c r="J46" s="3">
        <v>0</v>
      </c>
      <c r="K46" s="3">
        <v>33630431</v>
      </c>
      <c r="L46" s="3">
        <v>632690</v>
      </c>
      <c r="M46" s="3">
        <v>0</v>
      </c>
      <c r="N46" s="3">
        <v>34263121</v>
      </c>
      <c r="O46" s="1" t="s">
        <v>289</v>
      </c>
    </row>
    <row r="47" spans="1:15" x14ac:dyDescent="0.15">
      <c r="A47" s="1">
        <v>2015</v>
      </c>
      <c r="B47" s="3">
        <v>10073321</v>
      </c>
      <c r="C47" s="3">
        <v>567299</v>
      </c>
      <c r="D47" s="3">
        <v>0</v>
      </c>
      <c r="E47" s="3">
        <v>0</v>
      </c>
      <c r="F47" s="3">
        <v>0</v>
      </c>
      <c r="G47" s="3">
        <v>0</v>
      </c>
      <c r="H47" s="3">
        <v>24767271</v>
      </c>
      <c r="I47" s="3">
        <v>0</v>
      </c>
      <c r="J47" s="3">
        <v>0</v>
      </c>
      <c r="K47" s="3">
        <v>34840592</v>
      </c>
      <c r="L47" s="3">
        <v>567299</v>
      </c>
      <c r="M47" s="3">
        <v>0</v>
      </c>
      <c r="N47" s="3">
        <v>35407891</v>
      </c>
    </row>
    <row r="48" spans="1:15" x14ac:dyDescent="0.15">
      <c r="A48" s="1">
        <v>2016</v>
      </c>
      <c r="B48" s="3">
        <v>2500000</v>
      </c>
      <c r="C48" s="3">
        <v>0</v>
      </c>
      <c r="D48" s="3">
        <v>0</v>
      </c>
      <c r="E48" s="3">
        <v>10129478</v>
      </c>
      <c r="F48" s="3">
        <v>617662</v>
      </c>
      <c r="G48" s="3">
        <v>0</v>
      </c>
      <c r="H48" s="3">
        <v>30352142</v>
      </c>
      <c r="I48" s="3">
        <v>0</v>
      </c>
      <c r="J48" s="3">
        <v>0</v>
      </c>
      <c r="K48" s="3">
        <v>42981620</v>
      </c>
      <c r="L48" s="3">
        <v>617662</v>
      </c>
      <c r="M48" s="3">
        <v>0</v>
      </c>
      <c r="N48" s="3">
        <v>43599282</v>
      </c>
      <c r="O48" s="1" t="s">
        <v>290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10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769000</v>
      </c>
      <c r="C9" s="3">
        <v>0</v>
      </c>
      <c r="D9" s="3">
        <v>0</v>
      </c>
      <c r="E9" s="3">
        <v>0</v>
      </c>
      <c r="F9" s="3">
        <v>0</v>
      </c>
      <c r="G9" s="3">
        <v>0</v>
      </c>
      <c r="H9" s="3">
        <v>0</v>
      </c>
      <c r="I9" s="3">
        <v>0</v>
      </c>
      <c r="J9" s="3">
        <v>0</v>
      </c>
      <c r="K9" s="3">
        <f t="shared" si="0"/>
        <v>769000</v>
      </c>
      <c r="L9" s="3">
        <f t="shared" si="0"/>
        <v>0</v>
      </c>
      <c r="M9" s="3">
        <f t="shared" si="0"/>
        <v>0</v>
      </c>
      <c r="N9" s="3">
        <f t="shared" si="1"/>
        <v>769000</v>
      </c>
      <c r="O9" s="1" t="s">
        <v>104</v>
      </c>
    </row>
    <row r="10" spans="1:15" x14ac:dyDescent="0.15">
      <c r="A10" s="1">
        <v>1978</v>
      </c>
      <c r="B10" s="3">
        <v>1201000</v>
      </c>
      <c r="C10" s="3">
        <v>0</v>
      </c>
      <c r="D10" s="3">
        <v>0</v>
      </c>
      <c r="E10" s="3">
        <v>0</v>
      </c>
      <c r="F10" s="3">
        <v>0</v>
      </c>
      <c r="G10" s="3">
        <v>0</v>
      </c>
      <c r="H10" s="3">
        <v>0</v>
      </c>
      <c r="I10" s="3">
        <v>0</v>
      </c>
      <c r="J10" s="3">
        <v>0</v>
      </c>
      <c r="K10" s="3">
        <f t="shared" si="0"/>
        <v>1201000</v>
      </c>
      <c r="L10" s="3">
        <f t="shared" si="0"/>
        <v>0</v>
      </c>
      <c r="M10" s="3">
        <f t="shared" si="0"/>
        <v>0</v>
      </c>
      <c r="N10" s="3">
        <f t="shared" si="1"/>
        <v>1201000</v>
      </c>
    </row>
    <row r="11" spans="1:15" x14ac:dyDescent="0.15">
      <c r="A11" s="1">
        <v>1979</v>
      </c>
      <c r="B11" s="3">
        <v>1596000</v>
      </c>
      <c r="C11" s="3">
        <v>0</v>
      </c>
      <c r="D11" s="3">
        <v>0</v>
      </c>
      <c r="E11" s="3">
        <v>0</v>
      </c>
      <c r="F11" s="3">
        <v>0</v>
      </c>
      <c r="G11" s="3">
        <v>0</v>
      </c>
      <c r="H11" s="3">
        <v>0</v>
      </c>
      <c r="I11" s="3">
        <v>0</v>
      </c>
      <c r="J11" s="3">
        <v>0</v>
      </c>
      <c r="K11" s="3">
        <f t="shared" si="0"/>
        <v>1596000</v>
      </c>
      <c r="L11" s="3">
        <f t="shared" si="0"/>
        <v>0</v>
      </c>
      <c r="M11" s="3">
        <f t="shared" si="0"/>
        <v>0</v>
      </c>
      <c r="N11" s="3">
        <f t="shared" si="1"/>
        <v>1596000</v>
      </c>
    </row>
    <row r="12" spans="1:15" x14ac:dyDescent="0.15">
      <c r="A12" s="1">
        <v>1980</v>
      </c>
      <c r="B12" s="3">
        <v>1643000</v>
      </c>
      <c r="C12" s="3">
        <v>0</v>
      </c>
      <c r="D12" s="3">
        <v>0</v>
      </c>
      <c r="E12" s="3">
        <v>0</v>
      </c>
      <c r="F12" s="3">
        <v>0</v>
      </c>
      <c r="G12" s="3">
        <v>0</v>
      </c>
      <c r="H12" s="3">
        <v>0</v>
      </c>
      <c r="I12" s="3">
        <v>0</v>
      </c>
      <c r="J12" s="3">
        <v>0</v>
      </c>
      <c r="K12" s="3">
        <f t="shared" si="0"/>
        <v>1643000</v>
      </c>
      <c r="L12" s="3">
        <f t="shared" si="0"/>
        <v>0</v>
      </c>
      <c r="M12" s="3">
        <f t="shared" si="0"/>
        <v>0</v>
      </c>
      <c r="N12" s="3">
        <f t="shared" si="1"/>
        <v>1643000</v>
      </c>
    </row>
    <row r="13" spans="1:15" x14ac:dyDescent="0.15">
      <c r="A13" s="1">
        <v>1981</v>
      </c>
      <c r="B13" s="3">
        <v>1639000</v>
      </c>
      <c r="C13" s="3">
        <v>0</v>
      </c>
      <c r="D13" s="3">
        <v>0</v>
      </c>
      <c r="E13" s="3">
        <v>0</v>
      </c>
      <c r="F13" s="3">
        <v>0</v>
      </c>
      <c r="G13" s="3">
        <v>0</v>
      </c>
      <c r="H13" s="3">
        <v>0</v>
      </c>
      <c r="I13" s="3">
        <v>0</v>
      </c>
      <c r="J13" s="3">
        <v>0</v>
      </c>
      <c r="K13" s="3">
        <f t="shared" si="0"/>
        <v>1639000</v>
      </c>
      <c r="L13" s="3">
        <f t="shared" si="0"/>
        <v>0</v>
      </c>
      <c r="M13" s="3">
        <f t="shared" si="0"/>
        <v>0</v>
      </c>
      <c r="N13" s="3">
        <f t="shared" si="1"/>
        <v>1639000</v>
      </c>
    </row>
    <row r="14" spans="1:15" x14ac:dyDescent="0.15">
      <c r="A14" s="1">
        <v>1982</v>
      </c>
      <c r="B14" s="3">
        <v>2283000</v>
      </c>
      <c r="C14" s="3">
        <v>108000</v>
      </c>
      <c r="D14" s="3">
        <v>0</v>
      </c>
      <c r="E14" s="3">
        <v>0</v>
      </c>
      <c r="F14" s="3">
        <v>0</v>
      </c>
      <c r="G14" s="3">
        <v>0</v>
      </c>
      <c r="H14" s="3">
        <v>0</v>
      </c>
      <c r="I14" s="3">
        <v>0</v>
      </c>
      <c r="J14" s="3">
        <v>0</v>
      </c>
      <c r="K14" s="3">
        <f t="shared" si="0"/>
        <v>2283000</v>
      </c>
      <c r="L14" s="3">
        <f t="shared" si="0"/>
        <v>108000</v>
      </c>
      <c r="M14" s="3">
        <f t="shared" si="0"/>
        <v>0</v>
      </c>
      <c r="N14" s="3">
        <f t="shared" si="1"/>
        <v>2391000</v>
      </c>
    </row>
    <row r="15" spans="1:15" x14ac:dyDescent="0.15">
      <c r="A15" s="1">
        <v>1983</v>
      </c>
      <c r="B15" s="3">
        <v>2394000</v>
      </c>
      <c r="C15" s="3">
        <v>113000</v>
      </c>
      <c r="D15" s="3">
        <v>0</v>
      </c>
      <c r="E15" s="3">
        <v>0</v>
      </c>
      <c r="F15" s="3">
        <v>0</v>
      </c>
      <c r="G15" s="3">
        <v>0</v>
      </c>
      <c r="H15" s="3">
        <v>0</v>
      </c>
      <c r="I15" s="3">
        <v>0</v>
      </c>
      <c r="J15" s="3">
        <v>0</v>
      </c>
      <c r="K15" s="3">
        <f t="shared" si="0"/>
        <v>2394000</v>
      </c>
      <c r="L15" s="3">
        <f t="shared" si="0"/>
        <v>113000</v>
      </c>
      <c r="M15" s="3">
        <f t="shared" si="0"/>
        <v>0</v>
      </c>
      <c r="N15" s="3">
        <f t="shared" si="1"/>
        <v>2507000</v>
      </c>
    </row>
    <row r="16" spans="1:15" x14ac:dyDescent="0.15">
      <c r="A16" s="1">
        <v>1984</v>
      </c>
      <c r="B16" s="3">
        <v>0</v>
      </c>
      <c r="C16" s="3">
        <v>0</v>
      </c>
      <c r="D16" s="3">
        <v>2042000</v>
      </c>
      <c r="E16" s="3">
        <v>0</v>
      </c>
      <c r="F16" s="3">
        <v>0</v>
      </c>
      <c r="G16" s="3">
        <v>0</v>
      </c>
      <c r="H16" s="3">
        <v>0</v>
      </c>
      <c r="I16" s="3">
        <v>0</v>
      </c>
      <c r="J16" s="3">
        <v>0</v>
      </c>
      <c r="K16" s="3">
        <f t="shared" si="0"/>
        <v>0</v>
      </c>
      <c r="L16" s="3">
        <f t="shared" si="0"/>
        <v>0</v>
      </c>
      <c r="M16" s="3">
        <f t="shared" si="0"/>
        <v>2042000</v>
      </c>
      <c r="N16" s="3">
        <f t="shared" si="1"/>
        <v>2042000</v>
      </c>
    </row>
    <row r="17" spans="1:14" x14ac:dyDescent="0.15">
      <c r="A17" s="1">
        <v>1985</v>
      </c>
      <c r="B17" s="3">
        <v>2576000</v>
      </c>
      <c r="C17" s="3">
        <v>10000</v>
      </c>
      <c r="D17" s="3">
        <v>0</v>
      </c>
      <c r="E17" s="3">
        <v>0</v>
      </c>
      <c r="F17" s="3">
        <v>0</v>
      </c>
      <c r="G17" s="3">
        <v>0</v>
      </c>
      <c r="H17" s="3">
        <v>0</v>
      </c>
      <c r="I17" s="3">
        <v>0</v>
      </c>
      <c r="J17" s="3">
        <v>0</v>
      </c>
      <c r="K17" s="3">
        <f t="shared" si="0"/>
        <v>2576000</v>
      </c>
      <c r="L17" s="3">
        <f t="shared" si="0"/>
        <v>10000</v>
      </c>
      <c r="M17" s="3">
        <f t="shared" si="0"/>
        <v>0</v>
      </c>
      <c r="N17" s="3">
        <f t="shared" si="1"/>
        <v>2586000</v>
      </c>
    </row>
    <row r="18" spans="1:14" x14ac:dyDescent="0.15">
      <c r="A18" s="1">
        <v>1986</v>
      </c>
      <c r="B18" s="3">
        <v>2578000</v>
      </c>
      <c r="C18" s="3">
        <v>8000</v>
      </c>
      <c r="D18" s="3">
        <v>0</v>
      </c>
      <c r="E18" s="3">
        <v>0</v>
      </c>
      <c r="F18" s="3">
        <v>0</v>
      </c>
      <c r="G18" s="3">
        <v>0</v>
      </c>
      <c r="H18" s="3">
        <v>0</v>
      </c>
      <c r="I18" s="3">
        <v>0</v>
      </c>
      <c r="J18" s="3">
        <v>0</v>
      </c>
      <c r="K18" s="3">
        <f t="shared" si="0"/>
        <v>2578000</v>
      </c>
      <c r="L18" s="3">
        <f t="shared" si="0"/>
        <v>8000</v>
      </c>
      <c r="M18" s="3">
        <f t="shared" si="0"/>
        <v>0</v>
      </c>
      <c r="N18" s="3">
        <f t="shared" si="1"/>
        <v>2586000</v>
      </c>
    </row>
    <row r="19" spans="1:14" x14ac:dyDescent="0.15">
      <c r="A19" s="1">
        <v>1987</v>
      </c>
      <c r="B19" s="3">
        <v>2376000</v>
      </c>
      <c r="C19" s="3">
        <v>99000</v>
      </c>
      <c r="D19" s="3">
        <v>0</v>
      </c>
      <c r="E19" s="3">
        <v>0</v>
      </c>
      <c r="F19" s="3">
        <v>0</v>
      </c>
      <c r="G19" s="3">
        <v>0</v>
      </c>
      <c r="H19" s="3">
        <v>0</v>
      </c>
      <c r="I19" s="3">
        <v>0</v>
      </c>
      <c r="J19" s="3">
        <v>0</v>
      </c>
      <c r="K19" s="3">
        <f t="shared" si="0"/>
        <v>2376000</v>
      </c>
      <c r="L19" s="3">
        <f t="shared" si="0"/>
        <v>99000</v>
      </c>
      <c r="M19" s="3">
        <f t="shared" si="0"/>
        <v>0</v>
      </c>
      <c r="N19" s="3">
        <f t="shared" si="1"/>
        <v>2475000</v>
      </c>
    </row>
    <row r="20" spans="1:14" x14ac:dyDescent="0.15">
      <c r="A20" s="1">
        <v>1988</v>
      </c>
      <c r="B20" s="3">
        <v>3244000</v>
      </c>
      <c r="C20" s="3">
        <v>10000</v>
      </c>
      <c r="D20" s="3">
        <v>0</v>
      </c>
      <c r="E20" s="3">
        <v>0</v>
      </c>
      <c r="F20" s="3">
        <v>0</v>
      </c>
      <c r="G20" s="3">
        <v>0</v>
      </c>
      <c r="H20" s="3">
        <v>0</v>
      </c>
      <c r="I20" s="3">
        <v>0</v>
      </c>
      <c r="J20" s="3">
        <v>0</v>
      </c>
      <c r="K20" s="3">
        <f t="shared" si="0"/>
        <v>3244000</v>
      </c>
      <c r="L20" s="3">
        <f t="shared" si="0"/>
        <v>10000</v>
      </c>
      <c r="M20" s="3">
        <f t="shared" si="0"/>
        <v>0</v>
      </c>
      <c r="N20" s="3">
        <f t="shared" si="1"/>
        <v>3254000</v>
      </c>
    </row>
    <row r="21" spans="1:14" x14ac:dyDescent="0.15">
      <c r="A21" s="1">
        <v>1989</v>
      </c>
      <c r="B21" s="3">
        <v>3508000</v>
      </c>
      <c r="C21" s="3">
        <v>18000</v>
      </c>
      <c r="D21" s="3">
        <v>0</v>
      </c>
      <c r="E21" s="3">
        <v>0</v>
      </c>
      <c r="F21" s="3">
        <v>0</v>
      </c>
      <c r="G21" s="3">
        <v>0</v>
      </c>
      <c r="H21" s="3">
        <v>0</v>
      </c>
      <c r="I21" s="3">
        <v>0</v>
      </c>
      <c r="J21" s="3">
        <v>0</v>
      </c>
      <c r="K21" s="3">
        <f t="shared" si="0"/>
        <v>3508000</v>
      </c>
      <c r="L21" s="3">
        <f t="shared" si="0"/>
        <v>18000</v>
      </c>
      <c r="M21" s="3">
        <f t="shared" si="0"/>
        <v>0</v>
      </c>
      <c r="N21" s="3">
        <f t="shared" si="1"/>
        <v>3526000</v>
      </c>
    </row>
    <row r="22" spans="1:14" x14ac:dyDescent="0.15">
      <c r="A22" s="1">
        <v>1990</v>
      </c>
      <c r="B22" s="3">
        <v>3383000</v>
      </c>
      <c r="C22" s="3">
        <v>17000</v>
      </c>
      <c r="D22" s="3">
        <v>0</v>
      </c>
      <c r="E22" s="3">
        <v>0</v>
      </c>
      <c r="F22" s="3">
        <v>0</v>
      </c>
      <c r="G22" s="3">
        <v>0</v>
      </c>
      <c r="H22" s="3">
        <v>0</v>
      </c>
      <c r="I22" s="3">
        <v>0</v>
      </c>
      <c r="J22" s="3">
        <v>0</v>
      </c>
      <c r="K22" s="3">
        <f t="shared" ref="K22:M35" si="2">+B22+E22+H22</f>
        <v>3383000</v>
      </c>
      <c r="L22" s="3">
        <f t="shared" si="2"/>
        <v>17000</v>
      </c>
      <c r="M22" s="3">
        <f t="shared" si="2"/>
        <v>0</v>
      </c>
      <c r="N22" s="3">
        <f t="shared" si="1"/>
        <v>3400000</v>
      </c>
    </row>
    <row r="23" spans="1:14" x14ac:dyDescent="0.15">
      <c r="A23" s="1">
        <v>1991</v>
      </c>
      <c r="B23" s="3">
        <v>3410000</v>
      </c>
      <c r="C23" s="3">
        <v>17000</v>
      </c>
      <c r="D23" s="3">
        <v>0</v>
      </c>
      <c r="E23" s="3">
        <v>0</v>
      </c>
      <c r="F23" s="3">
        <v>0</v>
      </c>
      <c r="G23" s="3">
        <v>0</v>
      </c>
      <c r="H23" s="3">
        <v>0</v>
      </c>
      <c r="I23" s="3">
        <v>0</v>
      </c>
      <c r="J23" s="3">
        <v>0</v>
      </c>
      <c r="K23" s="3">
        <f t="shared" si="2"/>
        <v>3410000</v>
      </c>
      <c r="L23" s="3">
        <f t="shared" si="2"/>
        <v>17000</v>
      </c>
      <c r="M23" s="3">
        <f t="shared" si="2"/>
        <v>0</v>
      </c>
      <c r="N23" s="3">
        <f t="shared" si="1"/>
        <v>3427000</v>
      </c>
    </row>
    <row r="24" spans="1:14" x14ac:dyDescent="0.15">
      <c r="A24" s="1">
        <v>1992</v>
      </c>
      <c r="B24" s="3">
        <v>3311000</v>
      </c>
      <c r="C24" s="3">
        <v>17000</v>
      </c>
      <c r="D24" s="3">
        <v>0</v>
      </c>
      <c r="E24" s="3">
        <v>0</v>
      </c>
      <c r="F24" s="3">
        <v>0</v>
      </c>
      <c r="G24" s="3">
        <v>0</v>
      </c>
      <c r="H24" s="3">
        <v>0</v>
      </c>
      <c r="I24" s="3">
        <v>0</v>
      </c>
      <c r="J24" s="3">
        <v>0</v>
      </c>
      <c r="K24" s="3">
        <f t="shared" si="2"/>
        <v>3311000</v>
      </c>
      <c r="L24" s="3">
        <f t="shared" si="2"/>
        <v>17000</v>
      </c>
      <c r="M24" s="3">
        <f t="shared" si="2"/>
        <v>0</v>
      </c>
      <c r="N24" s="3">
        <f t="shared" si="1"/>
        <v>3328000</v>
      </c>
    </row>
    <row r="25" spans="1:14" x14ac:dyDescent="0.15">
      <c r="A25" s="1">
        <v>1993</v>
      </c>
      <c r="B25" s="3">
        <v>2437000</v>
      </c>
      <c r="C25" s="3">
        <v>5000</v>
      </c>
      <c r="D25" s="3">
        <v>0</v>
      </c>
      <c r="E25" s="3">
        <v>0</v>
      </c>
      <c r="F25" s="3">
        <v>0</v>
      </c>
      <c r="G25" s="3">
        <v>0</v>
      </c>
      <c r="H25" s="3">
        <v>0</v>
      </c>
      <c r="I25" s="3">
        <v>0</v>
      </c>
      <c r="J25" s="3">
        <v>0</v>
      </c>
      <c r="K25" s="3">
        <f t="shared" si="2"/>
        <v>2437000</v>
      </c>
      <c r="L25" s="3">
        <f t="shared" si="2"/>
        <v>5000</v>
      </c>
      <c r="M25" s="3">
        <f t="shared" si="2"/>
        <v>0</v>
      </c>
      <c r="N25" s="3">
        <f t="shared" si="1"/>
        <v>2442000</v>
      </c>
    </row>
    <row r="26" spans="1:14" x14ac:dyDescent="0.15">
      <c r="A26" s="1">
        <v>1994</v>
      </c>
      <c r="B26" s="3">
        <v>3476000</v>
      </c>
      <c r="C26" s="3">
        <v>28000</v>
      </c>
      <c r="D26" s="3">
        <v>0</v>
      </c>
      <c r="E26" s="3">
        <v>0</v>
      </c>
      <c r="F26" s="3">
        <v>0</v>
      </c>
      <c r="G26" s="3">
        <v>0</v>
      </c>
      <c r="H26" s="3">
        <v>0</v>
      </c>
      <c r="I26" s="3">
        <v>0</v>
      </c>
      <c r="J26" s="3">
        <v>0</v>
      </c>
      <c r="K26" s="3">
        <f t="shared" si="2"/>
        <v>3476000</v>
      </c>
      <c r="L26" s="3">
        <f t="shared" si="2"/>
        <v>28000</v>
      </c>
      <c r="M26" s="3">
        <f t="shared" si="2"/>
        <v>0</v>
      </c>
      <c r="N26" s="3">
        <f t="shared" si="1"/>
        <v>3504000</v>
      </c>
    </row>
    <row r="27" spans="1:14" x14ac:dyDescent="0.15">
      <c r="A27" s="1">
        <v>1995</v>
      </c>
      <c r="B27" s="3">
        <v>3482000</v>
      </c>
      <c r="C27" s="3">
        <v>11000</v>
      </c>
      <c r="D27" s="3">
        <v>0</v>
      </c>
      <c r="E27" s="3">
        <v>0</v>
      </c>
      <c r="F27" s="3">
        <v>0</v>
      </c>
      <c r="G27" s="3">
        <v>0</v>
      </c>
      <c r="H27" s="3">
        <v>0</v>
      </c>
      <c r="I27" s="3">
        <v>0</v>
      </c>
      <c r="J27" s="3">
        <v>0</v>
      </c>
      <c r="K27" s="3">
        <f t="shared" si="2"/>
        <v>3482000</v>
      </c>
      <c r="L27" s="3">
        <f t="shared" si="2"/>
        <v>11000</v>
      </c>
      <c r="M27" s="3">
        <f t="shared" si="2"/>
        <v>0</v>
      </c>
      <c r="N27" s="3">
        <f t="shared" si="1"/>
        <v>3493000</v>
      </c>
    </row>
    <row r="28" spans="1:14" x14ac:dyDescent="0.15">
      <c r="A28" s="1">
        <v>1996</v>
      </c>
      <c r="B28" s="3">
        <v>2291000</v>
      </c>
      <c r="C28" s="3">
        <v>2000</v>
      </c>
      <c r="D28" s="3">
        <v>0</v>
      </c>
      <c r="E28" s="3">
        <v>0</v>
      </c>
      <c r="F28" s="3">
        <v>0</v>
      </c>
      <c r="G28" s="3">
        <v>0</v>
      </c>
      <c r="H28" s="3">
        <v>0</v>
      </c>
      <c r="I28" s="3">
        <v>0</v>
      </c>
      <c r="J28" s="3">
        <v>0</v>
      </c>
      <c r="K28" s="3">
        <f t="shared" si="2"/>
        <v>2291000</v>
      </c>
      <c r="L28" s="3">
        <f t="shared" si="2"/>
        <v>2000</v>
      </c>
      <c r="M28" s="3">
        <f t="shared" si="2"/>
        <v>0</v>
      </c>
      <c r="N28" s="3">
        <f t="shared" si="1"/>
        <v>2293000</v>
      </c>
    </row>
    <row r="29" spans="1:14" x14ac:dyDescent="0.15">
      <c r="A29" s="1">
        <v>1997</v>
      </c>
      <c r="B29" s="3">
        <v>2751071</v>
      </c>
      <c r="C29" s="3">
        <v>3000</v>
      </c>
      <c r="D29" s="3">
        <v>0</v>
      </c>
      <c r="E29" s="3">
        <v>0</v>
      </c>
      <c r="F29" s="3">
        <v>0</v>
      </c>
      <c r="G29" s="3">
        <v>0</v>
      </c>
      <c r="H29" s="3">
        <v>0</v>
      </c>
      <c r="I29" s="3">
        <v>0</v>
      </c>
      <c r="J29" s="3">
        <v>0</v>
      </c>
      <c r="K29" s="3">
        <f t="shared" si="2"/>
        <v>2751071</v>
      </c>
      <c r="L29" s="3">
        <f t="shared" si="2"/>
        <v>3000</v>
      </c>
      <c r="M29" s="3">
        <f t="shared" si="2"/>
        <v>0</v>
      </c>
      <c r="N29" s="3">
        <f t="shared" si="1"/>
        <v>2754071</v>
      </c>
    </row>
    <row r="30" spans="1:14" x14ac:dyDescent="0.15">
      <c r="A30" s="1">
        <v>1998</v>
      </c>
      <c r="B30" s="3">
        <f>2844942+316105</f>
        <v>3161047</v>
      </c>
      <c r="C30" s="3">
        <v>0</v>
      </c>
      <c r="D30" s="3">
        <v>0</v>
      </c>
      <c r="E30" s="3">
        <v>0</v>
      </c>
      <c r="F30" s="3">
        <v>0</v>
      </c>
      <c r="G30" s="3">
        <v>0</v>
      </c>
      <c r="H30" s="3">
        <v>0</v>
      </c>
      <c r="I30" s="3">
        <v>0</v>
      </c>
      <c r="J30" s="3">
        <v>0</v>
      </c>
      <c r="K30" s="3">
        <f t="shared" si="2"/>
        <v>3161047</v>
      </c>
      <c r="L30" s="3">
        <f t="shared" si="2"/>
        <v>0</v>
      </c>
      <c r="M30" s="3">
        <f t="shared" si="2"/>
        <v>0</v>
      </c>
      <c r="N30" s="3">
        <f t="shared" si="1"/>
        <v>3161047</v>
      </c>
    </row>
    <row r="31" spans="1:14" x14ac:dyDescent="0.15">
      <c r="A31" s="1">
        <v>1999</v>
      </c>
      <c r="B31" s="3">
        <v>2731126</v>
      </c>
      <c r="C31" s="3">
        <v>0</v>
      </c>
      <c r="D31" s="3">
        <v>0</v>
      </c>
      <c r="E31" s="3">
        <v>0</v>
      </c>
      <c r="F31" s="3">
        <v>0</v>
      </c>
      <c r="G31" s="3">
        <v>0</v>
      </c>
      <c r="H31" s="3">
        <v>0</v>
      </c>
      <c r="I31" s="3">
        <v>0</v>
      </c>
      <c r="J31" s="3">
        <v>0</v>
      </c>
      <c r="K31" s="3">
        <f t="shared" si="2"/>
        <v>2731126</v>
      </c>
      <c r="L31" s="3">
        <f t="shared" si="2"/>
        <v>0</v>
      </c>
      <c r="M31" s="3">
        <f t="shared" si="2"/>
        <v>0</v>
      </c>
      <c r="N31" s="3">
        <f t="shared" si="1"/>
        <v>2731126</v>
      </c>
    </row>
    <row r="32" spans="1:14" x14ac:dyDescent="0.15">
      <c r="A32" s="1">
        <v>2000</v>
      </c>
      <c r="B32" s="3">
        <v>2727078</v>
      </c>
      <c r="C32" s="3">
        <v>0</v>
      </c>
      <c r="D32" s="3">
        <v>0</v>
      </c>
      <c r="E32" s="3">
        <v>0</v>
      </c>
      <c r="F32" s="3">
        <v>0</v>
      </c>
      <c r="G32" s="3">
        <v>0</v>
      </c>
      <c r="H32" s="3">
        <v>0</v>
      </c>
      <c r="I32" s="3">
        <v>0</v>
      </c>
      <c r="J32" s="3">
        <v>0</v>
      </c>
      <c r="K32" s="3">
        <f t="shared" si="2"/>
        <v>2727078</v>
      </c>
      <c r="L32" s="3">
        <f t="shared" si="2"/>
        <v>0</v>
      </c>
      <c r="M32" s="3">
        <f t="shared" si="2"/>
        <v>0</v>
      </c>
      <c r="N32" s="3">
        <f t="shared" si="1"/>
        <v>2727078</v>
      </c>
    </row>
    <row r="33" spans="1:15" x14ac:dyDescent="0.15">
      <c r="A33" s="1">
        <v>2001</v>
      </c>
      <c r="B33" s="3">
        <f>2930667+59810</f>
        <v>2990477</v>
      </c>
      <c r="C33" s="3">
        <v>0</v>
      </c>
      <c r="D33" s="3">
        <v>0</v>
      </c>
      <c r="E33" s="3">
        <v>0</v>
      </c>
      <c r="F33" s="3">
        <v>0</v>
      </c>
      <c r="G33" s="3">
        <v>0</v>
      </c>
      <c r="H33" s="3">
        <v>0</v>
      </c>
      <c r="I33" s="3">
        <v>0</v>
      </c>
      <c r="J33" s="3">
        <v>0</v>
      </c>
      <c r="K33" s="3">
        <f t="shared" si="2"/>
        <v>2990477</v>
      </c>
      <c r="L33" s="3">
        <f t="shared" si="2"/>
        <v>0</v>
      </c>
      <c r="M33" s="3">
        <f t="shared" si="2"/>
        <v>0</v>
      </c>
      <c r="N33" s="3">
        <f t="shared" si="1"/>
        <v>2990477</v>
      </c>
    </row>
    <row r="34" spans="1:15" x14ac:dyDescent="0.15">
      <c r="A34" s="1">
        <v>2002</v>
      </c>
      <c r="B34" s="3">
        <v>2811847</v>
      </c>
      <c r="C34" s="3">
        <v>0</v>
      </c>
      <c r="D34" s="3">
        <v>0</v>
      </c>
      <c r="E34" s="3">
        <v>0</v>
      </c>
      <c r="F34" s="3">
        <v>0</v>
      </c>
      <c r="G34" s="3">
        <v>0</v>
      </c>
      <c r="H34" s="3">
        <v>0</v>
      </c>
      <c r="I34" s="3">
        <v>0</v>
      </c>
      <c r="J34" s="3">
        <v>0</v>
      </c>
      <c r="K34" s="3">
        <f t="shared" si="2"/>
        <v>2811847</v>
      </c>
      <c r="L34" s="3">
        <f t="shared" si="2"/>
        <v>0</v>
      </c>
      <c r="M34" s="3">
        <f t="shared" si="2"/>
        <v>0</v>
      </c>
      <c r="N34" s="3">
        <f t="shared" si="1"/>
        <v>2811847</v>
      </c>
    </row>
    <row r="35" spans="1:15" x14ac:dyDescent="0.15">
      <c r="A35" s="1">
        <v>2003</v>
      </c>
      <c r="B35" s="3">
        <v>2790193</v>
      </c>
      <c r="C35" s="3">
        <v>19969</v>
      </c>
      <c r="D35" s="3">
        <v>0</v>
      </c>
      <c r="E35" s="3">
        <v>0</v>
      </c>
      <c r="F35" s="3">
        <v>0</v>
      </c>
      <c r="G35" s="3">
        <v>0</v>
      </c>
      <c r="H35" s="3">
        <v>0</v>
      </c>
      <c r="I35" s="3">
        <v>0</v>
      </c>
      <c r="J35" s="3">
        <v>0</v>
      </c>
      <c r="K35" s="3">
        <f t="shared" si="2"/>
        <v>2790193</v>
      </c>
      <c r="L35" s="3">
        <f t="shared" si="2"/>
        <v>19969</v>
      </c>
      <c r="M35" s="3">
        <f t="shared" si="2"/>
        <v>0</v>
      </c>
      <c r="N35" s="3">
        <f t="shared" si="1"/>
        <v>2810162</v>
      </c>
    </row>
    <row r="36" spans="1:15" x14ac:dyDescent="0.15">
      <c r="A36" s="1">
        <v>2004</v>
      </c>
      <c r="B36" s="3">
        <v>2864937</v>
      </c>
      <c r="C36" s="3">
        <v>0</v>
      </c>
      <c r="D36" s="3">
        <v>0</v>
      </c>
      <c r="E36" s="3">
        <v>0</v>
      </c>
      <c r="F36" s="3">
        <v>0</v>
      </c>
      <c r="G36" s="3">
        <v>0</v>
      </c>
      <c r="H36" s="3">
        <v>0</v>
      </c>
      <c r="I36" s="3">
        <v>0</v>
      </c>
      <c r="J36" s="3">
        <v>0</v>
      </c>
      <c r="K36" s="3">
        <v>2864937</v>
      </c>
      <c r="L36" s="3">
        <v>0</v>
      </c>
      <c r="M36" s="3">
        <v>0</v>
      </c>
      <c r="N36" s="3">
        <v>2864937</v>
      </c>
    </row>
    <row r="37" spans="1:15" x14ac:dyDescent="0.15">
      <c r="A37" s="1">
        <v>2005</v>
      </c>
      <c r="B37" s="3">
        <v>2847100</v>
      </c>
      <c r="C37" s="3">
        <v>0</v>
      </c>
      <c r="D37" s="3">
        <v>0</v>
      </c>
      <c r="E37" s="3">
        <v>107000</v>
      </c>
      <c r="F37" s="3">
        <v>0</v>
      </c>
      <c r="G37" s="3">
        <v>16925</v>
      </c>
      <c r="H37" s="3">
        <v>0</v>
      </c>
      <c r="I37" s="3">
        <v>0</v>
      </c>
      <c r="J37" s="3">
        <v>0</v>
      </c>
      <c r="K37" s="3">
        <v>2954100</v>
      </c>
      <c r="L37" s="3">
        <v>0</v>
      </c>
      <c r="M37" s="3">
        <v>16925</v>
      </c>
      <c r="N37" s="3">
        <v>2971025</v>
      </c>
    </row>
    <row r="38" spans="1:15" x14ac:dyDescent="0.15">
      <c r="A38" s="1">
        <v>2006</v>
      </c>
      <c r="B38" s="3">
        <v>2798372</v>
      </c>
      <c r="C38" s="3">
        <v>9800</v>
      </c>
      <c r="D38" s="3">
        <v>0</v>
      </c>
      <c r="E38" s="3">
        <v>0</v>
      </c>
      <c r="F38" s="3">
        <v>0</v>
      </c>
      <c r="G38" s="3">
        <v>0</v>
      </c>
      <c r="H38" s="3">
        <v>0</v>
      </c>
      <c r="I38" s="3">
        <v>0</v>
      </c>
      <c r="J38" s="3">
        <v>0</v>
      </c>
      <c r="K38" s="3">
        <v>2798372</v>
      </c>
      <c r="L38" s="3">
        <v>9800</v>
      </c>
      <c r="M38" s="3">
        <v>0</v>
      </c>
      <c r="N38" s="3">
        <v>2808172</v>
      </c>
    </row>
    <row r="39" spans="1:15" x14ac:dyDescent="0.15">
      <c r="A39" s="1">
        <v>2007</v>
      </c>
      <c r="B39" s="3">
        <v>2855382</v>
      </c>
      <c r="C39" s="3">
        <v>0</v>
      </c>
      <c r="D39" s="3">
        <v>0</v>
      </c>
      <c r="E39" s="3">
        <v>10375523</v>
      </c>
      <c r="F39" s="3">
        <v>10212</v>
      </c>
      <c r="G39" s="3">
        <v>0</v>
      </c>
      <c r="H39" s="3">
        <v>0</v>
      </c>
      <c r="I39" s="3">
        <v>0</v>
      </c>
      <c r="J39" s="3">
        <v>0</v>
      </c>
      <c r="K39" s="3">
        <v>13230905</v>
      </c>
      <c r="L39" s="3">
        <v>10212</v>
      </c>
      <c r="M39" s="3">
        <v>0</v>
      </c>
      <c r="N39" s="3">
        <v>13241117</v>
      </c>
      <c r="O39" s="1" t="s">
        <v>257</v>
      </c>
    </row>
    <row r="40" spans="1:15" x14ac:dyDescent="0.15">
      <c r="A40" s="1">
        <v>2008</v>
      </c>
      <c r="B40" s="3">
        <v>3488700</v>
      </c>
      <c r="C40" s="3">
        <v>0</v>
      </c>
      <c r="D40" s="3">
        <v>0</v>
      </c>
      <c r="E40" s="3">
        <v>8671480</v>
      </c>
      <c r="F40" s="3">
        <v>44006</v>
      </c>
      <c r="G40" s="3">
        <v>0</v>
      </c>
      <c r="H40" s="3">
        <v>18500</v>
      </c>
      <c r="I40" s="3">
        <v>0</v>
      </c>
      <c r="J40" s="3">
        <v>0</v>
      </c>
      <c r="K40" s="3">
        <v>12178680</v>
      </c>
      <c r="L40" s="3">
        <v>44006</v>
      </c>
      <c r="M40" s="3">
        <v>0</v>
      </c>
      <c r="N40" s="3">
        <v>12222686</v>
      </c>
    </row>
    <row r="41" spans="1:15" x14ac:dyDescent="0.15">
      <c r="A41" s="1">
        <v>2009</v>
      </c>
      <c r="B41" s="3">
        <v>3466888</v>
      </c>
      <c r="C41" s="3">
        <v>0</v>
      </c>
      <c r="D41" s="3">
        <v>0</v>
      </c>
      <c r="E41" s="3">
        <v>17120169</v>
      </c>
      <c r="F41" s="3">
        <v>37954</v>
      </c>
      <c r="G41" s="3">
        <v>0</v>
      </c>
      <c r="H41" s="3">
        <v>207823</v>
      </c>
      <c r="I41" s="3">
        <v>0</v>
      </c>
      <c r="J41" s="3">
        <v>0</v>
      </c>
      <c r="K41" s="3">
        <v>20794880</v>
      </c>
      <c r="L41" s="3">
        <v>37954</v>
      </c>
      <c r="M41" s="3">
        <v>0</v>
      </c>
      <c r="N41" s="3">
        <v>20832834</v>
      </c>
    </row>
    <row r="42" spans="1:15" x14ac:dyDescent="0.15">
      <c r="A42" s="1">
        <v>2010</v>
      </c>
      <c r="B42" s="3">
        <v>3512952</v>
      </c>
      <c r="C42" s="3">
        <v>0</v>
      </c>
      <c r="D42" s="3">
        <v>0</v>
      </c>
      <c r="E42" s="3">
        <v>14648423</v>
      </c>
      <c r="F42" s="3">
        <v>9909</v>
      </c>
      <c r="G42" s="3">
        <v>0</v>
      </c>
      <c r="H42" s="3">
        <v>267201</v>
      </c>
      <c r="I42" s="3">
        <v>0</v>
      </c>
      <c r="J42" s="3">
        <v>0</v>
      </c>
      <c r="K42" s="3">
        <v>18428576</v>
      </c>
      <c r="L42" s="3">
        <v>9909</v>
      </c>
      <c r="M42" s="3">
        <v>0</v>
      </c>
      <c r="N42" s="3">
        <v>18438485</v>
      </c>
    </row>
    <row r="43" spans="1:15" x14ac:dyDescent="0.15">
      <c r="A43" s="1">
        <v>2011</v>
      </c>
      <c r="B43" s="3">
        <v>3662741</v>
      </c>
      <c r="C43" s="3">
        <v>0</v>
      </c>
      <c r="D43" s="3">
        <v>0</v>
      </c>
      <c r="E43" s="3">
        <v>16219091</v>
      </c>
      <c r="F43" s="3">
        <v>11027</v>
      </c>
      <c r="G43" s="3">
        <v>0</v>
      </c>
      <c r="H43" s="3">
        <v>49688</v>
      </c>
      <c r="I43" s="3">
        <v>0</v>
      </c>
      <c r="J43" s="3">
        <v>0</v>
      </c>
      <c r="K43" s="3">
        <v>19931520</v>
      </c>
      <c r="L43" s="3">
        <v>11027</v>
      </c>
      <c r="M43" s="3">
        <v>0</v>
      </c>
      <c r="N43" s="3">
        <v>19942547</v>
      </c>
    </row>
    <row r="44" spans="1:15" x14ac:dyDescent="0.15">
      <c r="A44" s="1">
        <v>2012</v>
      </c>
      <c r="B44" s="3">
        <v>2319520</v>
      </c>
      <c r="C44" s="3">
        <v>0</v>
      </c>
      <c r="D44" s="3">
        <v>0</v>
      </c>
      <c r="E44" s="3">
        <v>13538361</v>
      </c>
      <c r="F44" s="3">
        <v>7214</v>
      </c>
      <c r="G44" s="3">
        <v>0</v>
      </c>
      <c r="H44" s="3">
        <v>0</v>
      </c>
      <c r="I44" s="3">
        <v>0</v>
      </c>
      <c r="J44" s="3">
        <v>0</v>
      </c>
      <c r="K44" s="3">
        <v>15857881</v>
      </c>
      <c r="L44" s="3">
        <v>7214</v>
      </c>
      <c r="M44" s="3">
        <v>0</v>
      </c>
      <c r="N44" s="3">
        <v>15865095</v>
      </c>
    </row>
    <row r="45" spans="1:15" x14ac:dyDescent="0.15">
      <c r="A45" s="1">
        <v>2013</v>
      </c>
      <c r="B45" s="3">
        <v>2319500</v>
      </c>
      <c r="C45" s="3">
        <v>0</v>
      </c>
      <c r="D45" s="3">
        <v>0</v>
      </c>
      <c r="E45" s="3">
        <v>19108842</v>
      </c>
      <c r="F45" s="3">
        <v>7571</v>
      </c>
      <c r="G45" s="3">
        <v>0</v>
      </c>
      <c r="H45" s="3">
        <v>0</v>
      </c>
      <c r="I45" s="3">
        <v>0</v>
      </c>
      <c r="J45" s="3">
        <v>0</v>
      </c>
      <c r="K45" s="3">
        <v>21428342</v>
      </c>
      <c r="L45" s="3">
        <v>7571</v>
      </c>
      <c r="M45" s="3">
        <v>0</v>
      </c>
      <c r="N45" s="3">
        <v>21435913</v>
      </c>
    </row>
    <row r="46" spans="1:15" x14ac:dyDescent="0.15">
      <c r="A46" s="1">
        <v>2014</v>
      </c>
      <c r="B46" s="3">
        <v>2319500</v>
      </c>
      <c r="C46" s="3">
        <v>0</v>
      </c>
      <c r="D46" s="3">
        <v>0</v>
      </c>
      <c r="E46" s="3">
        <v>19027433</v>
      </c>
      <c r="F46" s="3">
        <v>34222</v>
      </c>
      <c r="G46" s="3">
        <v>0</v>
      </c>
      <c r="H46" s="3">
        <v>0</v>
      </c>
      <c r="I46" s="3">
        <v>0</v>
      </c>
      <c r="J46" s="3">
        <v>0</v>
      </c>
      <c r="K46" s="3">
        <v>21346933</v>
      </c>
      <c r="L46" s="3">
        <v>34222</v>
      </c>
      <c r="M46" s="3">
        <v>0</v>
      </c>
      <c r="N46" s="3">
        <v>21381155</v>
      </c>
    </row>
    <row r="47" spans="1:15" x14ac:dyDescent="0.15">
      <c r="A47" s="1">
        <v>2015</v>
      </c>
      <c r="B47" s="3">
        <v>2319500</v>
      </c>
      <c r="C47" s="3">
        <v>0</v>
      </c>
      <c r="D47" s="3">
        <v>0</v>
      </c>
      <c r="E47" s="3">
        <v>20678538</v>
      </c>
      <c r="F47" s="3">
        <v>0</v>
      </c>
      <c r="G47" s="3">
        <v>0</v>
      </c>
      <c r="H47" s="3">
        <v>0</v>
      </c>
      <c r="I47" s="3">
        <v>0</v>
      </c>
      <c r="J47" s="3">
        <v>0</v>
      </c>
      <c r="K47" s="3">
        <v>22998038</v>
      </c>
      <c r="L47" s="3">
        <v>0</v>
      </c>
      <c r="M47" s="3">
        <v>0</v>
      </c>
      <c r="N47" s="3">
        <v>22998038</v>
      </c>
    </row>
    <row r="48" spans="1:15" x14ac:dyDescent="0.15">
      <c r="A48" s="1">
        <v>2016</v>
      </c>
      <c r="B48" s="3">
        <v>2319500</v>
      </c>
      <c r="C48" s="3">
        <v>0</v>
      </c>
      <c r="D48" s="3">
        <v>0</v>
      </c>
      <c r="E48" s="3">
        <v>20284639</v>
      </c>
      <c r="F48" s="3">
        <v>0</v>
      </c>
      <c r="G48" s="3">
        <v>0</v>
      </c>
      <c r="H48" s="3">
        <v>0</v>
      </c>
      <c r="I48" s="3">
        <v>0</v>
      </c>
      <c r="J48" s="3">
        <v>0</v>
      </c>
      <c r="K48" s="3">
        <v>22604139</v>
      </c>
      <c r="L48" s="3">
        <v>0</v>
      </c>
      <c r="M48" s="3">
        <v>0</v>
      </c>
      <c r="N48" s="3">
        <v>22604139</v>
      </c>
    </row>
  </sheetData>
  <phoneticPr fontId="0" type="noConversion"/>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52</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269000</v>
      </c>
      <c r="C9" s="3">
        <v>0</v>
      </c>
      <c r="D9" s="3">
        <v>0</v>
      </c>
      <c r="E9" s="3">
        <v>0</v>
      </c>
      <c r="F9" s="3">
        <v>0</v>
      </c>
      <c r="G9" s="3">
        <v>0</v>
      </c>
      <c r="H9" s="3">
        <v>0</v>
      </c>
      <c r="I9" s="3">
        <v>0</v>
      </c>
      <c r="J9" s="3">
        <v>0</v>
      </c>
      <c r="K9" s="3">
        <f t="shared" si="0"/>
        <v>269000</v>
      </c>
      <c r="L9" s="3">
        <f t="shared" si="0"/>
        <v>0</v>
      </c>
      <c r="M9" s="3">
        <f t="shared" si="0"/>
        <v>0</v>
      </c>
      <c r="N9" s="3">
        <f t="shared" si="1"/>
        <v>269000</v>
      </c>
      <c r="O9" s="1" t="s">
        <v>109</v>
      </c>
    </row>
    <row r="10" spans="1:15" x14ac:dyDescent="0.15">
      <c r="A10" s="1">
        <v>1978</v>
      </c>
      <c r="B10" s="3">
        <v>372000</v>
      </c>
      <c r="C10" s="3">
        <v>0</v>
      </c>
      <c r="D10" s="3">
        <v>0</v>
      </c>
      <c r="E10" s="3">
        <v>0</v>
      </c>
      <c r="F10" s="3">
        <v>0</v>
      </c>
      <c r="G10" s="3">
        <v>0</v>
      </c>
      <c r="H10" s="3">
        <v>0</v>
      </c>
      <c r="I10" s="3">
        <v>0</v>
      </c>
      <c r="J10" s="3">
        <v>0</v>
      </c>
      <c r="K10" s="3">
        <f t="shared" si="0"/>
        <v>372000</v>
      </c>
      <c r="L10" s="3">
        <f t="shared" si="0"/>
        <v>0</v>
      </c>
      <c r="M10" s="3">
        <f t="shared" si="0"/>
        <v>0</v>
      </c>
      <c r="N10" s="3">
        <f t="shared" si="1"/>
        <v>372000</v>
      </c>
    </row>
    <row r="11" spans="1:15" x14ac:dyDescent="0.15">
      <c r="A11" s="1">
        <v>1979</v>
      </c>
      <c r="B11" s="3">
        <v>450000</v>
      </c>
      <c r="C11" s="3">
        <v>0</v>
      </c>
      <c r="D11" s="3">
        <v>0</v>
      </c>
      <c r="E11" s="3">
        <v>0</v>
      </c>
      <c r="F11" s="3">
        <v>0</v>
      </c>
      <c r="G11" s="3">
        <v>0</v>
      </c>
      <c r="H11" s="3">
        <v>0</v>
      </c>
      <c r="I11" s="3">
        <v>0</v>
      </c>
      <c r="J11" s="3">
        <v>0</v>
      </c>
      <c r="K11" s="3">
        <f t="shared" si="0"/>
        <v>450000</v>
      </c>
      <c r="L11" s="3">
        <f t="shared" si="0"/>
        <v>0</v>
      </c>
      <c r="M11" s="3">
        <f t="shared" si="0"/>
        <v>0</v>
      </c>
      <c r="N11" s="3">
        <f t="shared" si="1"/>
        <v>450000</v>
      </c>
    </row>
    <row r="12" spans="1:15" x14ac:dyDescent="0.15">
      <c r="A12" s="1">
        <v>1980</v>
      </c>
      <c r="B12" s="3">
        <v>526000</v>
      </c>
      <c r="C12" s="3">
        <v>0</v>
      </c>
      <c r="D12" s="3">
        <v>0</v>
      </c>
      <c r="E12" s="3">
        <v>0</v>
      </c>
      <c r="F12" s="3">
        <v>0</v>
      </c>
      <c r="G12" s="3">
        <v>0</v>
      </c>
      <c r="H12" s="3">
        <v>0</v>
      </c>
      <c r="I12" s="3">
        <v>0</v>
      </c>
      <c r="J12" s="3">
        <v>0</v>
      </c>
      <c r="K12" s="3">
        <f t="shared" si="0"/>
        <v>526000</v>
      </c>
      <c r="L12" s="3">
        <f t="shared" si="0"/>
        <v>0</v>
      </c>
      <c r="M12" s="3">
        <f t="shared" si="0"/>
        <v>0</v>
      </c>
      <c r="N12" s="3">
        <f t="shared" si="1"/>
        <v>526000</v>
      </c>
    </row>
    <row r="13" spans="1:15" x14ac:dyDescent="0.15">
      <c r="A13" s="1">
        <v>1981</v>
      </c>
      <c r="B13" s="3">
        <v>548000</v>
      </c>
      <c r="C13" s="3">
        <v>0</v>
      </c>
      <c r="D13" s="3">
        <v>0</v>
      </c>
      <c r="E13" s="3">
        <v>47000</v>
      </c>
      <c r="F13" s="3">
        <v>0</v>
      </c>
      <c r="G13" s="3">
        <v>0</v>
      </c>
      <c r="H13" s="3">
        <v>0</v>
      </c>
      <c r="I13" s="3">
        <v>0</v>
      </c>
      <c r="J13" s="3">
        <v>0</v>
      </c>
      <c r="K13" s="3">
        <f t="shared" si="0"/>
        <v>595000</v>
      </c>
      <c r="L13" s="3">
        <f t="shared" si="0"/>
        <v>0</v>
      </c>
      <c r="M13" s="3">
        <f t="shared" si="0"/>
        <v>0</v>
      </c>
      <c r="N13" s="3">
        <f t="shared" si="1"/>
        <v>595000</v>
      </c>
    </row>
    <row r="14" spans="1:15" x14ac:dyDescent="0.15">
      <c r="A14" s="1">
        <v>1982</v>
      </c>
      <c r="B14" s="3">
        <v>543000</v>
      </c>
      <c r="C14" s="3">
        <v>0</v>
      </c>
      <c r="D14" s="3">
        <v>0</v>
      </c>
      <c r="E14" s="3">
        <v>49000</v>
      </c>
      <c r="F14" s="3">
        <v>0</v>
      </c>
      <c r="G14" s="3">
        <v>0</v>
      </c>
      <c r="H14" s="3">
        <v>3000</v>
      </c>
      <c r="I14" s="3">
        <v>0</v>
      </c>
      <c r="J14" s="3">
        <v>0</v>
      </c>
      <c r="K14" s="3">
        <f t="shared" si="0"/>
        <v>595000</v>
      </c>
      <c r="L14" s="3">
        <f t="shared" si="0"/>
        <v>0</v>
      </c>
      <c r="M14" s="3">
        <f t="shared" si="0"/>
        <v>0</v>
      </c>
      <c r="N14" s="3">
        <f t="shared" si="1"/>
        <v>595000</v>
      </c>
    </row>
    <row r="15" spans="1:15" x14ac:dyDescent="0.15">
      <c r="A15" s="1">
        <v>1983</v>
      </c>
      <c r="B15" s="3">
        <v>532000</v>
      </c>
      <c r="C15" s="3">
        <v>0</v>
      </c>
      <c r="D15" s="3">
        <v>0</v>
      </c>
      <c r="E15" s="3">
        <v>47000</v>
      </c>
      <c r="F15" s="3">
        <v>0</v>
      </c>
      <c r="G15" s="3">
        <v>0</v>
      </c>
      <c r="H15" s="3">
        <v>3000</v>
      </c>
      <c r="I15" s="3">
        <v>0</v>
      </c>
      <c r="J15" s="3">
        <v>0</v>
      </c>
      <c r="K15" s="3">
        <f t="shared" si="0"/>
        <v>582000</v>
      </c>
      <c r="L15" s="3">
        <f t="shared" si="0"/>
        <v>0</v>
      </c>
      <c r="M15" s="3">
        <f t="shared" si="0"/>
        <v>0</v>
      </c>
      <c r="N15" s="3">
        <f t="shared" si="1"/>
        <v>582000</v>
      </c>
    </row>
    <row r="16" spans="1:15" x14ac:dyDescent="0.15">
      <c r="A16" s="1">
        <v>1984</v>
      </c>
      <c r="B16" s="3">
        <v>484000</v>
      </c>
      <c r="C16" s="3">
        <v>0</v>
      </c>
      <c r="D16" s="3">
        <v>0</v>
      </c>
      <c r="E16" s="3">
        <v>45000</v>
      </c>
      <c r="F16" s="3">
        <v>2000</v>
      </c>
      <c r="G16" s="3">
        <v>0</v>
      </c>
      <c r="H16" s="3">
        <v>3000</v>
      </c>
      <c r="I16" s="3">
        <v>429000</v>
      </c>
      <c r="J16" s="3">
        <v>0</v>
      </c>
      <c r="K16" s="3">
        <f t="shared" si="0"/>
        <v>532000</v>
      </c>
      <c r="L16" s="3">
        <f t="shared" si="0"/>
        <v>431000</v>
      </c>
      <c r="M16" s="3">
        <f t="shared" si="0"/>
        <v>0</v>
      </c>
      <c r="N16" s="3">
        <f t="shared" si="1"/>
        <v>963000</v>
      </c>
      <c r="O16" s="1" t="s">
        <v>158</v>
      </c>
    </row>
    <row r="17" spans="1:14" x14ac:dyDescent="0.15">
      <c r="A17" s="1">
        <v>1985</v>
      </c>
      <c r="B17" s="3">
        <v>540000</v>
      </c>
      <c r="C17" s="3">
        <v>0</v>
      </c>
      <c r="D17" s="3">
        <v>0</v>
      </c>
      <c r="E17" s="3">
        <v>53000</v>
      </c>
      <c r="F17" s="3">
        <v>3000</v>
      </c>
      <c r="G17" s="3">
        <v>0</v>
      </c>
      <c r="H17" s="3">
        <v>3000</v>
      </c>
      <c r="I17" s="3">
        <v>439000</v>
      </c>
      <c r="J17" s="3">
        <v>0</v>
      </c>
      <c r="K17" s="3">
        <f t="shared" si="0"/>
        <v>596000</v>
      </c>
      <c r="L17" s="3">
        <f t="shared" si="0"/>
        <v>442000</v>
      </c>
      <c r="M17" s="3">
        <f t="shared" si="0"/>
        <v>0</v>
      </c>
      <c r="N17" s="3">
        <f t="shared" si="1"/>
        <v>1038000</v>
      </c>
    </row>
    <row r="18" spans="1:14" x14ac:dyDescent="0.15">
      <c r="A18" s="1">
        <v>1986</v>
      </c>
      <c r="B18" s="3">
        <v>617000</v>
      </c>
      <c r="C18" s="3">
        <v>0</v>
      </c>
      <c r="D18" s="3">
        <v>0</v>
      </c>
      <c r="E18" s="3">
        <v>49000</v>
      </c>
      <c r="F18" s="3">
        <v>3000</v>
      </c>
      <c r="G18" s="3">
        <v>0</v>
      </c>
      <c r="H18" s="3">
        <v>3000</v>
      </c>
      <c r="I18" s="3">
        <v>620000</v>
      </c>
      <c r="J18" s="3">
        <v>0</v>
      </c>
      <c r="K18" s="3">
        <f t="shared" si="0"/>
        <v>669000</v>
      </c>
      <c r="L18" s="3">
        <f t="shared" si="0"/>
        <v>623000</v>
      </c>
      <c r="M18" s="3">
        <f t="shared" si="0"/>
        <v>0</v>
      </c>
      <c r="N18" s="3">
        <f t="shared" si="1"/>
        <v>1292000</v>
      </c>
    </row>
    <row r="19" spans="1:14" x14ac:dyDescent="0.15">
      <c r="A19" s="1">
        <v>1987</v>
      </c>
      <c r="B19" s="3">
        <v>608000</v>
      </c>
      <c r="C19" s="3">
        <v>0</v>
      </c>
      <c r="D19" s="3">
        <v>0</v>
      </c>
      <c r="E19" s="3">
        <v>48000</v>
      </c>
      <c r="F19" s="3">
        <v>1000</v>
      </c>
      <c r="G19" s="3">
        <v>0</v>
      </c>
      <c r="H19" s="3">
        <v>125000</v>
      </c>
      <c r="I19" s="3">
        <v>0</v>
      </c>
      <c r="J19" s="3">
        <v>0</v>
      </c>
      <c r="K19" s="3">
        <f t="shared" si="0"/>
        <v>781000</v>
      </c>
      <c r="L19" s="3">
        <f t="shared" si="0"/>
        <v>1000</v>
      </c>
      <c r="M19" s="3">
        <f t="shared" si="0"/>
        <v>0</v>
      </c>
      <c r="N19" s="3">
        <f t="shared" si="1"/>
        <v>782000</v>
      </c>
    </row>
    <row r="20" spans="1:14" x14ac:dyDescent="0.15">
      <c r="A20" s="1">
        <v>1988</v>
      </c>
      <c r="B20" s="3">
        <v>800000</v>
      </c>
      <c r="C20" s="3">
        <v>0</v>
      </c>
      <c r="D20" s="3">
        <v>0</v>
      </c>
      <c r="E20" s="3">
        <v>56000</v>
      </c>
      <c r="F20" s="3">
        <v>1000</v>
      </c>
      <c r="G20" s="3">
        <v>0</v>
      </c>
      <c r="H20" s="3">
        <v>134000</v>
      </c>
      <c r="I20" s="3">
        <v>0</v>
      </c>
      <c r="J20" s="3">
        <v>0</v>
      </c>
      <c r="K20" s="3">
        <f t="shared" si="0"/>
        <v>990000</v>
      </c>
      <c r="L20" s="3">
        <f t="shared" si="0"/>
        <v>1000</v>
      </c>
      <c r="M20" s="3">
        <f t="shared" si="0"/>
        <v>0</v>
      </c>
      <c r="N20" s="3">
        <f t="shared" si="1"/>
        <v>991000</v>
      </c>
    </row>
    <row r="21" spans="1:14" x14ac:dyDescent="0.15">
      <c r="A21" s="1">
        <v>1989</v>
      </c>
      <c r="B21" s="3">
        <v>778000</v>
      </c>
      <c r="C21" s="3">
        <v>0</v>
      </c>
      <c r="D21" s="3">
        <v>0</v>
      </c>
      <c r="E21" s="3">
        <v>57000</v>
      </c>
      <c r="F21" s="3">
        <v>1000</v>
      </c>
      <c r="G21" s="3">
        <v>0</v>
      </c>
      <c r="H21" s="3">
        <v>136000</v>
      </c>
      <c r="I21" s="3">
        <v>0</v>
      </c>
      <c r="J21" s="3">
        <v>0</v>
      </c>
      <c r="K21" s="3">
        <f t="shared" si="0"/>
        <v>971000</v>
      </c>
      <c r="L21" s="3">
        <f t="shared" si="0"/>
        <v>1000</v>
      </c>
      <c r="M21" s="3">
        <f t="shared" si="0"/>
        <v>0</v>
      </c>
      <c r="N21" s="3">
        <f t="shared" si="1"/>
        <v>972000</v>
      </c>
    </row>
    <row r="22" spans="1:14" x14ac:dyDescent="0.15">
      <c r="A22" s="1">
        <v>1990</v>
      </c>
      <c r="B22" s="3">
        <v>775000</v>
      </c>
      <c r="C22" s="3">
        <v>0</v>
      </c>
      <c r="D22" s="3">
        <v>0</v>
      </c>
      <c r="E22" s="3">
        <v>147000</v>
      </c>
      <c r="F22" s="3">
        <v>3000</v>
      </c>
      <c r="G22" s="3">
        <v>0</v>
      </c>
      <c r="H22" s="3">
        <v>10000</v>
      </c>
      <c r="I22" s="3">
        <v>0</v>
      </c>
      <c r="J22" s="3">
        <v>0</v>
      </c>
      <c r="K22" s="3">
        <f t="shared" ref="K22:M35" si="2">+B22+E22+H22</f>
        <v>932000</v>
      </c>
      <c r="L22" s="3">
        <f t="shared" si="2"/>
        <v>3000</v>
      </c>
      <c r="M22" s="3">
        <f t="shared" si="2"/>
        <v>0</v>
      </c>
      <c r="N22" s="3">
        <f t="shared" si="1"/>
        <v>935000</v>
      </c>
    </row>
    <row r="23" spans="1:14" x14ac:dyDescent="0.15">
      <c r="A23" s="1">
        <v>1991</v>
      </c>
      <c r="B23" s="3">
        <v>731000</v>
      </c>
      <c r="C23" s="3">
        <v>0</v>
      </c>
      <c r="D23" s="3">
        <v>0</v>
      </c>
      <c r="E23" s="3">
        <v>43000</v>
      </c>
      <c r="F23" s="3">
        <v>1000</v>
      </c>
      <c r="G23" s="3">
        <v>0</v>
      </c>
      <c r="H23" s="3">
        <v>10000</v>
      </c>
      <c r="I23" s="3">
        <v>0</v>
      </c>
      <c r="J23" s="3">
        <v>0</v>
      </c>
      <c r="K23" s="3">
        <f t="shared" si="2"/>
        <v>784000</v>
      </c>
      <c r="L23" s="3">
        <f t="shared" si="2"/>
        <v>1000</v>
      </c>
      <c r="M23" s="3">
        <f t="shared" si="2"/>
        <v>0</v>
      </c>
      <c r="N23" s="3">
        <f t="shared" si="1"/>
        <v>785000</v>
      </c>
    </row>
    <row r="24" spans="1:14" x14ac:dyDescent="0.15">
      <c r="A24" s="1">
        <v>1992</v>
      </c>
      <c r="B24" s="3">
        <v>800000</v>
      </c>
      <c r="C24" s="3">
        <v>0</v>
      </c>
      <c r="D24" s="3">
        <v>0</v>
      </c>
      <c r="E24" s="3">
        <v>39000</v>
      </c>
      <c r="F24" s="3">
        <v>1000</v>
      </c>
      <c r="G24" s="3">
        <v>0</v>
      </c>
      <c r="H24" s="3">
        <v>10000</v>
      </c>
      <c r="I24" s="3">
        <v>0</v>
      </c>
      <c r="J24" s="3">
        <v>0</v>
      </c>
      <c r="K24" s="3">
        <f t="shared" si="2"/>
        <v>849000</v>
      </c>
      <c r="L24" s="3">
        <f t="shared" si="2"/>
        <v>1000</v>
      </c>
      <c r="M24" s="3">
        <f t="shared" si="2"/>
        <v>0</v>
      </c>
      <c r="N24" s="3">
        <f t="shared" si="1"/>
        <v>850000</v>
      </c>
    </row>
    <row r="25" spans="1:14" x14ac:dyDescent="0.15">
      <c r="A25" s="1">
        <v>1993</v>
      </c>
      <c r="B25" s="3">
        <v>1213000</v>
      </c>
      <c r="C25" s="3">
        <v>0</v>
      </c>
      <c r="D25" s="3">
        <v>0</v>
      </c>
      <c r="E25" s="3">
        <v>40000</v>
      </c>
      <c r="F25" s="3">
        <v>0</v>
      </c>
      <c r="G25" s="3">
        <v>0</v>
      </c>
      <c r="H25" s="3">
        <v>10000</v>
      </c>
      <c r="I25" s="3">
        <v>0</v>
      </c>
      <c r="J25" s="3">
        <v>0</v>
      </c>
      <c r="K25" s="3">
        <f t="shared" si="2"/>
        <v>1263000</v>
      </c>
      <c r="L25" s="3">
        <f t="shared" si="2"/>
        <v>0</v>
      </c>
      <c r="M25" s="3">
        <f t="shared" si="2"/>
        <v>0</v>
      </c>
      <c r="N25" s="3">
        <f t="shared" si="1"/>
        <v>1263000</v>
      </c>
    </row>
    <row r="26" spans="1:14" x14ac:dyDescent="0.15">
      <c r="A26" s="1">
        <v>1994</v>
      </c>
      <c r="B26" s="3">
        <v>806000</v>
      </c>
      <c r="C26" s="3">
        <v>0</v>
      </c>
      <c r="D26" s="3">
        <v>0</v>
      </c>
      <c r="E26" s="3">
        <v>34000</v>
      </c>
      <c r="F26" s="3">
        <v>1000</v>
      </c>
      <c r="G26" s="3">
        <v>0</v>
      </c>
      <c r="H26" s="3">
        <v>10000</v>
      </c>
      <c r="I26" s="3">
        <v>0</v>
      </c>
      <c r="J26" s="3">
        <v>0</v>
      </c>
      <c r="K26" s="3">
        <f t="shared" si="2"/>
        <v>850000</v>
      </c>
      <c r="L26" s="3">
        <f t="shared" si="2"/>
        <v>1000</v>
      </c>
      <c r="M26" s="3">
        <f t="shared" si="2"/>
        <v>0</v>
      </c>
      <c r="N26" s="3">
        <f t="shared" si="1"/>
        <v>851000</v>
      </c>
    </row>
    <row r="27" spans="1:14" x14ac:dyDescent="0.15">
      <c r="A27" s="1">
        <v>1995</v>
      </c>
      <c r="B27" s="3">
        <v>809067</v>
      </c>
      <c r="C27" s="3">
        <v>0</v>
      </c>
      <c r="D27" s="3">
        <v>0</v>
      </c>
      <c r="E27" s="3">
        <f>1425000-B27</f>
        <v>615933</v>
      </c>
      <c r="F27" s="3">
        <v>0</v>
      </c>
      <c r="G27" s="3">
        <v>0</v>
      </c>
      <c r="H27" s="3">
        <v>68000</v>
      </c>
      <c r="I27" s="3">
        <v>0</v>
      </c>
      <c r="J27" s="3">
        <v>0</v>
      </c>
      <c r="K27" s="3">
        <f t="shared" si="2"/>
        <v>1493000</v>
      </c>
      <c r="L27" s="3">
        <f t="shared" si="2"/>
        <v>0</v>
      </c>
      <c r="M27" s="3">
        <f t="shared" si="2"/>
        <v>0</v>
      </c>
      <c r="N27" s="3">
        <f t="shared" si="1"/>
        <v>1493000</v>
      </c>
    </row>
    <row r="28" spans="1:14" x14ac:dyDescent="0.15">
      <c r="A28" s="1">
        <v>1996</v>
      </c>
      <c r="B28" s="3">
        <v>765434</v>
      </c>
      <c r="C28" s="3">
        <v>0</v>
      </c>
      <c r="D28" s="3">
        <v>0</v>
      </c>
      <c r="E28" s="3">
        <v>0</v>
      </c>
      <c r="F28" s="3">
        <v>0</v>
      </c>
      <c r="G28" s="3">
        <v>0</v>
      </c>
      <c r="H28" s="3">
        <v>8000</v>
      </c>
      <c r="I28" s="3">
        <v>0</v>
      </c>
      <c r="J28" s="3">
        <v>0</v>
      </c>
      <c r="K28" s="3">
        <f t="shared" si="2"/>
        <v>773434</v>
      </c>
      <c r="L28" s="3">
        <f t="shared" si="2"/>
        <v>0</v>
      </c>
      <c r="M28" s="3">
        <f t="shared" si="2"/>
        <v>0</v>
      </c>
      <c r="N28" s="3">
        <f t="shared" si="1"/>
        <v>773434</v>
      </c>
    </row>
    <row r="29" spans="1:14" x14ac:dyDescent="0.15">
      <c r="A29" s="1">
        <v>1997</v>
      </c>
      <c r="B29" s="3">
        <v>564073</v>
      </c>
      <c r="C29" s="3">
        <v>0</v>
      </c>
      <c r="D29" s="3">
        <v>0</v>
      </c>
      <c r="E29" s="3">
        <f>669000-B29</f>
        <v>104927</v>
      </c>
      <c r="F29" s="3">
        <v>0</v>
      </c>
      <c r="G29" s="3">
        <v>0</v>
      </c>
      <c r="H29" s="3">
        <v>10000</v>
      </c>
      <c r="I29" s="3">
        <v>0</v>
      </c>
      <c r="J29" s="3">
        <v>0</v>
      </c>
      <c r="K29" s="3">
        <f t="shared" si="2"/>
        <v>679000</v>
      </c>
      <c r="L29" s="3">
        <f t="shared" si="2"/>
        <v>0</v>
      </c>
      <c r="M29" s="3">
        <f t="shared" si="2"/>
        <v>0</v>
      </c>
      <c r="N29" s="3">
        <f t="shared" si="1"/>
        <v>679000</v>
      </c>
    </row>
    <row r="30" spans="1:14" x14ac:dyDescent="0.15">
      <c r="A30" s="1">
        <v>1998</v>
      </c>
      <c r="B30" s="3">
        <f>739103+322276+270339</f>
        <v>1331718</v>
      </c>
      <c r="C30" s="3">
        <v>0</v>
      </c>
      <c r="D30" s="3">
        <v>0</v>
      </c>
      <c r="E30" s="3">
        <v>0</v>
      </c>
      <c r="F30" s="3">
        <v>0</v>
      </c>
      <c r="G30" s="3">
        <v>0</v>
      </c>
      <c r="H30" s="3">
        <v>9000</v>
      </c>
      <c r="I30" s="3">
        <v>0</v>
      </c>
      <c r="J30" s="3">
        <v>0</v>
      </c>
      <c r="K30" s="3">
        <f t="shared" si="2"/>
        <v>1340718</v>
      </c>
      <c r="L30" s="3">
        <f t="shared" si="2"/>
        <v>0</v>
      </c>
      <c r="M30" s="3">
        <f t="shared" si="2"/>
        <v>0</v>
      </c>
      <c r="N30" s="3">
        <f t="shared" si="1"/>
        <v>1340718</v>
      </c>
    </row>
    <row r="31" spans="1:14" x14ac:dyDescent="0.15">
      <c r="A31" s="1">
        <v>1999</v>
      </c>
      <c r="B31" s="3">
        <v>1743708</v>
      </c>
      <c r="C31" s="3">
        <v>0</v>
      </c>
      <c r="D31" s="3">
        <v>0</v>
      </c>
      <c r="E31" s="3">
        <v>0</v>
      </c>
      <c r="F31" s="3">
        <v>0</v>
      </c>
      <c r="G31" s="3">
        <v>0</v>
      </c>
      <c r="H31" s="3">
        <v>9000</v>
      </c>
      <c r="I31" s="3">
        <v>0</v>
      </c>
      <c r="J31" s="3">
        <v>0</v>
      </c>
      <c r="K31" s="3">
        <f t="shared" si="2"/>
        <v>1752708</v>
      </c>
      <c r="L31" s="3">
        <f t="shared" si="2"/>
        <v>0</v>
      </c>
      <c r="M31" s="3">
        <f t="shared" si="2"/>
        <v>0</v>
      </c>
      <c r="N31" s="3">
        <f t="shared" si="1"/>
        <v>1752708</v>
      </c>
    </row>
    <row r="32" spans="1:14" x14ac:dyDescent="0.15">
      <c r="A32" s="1">
        <v>2000</v>
      </c>
      <c r="B32" s="3">
        <v>1496894</v>
      </c>
      <c r="C32" s="3">
        <v>0</v>
      </c>
      <c r="D32" s="3">
        <v>0</v>
      </c>
      <c r="E32" s="3">
        <v>0</v>
      </c>
      <c r="F32" s="3">
        <v>0</v>
      </c>
      <c r="G32" s="3">
        <v>0</v>
      </c>
      <c r="H32" s="3">
        <v>9000</v>
      </c>
      <c r="I32" s="3">
        <v>0</v>
      </c>
      <c r="J32" s="3">
        <v>0</v>
      </c>
      <c r="K32" s="3">
        <f t="shared" si="2"/>
        <v>1505894</v>
      </c>
      <c r="L32" s="3">
        <f t="shared" si="2"/>
        <v>0</v>
      </c>
      <c r="M32" s="3">
        <f t="shared" si="2"/>
        <v>0</v>
      </c>
      <c r="N32" s="3">
        <f t="shared" si="1"/>
        <v>1505894</v>
      </c>
    </row>
    <row r="33" spans="1:15" x14ac:dyDescent="0.15">
      <c r="A33" s="1">
        <v>2001</v>
      </c>
      <c r="B33" s="3">
        <f>732005+400817+354993</f>
        <v>1487815</v>
      </c>
      <c r="C33" s="3">
        <v>0</v>
      </c>
      <c r="D33" s="3">
        <v>0</v>
      </c>
      <c r="E33" s="3">
        <v>0</v>
      </c>
      <c r="F33" s="3">
        <v>0</v>
      </c>
      <c r="G33" s="3">
        <v>0</v>
      </c>
      <c r="H33" s="3">
        <v>9000</v>
      </c>
      <c r="I33" s="3">
        <v>0</v>
      </c>
      <c r="J33" s="3">
        <v>0</v>
      </c>
      <c r="K33" s="3">
        <f t="shared" si="2"/>
        <v>1496815</v>
      </c>
      <c r="L33" s="3">
        <f t="shared" si="2"/>
        <v>0</v>
      </c>
      <c r="M33" s="3">
        <f t="shared" si="2"/>
        <v>0</v>
      </c>
      <c r="N33" s="3">
        <f t="shared" si="1"/>
        <v>1496815</v>
      </c>
    </row>
    <row r="34" spans="1:15" x14ac:dyDescent="0.15">
      <c r="A34" s="1">
        <v>2002</v>
      </c>
      <c r="B34" s="3">
        <v>3065881</v>
      </c>
      <c r="C34" s="3">
        <v>0</v>
      </c>
      <c r="D34" s="3">
        <v>0</v>
      </c>
      <c r="E34" s="3">
        <v>0</v>
      </c>
      <c r="F34" s="3">
        <v>0</v>
      </c>
      <c r="G34" s="3">
        <v>0</v>
      </c>
      <c r="H34" s="3">
        <v>9000</v>
      </c>
      <c r="I34" s="3">
        <v>0</v>
      </c>
      <c r="J34" s="3">
        <v>0</v>
      </c>
      <c r="K34" s="3">
        <f t="shared" si="2"/>
        <v>3074881</v>
      </c>
      <c r="L34" s="3">
        <f t="shared" si="2"/>
        <v>0</v>
      </c>
      <c r="M34" s="3">
        <f t="shared" si="2"/>
        <v>0</v>
      </c>
      <c r="N34" s="3">
        <f t="shared" si="1"/>
        <v>3074881</v>
      </c>
    </row>
    <row r="35" spans="1:15" x14ac:dyDescent="0.15">
      <c r="A35" s="1">
        <v>2003</v>
      </c>
      <c r="B35" s="3">
        <v>3170492</v>
      </c>
      <c r="C35" s="3">
        <v>0</v>
      </c>
      <c r="D35" s="3">
        <v>0</v>
      </c>
      <c r="E35" s="3">
        <v>0</v>
      </c>
      <c r="F35" s="3">
        <v>0</v>
      </c>
      <c r="G35" s="3">
        <v>589000</v>
      </c>
      <c r="H35" s="3">
        <v>0</v>
      </c>
      <c r="I35" s="3">
        <v>0</v>
      </c>
      <c r="J35" s="3">
        <v>8500</v>
      </c>
      <c r="K35" s="3">
        <f t="shared" si="2"/>
        <v>3170492</v>
      </c>
      <c r="L35" s="3">
        <f t="shared" si="2"/>
        <v>0</v>
      </c>
      <c r="M35" s="3">
        <f t="shared" si="2"/>
        <v>597500</v>
      </c>
      <c r="N35" s="3">
        <f t="shared" si="1"/>
        <v>3767992</v>
      </c>
    </row>
    <row r="36" spans="1:15" x14ac:dyDescent="0.15">
      <c r="A36" s="1">
        <v>2004</v>
      </c>
      <c r="B36" s="3">
        <v>3146555</v>
      </c>
      <c r="C36" s="3">
        <v>0</v>
      </c>
      <c r="D36" s="3">
        <v>0</v>
      </c>
      <c r="E36" s="3">
        <v>500000</v>
      </c>
      <c r="F36" s="3">
        <v>0</v>
      </c>
      <c r="G36" s="3">
        <v>0</v>
      </c>
      <c r="H36" s="3">
        <v>4000</v>
      </c>
      <c r="I36" s="3">
        <v>2000</v>
      </c>
      <c r="J36" s="3">
        <v>0</v>
      </c>
      <c r="K36" s="3">
        <v>3650555</v>
      </c>
      <c r="L36" s="3">
        <v>2000</v>
      </c>
      <c r="M36" s="3">
        <v>0</v>
      </c>
      <c r="N36" s="3">
        <v>3652555</v>
      </c>
    </row>
    <row r="37" spans="1:15" x14ac:dyDescent="0.15">
      <c r="A37" s="1">
        <v>2005</v>
      </c>
      <c r="B37" s="3">
        <v>3096925</v>
      </c>
      <c r="C37" s="3">
        <v>0</v>
      </c>
      <c r="D37" s="3">
        <v>0</v>
      </c>
      <c r="E37" s="3">
        <v>546000</v>
      </c>
      <c r="F37" s="3">
        <v>0</v>
      </c>
      <c r="G37" s="3">
        <v>0</v>
      </c>
      <c r="H37" s="3">
        <v>5000</v>
      </c>
      <c r="I37" s="3">
        <v>0</v>
      </c>
      <c r="J37" s="3">
        <v>0</v>
      </c>
      <c r="K37" s="3">
        <v>3647925</v>
      </c>
      <c r="L37" s="3">
        <v>0</v>
      </c>
      <c r="M37" s="3">
        <v>0</v>
      </c>
      <c r="N37" s="3">
        <v>3647925</v>
      </c>
    </row>
    <row r="38" spans="1:15" x14ac:dyDescent="0.15">
      <c r="A38" s="1">
        <v>2006</v>
      </c>
      <c r="B38" s="3">
        <v>3198776</v>
      </c>
      <c r="C38" s="3">
        <v>0</v>
      </c>
      <c r="D38" s="3">
        <v>0</v>
      </c>
      <c r="E38" s="3">
        <v>546500</v>
      </c>
      <c r="F38" s="3">
        <v>0</v>
      </c>
      <c r="G38" s="3">
        <v>0</v>
      </c>
      <c r="H38" s="3">
        <v>7500</v>
      </c>
      <c r="I38" s="3">
        <v>0</v>
      </c>
      <c r="J38" s="3">
        <v>0</v>
      </c>
      <c r="K38" s="3">
        <v>3752776</v>
      </c>
      <c r="L38" s="3">
        <v>0</v>
      </c>
      <c r="M38" s="3">
        <v>0</v>
      </c>
      <c r="N38" s="3">
        <v>3752776</v>
      </c>
    </row>
    <row r="39" spans="1:15" x14ac:dyDescent="0.15">
      <c r="A39" s="1">
        <v>2007</v>
      </c>
      <c r="B39" s="3">
        <v>3177928</v>
      </c>
      <c r="C39" s="3">
        <v>0</v>
      </c>
      <c r="D39" s="3">
        <v>0</v>
      </c>
      <c r="E39" s="3">
        <v>540000</v>
      </c>
      <c r="F39" s="3">
        <v>0</v>
      </c>
      <c r="G39" s="3">
        <v>0</v>
      </c>
      <c r="H39" s="3">
        <v>9000</v>
      </c>
      <c r="I39" s="3">
        <v>0</v>
      </c>
      <c r="J39" s="3">
        <v>0</v>
      </c>
      <c r="K39" s="3">
        <v>3726928</v>
      </c>
      <c r="L39" s="3">
        <v>0</v>
      </c>
      <c r="M39" s="3">
        <v>0</v>
      </c>
      <c r="N39" s="3">
        <v>3726928</v>
      </c>
    </row>
    <row r="40" spans="1:15" x14ac:dyDescent="0.15">
      <c r="A40" s="1">
        <v>2008</v>
      </c>
      <c r="B40" s="3">
        <v>3180687</v>
      </c>
      <c r="C40" s="3">
        <v>0</v>
      </c>
      <c r="D40" s="3">
        <v>0</v>
      </c>
      <c r="E40" s="3">
        <v>548000</v>
      </c>
      <c r="F40" s="3">
        <v>0</v>
      </c>
      <c r="G40" s="3">
        <v>0</v>
      </c>
      <c r="H40" s="3">
        <v>3750</v>
      </c>
      <c r="I40" s="3">
        <v>0</v>
      </c>
      <c r="J40" s="3">
        <v>0</v>
      </c>
      <c r="K40" s="3">
        <v>3732437</v>
      </c>
      <c r="L40" s="3">
        <v>0</v>
      </c>
      <c r="M40" s="3">
        <v>0</v>
      </c>
      <c r="N40" s="3">
        <v>3732437</v>
      </c>
    </row>
    <row r="41" spans="1:15" x14ac:dyDescent="0.15">
      <c r="A41" s="1">
        <v>2009</v>
      </c>
      <c r="B41" s="3">
        <v>3146722</v>
      </c>
      <c r="C41" s="3">
        <v>0</v>
      </c>
      <c r="D41" s="3">
        <v>0</v>
      </c>
      <c r="E41" s="3">
        <v>402000</v>
      </c>
      <c r="F41" s="3">
        <v>0</v>
      </c>
      <c r="G41" s="3">
        <v>0</v>
      </c>
      <c r="H41" s="3">
        <v>2500</v>
      </c>
      <c r="I41" s="3">
        <v>0</v>
      </c>
      <c r="J41" s="3">
        <v>0</v>
      </c>
      <c r="K41" s="3">
        <v>3551222</v>
      </c>
      <c r="L41" s="3">
        <v>0</v>
      </c>
      <c r="M41" s="3">
        <v>0</v>
      </c>
      <c r="N41" s="3">
        <v>3551222</v>
      </c>
    </row>
    <row r="42" spans="1:15" x14ac:dyDescent="0.15">
      <c r="A42" s="1">
        <v>2010</v>
      </c>
      <c r="B42" s="3">
        <v>3208727</v>
      </c>
      <c r="C42" s="3">
        <v>0</v>
      </c>
      <c r="D42" s="3">
        <v>0</v>
      </c>
      <c r="E42" s="3">
        <v>540000</v>
      </c>
      <c r="F42" s="3">
        <v>0</v>
      </c>
      <c r="G42" s="3">
        <v>0</v>
      </c>
      <c r="H42" s="3">
        <v>0</v>
      </c>
      <c r="I42" s="3">
        <v>0</v>
      </c>
      <c r="J42" s="3">
        <v>0</v>
      </c>
      <c r="K42" s="3">
        <v>3748727</v>
      </c>
      <c r="L42" s="3">
        <v>0</v>
      </c>
      <c r="M42" s="3">
        <v>0</v>
      </c>
      <c r="N42" s="3">
        <v>3748727</v>
      </c>
    </row>
    <row r="43" spans="1:15" x14ac:dyDescent="0.15">
      <c r="A43" s="1">
        <v>2011</v>
      </c>
      <c r="B43" s="3">
        <v>2966905</v>
      </c>
      <c r="C43" s="3">
        <v>0</v>
      </c>
      <c r="D43" s="3">
        <v>0</v>
      </c>
      <c r="E43" s="3">
        <v>0</v>
      </c>
      <c r="F43" s="3">
        <v>0</v>
      </c>
      <c r="G43" s="3">
        <v>0</v>
      </c>
      <c r="H43" s="3">
        <v>0</v>
      </c>
      <c r="I43" s="3">
        <v>0</v>
      </c>
      <c r="J43" s="3">
        <v>0</v>
      </c>
      <c r="K43" s="3">
        <v>2966905</v>
      </c>
      <c r="L43" s="3">
        <v>0</v>
      </c>
      <c r="M43" s="3">
        <v>0</v>
      </c>
      <c r="N43" s="3">
        <v>2966905</v>
      </c>
    </row>
    <row r="44" spans="1:15" x14ac:dyDescent="0.15">
      <c r="A44" s="1">
        <v>2012</v>
      </c>
      <c r="B44" s="3">
        <v>0</v>
      </c>
      <c r="C44" s="3">
        <v>0</v>
      </c>
      <c r="D44" s="3">
        <v>0</v>
      </c>
      <c r="E44" s="3">
        <v>0</v>
      </c>
      <c r="F44" s="3">
        <v>0</v>
      </c>
      <c r="G44" s="3">
        <v>0</v>
      </c>
      <c r="H44" s="3">
        <v>0</v>
      </c>
      <c r="I44" s="3">
        <v>0</v>
      </c>
      <c r="J44" s="3">
        <v>0</v>
      </c>
      <c r="K44" s="3">
        <v>0</v>
      </c>
      <c r="L44" s="3">
        <v>0</v>
      </c>
      <c r="M44" s="3">
        <v>0</v>
      </c>
      <c r="N44" s="3">
        <v>0</v>
      </c>
      <c r="O44" s="1" t="s">
        <v>291</v>
      </c>
    </row>
    <row r="45" spans="1:15" x14ac:dyDescent="0.15">
      <c r="A45" s="1">
        <v>2013</v>
      </c>
      <c r="B45" s="3">
        <v>0</v>
      </c>
      <c r="C45" s="3">
        <v>0</v>
      </c>
      <c r="D45" s="3">
        <v>0</v>
      </c>
      <c r="E45" s="3">
        <v>0</v>
      </c>
      <c r="F45" s="3">
        <v>0</v>
      </c>
      <c r="G45" s="3">
        <v>0</v>
      </c>
      <c r="H45" s="3">
        <v>0</v>
      </c>
      <c r="I45" s="3">
        <v>0</v>
      </c>
      <c r="J45" s="3">
        <v>0</v>
      </c>
      <c r="K45" s="3">
        <v>0</v>
      </c>
      <c r="L45" s="3">
        <v>0</v>
      </c>
      <c r="M45" s="3">
        <v>0</v>
      </c>
      <c r="N45" s="3">
        <v>0</v>
      </c>
    </row>
    <row r="46" spans="1:15" x14ac:dyDescent="0.15">
      <c r="A46" s="1">
        <v>2014</v>
      </c>
      <c r="B46" s="3">
        <v>0</v>
      </c>
      <c r="C46" s="3">
        <v>0</v>
      </c>
      <c r="D46" s="3">
        <v>0</v>
      </c>
      <c r="E46" s="3">
        <v>0</v>
      </c>
      <c r="F46" s="3">
        <v>0</v>
      </c>
      <c r="G46" s="3">
        <v>0</v>
      </c>
      <c r="H46" s="3">
        <v>0</v>
      </c>
      <c r="I46" s="3">
        <v>0</v>
      </c>
      <c r="J46" s="3">
        <v>0</v>
      </c>
      <c r="K46" s="3">
        <v>0</v>
      </c>
      <c r="L46" s="3">
        <v>0</v>
      </c>
      <c r="M46" s="3">
        <v>0</v>
      </c>
      <c r="N46" s="3">
        <v>0</v>
      </c>
    </row>
    <row r="47" spans="1:15" x14ac:dyDescent="0.15">
      <c r="A47" s="1">
        <v>2015</v>
      </c>
      <c r="B47" s="3">
        <v>0</v>
      </c>
      <c r="C47" s="3">
        <v>0</v>
      </c>
      <c r="D47" s="3">
        <v>0</v>
      </c>
      <c r="E47" s="3">
        <v>0</v>
      </c>
      <c r="F47" s="3">
        <v>0</v>
      </c>
      <c r="G47" s="3">
        <v>0</v>
      </c>
      <c r="H47" s="3">
        <v>0</v>
      </c>
      <c r="I47" s="3">
        <v>0</v>
      </c>
      <c r="J47" s="3">
        <v>10000</v>
      </c>
      <c r="K47" s="3">
        <v>0</v>
      </c>
      <c r="L47" s="3">
        <v>0</v>
      </c>
      <c r="M47" s="3">
        <v>10000</v>
      </c>
      <c r="N47" s="3">
        <v>10000</v>
      </c>
      <c r="O47" s="1" t="s">
        <v>292</v>
      </c>
    </row>
    <row r="48" spans="1:15" x14ac:dyDescent="0.15">
      <c r="A48" s="1">
        <v>2016</v>
      </c>
      <c r="B48" s="3">
        <v>0</v>
      </c>
      <c r="C48" s="3">
        <v>0</v>
      </c>
      <c r="D48" s="3">
        <v>0</v>
      </c>
      <c r="E48" s="3">
        <v>0</v>
      </c>
      <c r="F48" s="3">
        <v>0</v>
      </c>
      <c r="G48" s="3">
        <v>0</v>
      </c>
      <c r="H48" s="3">
        <v>0</v>
      </c>
      <c r="I48" s="3">
        <v>0</v>
      </c>
      <c r="J48" s="3">
        <v>10000</v>
      </c>
      <c r="K48" s="3">
        <v>0</v>
      </c>
      <c r="L48" s="3">
        <v>0</v>
      </c>
      <c r="M48" s="3">
        <v>10000</v>
      </c>
      <c r="N48" s="3">
        <v>10000</v>
      </c>
    </row>
  </sheetData>
  <phoneticPr fontId="0" type="noConversion"/>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875" style="1" customWidth="1"/>
    <col min="3" max="10" width="10.625" style="1"/>
    <col min="11" max="11" width="13.5" style="1" customWidth="1"/>
    <col min="12" max="13" width="10.625" style="1"/>
    <col min="14" max="14" width="11.75" style="1" customWidth="1"/>
    <col min="15" max="16384" width="10.625" style="1"/>
  </cols>
  <sheetData>
    <row r="1" spans="1:15" x14ac:dyDescent="0.15">
      <c r="A1" s="1" t="s">
        <v>53</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11049250</v>
      </c>
      <c r="C6" s="3">
        <v>0</v>
      </c>
      <c r="D6" s="3">
        <v>0</v>
      </c>
      <c r="E6" s="3">
        <f>6511826+1467993+3263769+240080+2824513</f>
        <v>14308181</v>
      </c>
      <c r="F6" s="3">
        <v>0</v>
      </c>
      <c r="G6" s="3">
        <v>0</v>
      </c>
      <c r="H6" s="3">
        <v>0</v>
      </c>
      <c r="I6" s="3">
        <v>0</v>
      </c>
      <c r="J6" s="3">
        <v>0</v>
      </c>
      <c r="K6" s="3">
        <f t="shared" ref="K6:M21" si="0">+B6+E6+H6</f>
        <v>25357431</v>
      </c>
      <c r="L6" s="3">
        <f t="shared" si="0"/>
        <v>0</v>
      </c>
      <c r="M6" s="3">
        <f t="shared" si="0"/>
        <v>0</v>
      </c>
      <c r="N6" s="3">
        <f t="shared" ref="N6:N35" si="1">+M6+L6+K6</f>
        <v>25357431</v>
      </c>
      <c r="O6" s="1" t="s">
        <v>55</v>
      </c>
    </row>
    <row r="7" spans="1:15" x14ac:dyDescent="0.15">
      <c r="A7" s="1">
        <v>1975</v>
      </c>
      <c r="B7" s="3">
        <v>10556000</v>
      </c>
      <c r="C7" s="3">
        <v>0</v>
      </c>
      <c r="D7" s="3">
        <v>0</v>
      </c>
      <c r="E7" s="3">
        <f>6656000+1443000+3068000+212000+2602000</f>
        <v>13981000</v>
      </c>
      <c r="F7" s="3">
        <v>0</v>
      </c>
      <c r="G7" s="3">
        <v>0</v>
      </c>
      <c r="H7" s="3">
        <v>0</v>
      </c>
      <c r="I7" s="3">
        <v>0</v>
      </c>
      <c r="J7" s="3">
        <v>0</v>
      </c>
      <c r="K7" s="3">
        <f t="shared" si="0"/>
        <v>24537000</v>
      </c>
      <c r="L7" s="3">
        <f t="shared" si="0"/>
        <v>0</v>
      </c>
      <c r="M7" s="3">
        <f t="shared" si="0"/>
        <v>0</v>
      </c>
      <c r="N7" s="3">
        <f t="shared" si="1"/>
        <v>24537000</v>
      </c>
      <c r="O7" s="1" t="s">
        <v>91</v>
      </c>
    </row>
    <row r="8" spans="1:15" x14ac:dyDescent="0.15">
      <c r="A8" s="1">
        <v>1976</v>
      </c>
      <c r="B8" s="3">
        <v>10077000</v>
      </c>
      <c r="C8" s="3">
        <v>0</v>
      </c>
      <c r="D8" s="3">
        <v>0</v>
      </c>
      <c r="E8" s="3">
        <f>6592000+1455000+2954000+190000</f>
        <v>11191000</v>
      </c>
      <c r="F8" s="3">
        <v>0</v>
      </c>
      <c r="G8" s="3">
        <v>0</v>
      </c>
      <c r="H8" s="3">
        <v>0</v>
      </c>
      <c r="I8" s="3">
        <v>0</v>
      </c>
      <c r="J8" s="3">
        <v>0</v>
      </c>
      <c r="K8" s="3">
        <f t="shared" si="0"/>
        <v>21268000</v>
      </c>
      <c r="L8" s="3">
        <f t="shared" si="0"/>
        <v>0</v>
      </c>
      <c r="M8" s="3">
        <f t="shared" si="0"/>
        <v>0</v>
      </c>
      <c r="N8" s="3">
        <f t="shared" si="1"/>
        <v>21268000</v>
      </c>
    </row>
    <row r="9" spans="1:15" x14ac:dyDescent="0.15">
      <c r="A9" s="1">
        <v>1977</v>
      </c>
      <c r="B9" s="3">
        <v>10036000</v>
      </c>
      <c r="C9" s="3">
        <v>0</v>
      </c>
      <c r="D9" s="3">
        <v>0</v>
      </c>
      <c r="E9" s="3">
        <f>6669000+2391000+4387000+189000+2025000</f>
        <v>15661000</v>
      </c>
      <c r="F9" s="3">
        <v>0</v>
      </c>
      <c r="G9" s="3">
        <v>0</v>
      </c>
      <c r="H9" s="3">
        <v>0</v>
      </c>
      <c r="I9" s="3">
        <v>0</v>
      </c>
      <c r="J9" s="3">
        <v>0</v>
      </c>
      <c r="K9" s="3">
        <f t="shared" si="0"/>
        <v>25697000</v>
      </c>
      <c r="L9" s="3">
        <f t="shared" si="0"/>
        <v>0</v>
      </c>
      <c r="M9" s="3">
        <f t="shared" si="0"/>
        <v>0</v>
      </c>
      <c r="N9" s="3">
        <f t="shared" si="1"/>
        <v>25697000</v>
      </c>
    </row>
    <row r="10" spans="1:15" x14ac:dyDescent="0.15">
      <c r="A10" s="1">
        <v>1978</v>
      </c>
      <c r="B10" s="3">
        <v>8891000</v>
      </c>
      <c r="C10" s="3">
        <v>0</v>
      </c>
      <c r="D10" s="3">
        <v>0</v>
      </c>
      <c r="E10" s="3">
        <f>7365000+4403000+3028000+171000+2617000</f>
        <v>17584000</v>
      </c>
      <c r="F10" s="3">
        <v>0</v>
      </c>
      <c r="G10" s="3">
        <v>0</v>
      </c>
      <c r="H10" s="3">
        <v>0</v>
      </c>
      <c r="I10" s="3">
        <v>0</v>
      </c>
      <c r="J10" s="3">
        <v>0</v>
      </c>
      <c r="K10" s="3">
        <f t="shared" si="0"/>
        <v>26475000</v>
      </c>
      <c r="L10" s="3">
        <f t="shared" si="0"/>
        <v>0</v>
      </c>
      <c r="M10" s="3">
        <f t="shared" si="0"/>
        <v>0</v>
      </c>
      <c r="N10" s="3">
        <f t="shared" si="1"/>
        <v>26475000</v>
      </c>
      <c r="O10" s="1" t="s">
        <v>110</v>
      </c>
    </row>
    <row r="11" spans="1:15" x14ac:dyDescent="0.15">
      <c r="A11" s="1">
        <v>1979</v>
      </c>
      <c r="B11" s="3">
        <v>21423000</v>
      </c>
      <c r="C11" s="3">
        <v>0</v>
      </c>
      <c r="D11" s="3">
        <v>0</v>
      </c>
      <c r="E11" s="3">
        <f>1431000+6878000+3640000+1243000+435000+87000+1311000</f>
        <v>15025000</v>
      </c>
      <c r="F11" s="3">
        <v>0</v>
      </c>
      <c r="G11" s="3">
        <v>0</v>
      </c>
      <c r="H11" s="3">
        <v>0</v>
      </c>
      <c r="I11" s="3">
        <v>0</v>
      </c>
      <c r="J11" s="3">
        <v>0</v>
      </c>
      <c r="K11" s="3">
        <f t="shared" si="0"/>
        <v>36448000</v>
      </c>
      <c r="L11" s="3">
        <f t="shared" si="0"/>
        <v>0</v>
      </c>
      <c r="M11" s="3">
        <f t="shared" si="0"/>
        <v>0</v>
      </c>
      <c r="N11" s="3">
        <f t="shared" si="1"/>
        <v>36448000</v>
      </c>
      <c r="O11" s="1" t="s">
        <v>117</v>
      </c>
    </row>
    <row r="12" spans="1:15" x14ac:dyDescent="0.15">
      <c r="A12" s="1">
        <v>1980</v>
      </c>
      <c r="B12" s="3">
        <v>28400000</v>
      </c>
      <c r="C12" s="3">
        <v>0</v>
      </c>
      <c r="D12" s="3">
        <v>0</v>
      </c>
      <c r="E12" s="3">
        <f>2041000+6684000+4088000</f>
        <v>12813000</v>
      </c>
      <c r="F12" s="3">
        <v>0</v>
      </c>
      <c r="G12" s="3">
        <v>0</v>
      </c>
      <c r="H12" s="3">
        <v>0</v>
      </c>
      <c r="I12" s="3">
        <v>0</v>
      </c>
      <c r="J12" s="3">
        <v>0</v>
      </c>
      <c r="K12" s="3">
        <f t="shared" si="0"/>
        <v>41213000</v>
      </c>
      <c r="L12" s="3">
        <f t="shared" si="0"/>
        <v>0</v>
      </c>
      <c r="M12" s="3">
        <f t="shared" si="0"/>
        <v>0</v>
      </c>
      <c r="N12" s="3">
        <f t="shared" si="1"/>
        <v>41213000</v>
      </c>
    </row>
    <row r="13" spans="1:15" x14ac:dyDescent="0.15">
      <c r="A13" s="1">
        <v>1981</v>
      </c>
      <c r="B13" s="3">
        <v>29633000</v>
      </c>
      <c r="C13" s="3">
        <v>0</v>
      </c>
      <c r="D13" s="3">
        <v>0</v>
      </c>
      <c r="E13" s="3">
        <f>3439000+8207000+2370000</f>
        <v>14016000</v>
      </c>
      <c r="F13" s="3">
        <v>0</v>
      </c>
      <c r="G13" s="3">
        <v>0</v>
      </c>
      <c r="H13" s="3">
        <v>0</v>
      </c>
      <c r="I13" s="3">
        <v>0</v>
      </c>
      <c r="J13" s="3">
        <v>0</v>
      </c>
      <c r="K13" s="3">
        <f t="shared" si="0"/>
        <v>43649000</v>
      </c>
      <c r="L13" s="3">
        <f t="shared" si="0"/>
        <v>0</v>
      </c>
      <c r="M13" s="3">
        <f t="shared" si="0"/>
        <v>0</v>
      </c>
      <c r="N13" s="3">
        <f t="shared" si="1"/>
        <v>43649000</v>
      </c>
    </row>
    <row r="14" spans="1:15" x14ac:dyDescent="0.15">
      <c r="A14" s="1">
        <v>1982</v>
      </c>
      <c r="B14" s="3">
        <v>29676000</v>
      </c>
      <c r="C14" s="3">
        <v>0</v>
      </c>
      <c r="D14" s="3">
        <v>0</v>
      </c>
      <c r="E14" s="3">
        <f>6142000+3738000+218000</f>
        <v>10098000</v>
      </c>
      <c r="F14" s="3">
        <v>918000</v>
      </c>
      <c r="G14" s="3">
        <v>0</v>
      </c>
      <c r="H14" s="3">
        <v>870000</v>
      </c>
      <c r="I14" s="3">
        <v>324000</v>
      </c>
      <c r="J14" s="3">
        <v>0</v>
      </c>
      <c r="K14" s="3">
        <f t="shared" si="0"/>
        <v>40644000</v>
      </c>
      <c r="L14" s="3">
        <f t="shared" si="0"/>
        <v>1242000</v>
      </c>
      <c r="M14" s="3">
        <f t="shared" si="0"/>
        <v>0</v>
      </c>
      <c r="N14" s="3">
        <f t="shared" si="1"/>
        <v>41886000</v>
      </c>
    </row>
    <row r="15" spans="1:15" x14ac:dyDescent="0.15">
      <c r="A15" s="1">
        <v>1983</v>
      </c>
      <c r="B15" s="3">
        <v>37815000</v>
      </c>
      <c r="C15" s="3">
        <v>0</v>
      </c>
      <c r="D15" s="3">
        <v>0</v>
      </c>
      <c r="E15" s="3">
        <f>5652000+3600000</f>
        <v>9252000</v>
      </c>
      <c r="F15" s="3">
        <v>807000</v>
      </c>
      <c r="G15" s="3">
        <v>0</v>
      </c>
      <c r="H15" s="3">
        <v>744000</v>
      </c>
      <c r="I15" s="3">
        <v>396000</v>
      </c>
      <c r="J15" s="3">
        <v>0</v>
      </c>
      <c r="K15" s="3">
        <f t="shared" si="0"/>
        <v>47811000</v>
      </c>
      <c r="L15" s="3">
        <f t="shared" si="0"/>
        <v>1203000</v>
      </c>
      <c r="M15" s="3">
        <f t="shared" si="0"/>
        <v>0</v>
      </c>
      <c r="N15" s="3">
        <f t="shared" si="1"/>
        <v>49014000</v>
      </c>
    </row>
    <row r="16" spans="1:15" x14ac:dyDescent="0.15">
      <c r="A16" s="1">
        <v>1984</v>
      </c>
      <c r="B16" s="3">
        <v>39667000</v>
      </c>
      <c r="C16" s="3">
        <v>0</v>
      </c>
      <c r="D16" s="3">
        <v>0</v>
      </c>
      <c r="E16" s="3">
        <f>6412000+3600000</f>
        <v>10012000</v>
      </c>
      <c r="F16" s="3">
        <v>600000</v>
      </c>
      <c r="G16" s="3">
        <v>0</v>
      </c>
      <c r="H16" s="3">
        <v>567000</v>
      </c>
      <c r="I16" s="3">
        <v>400000</v>
      </c>
      <c r="J16" s="3">
        <v>0</v>
      </c>
      <c r="K16" s="3">
        <f t="shared" si="0"/>
        <v>50246000</v>
      </c>
      <c r="L16" s="3">
        <f t="shared" si="0"/>
        <v>1000000</v>
      </c>
      <c r="M16" s="3">
        <f t="shared" si="0"/>
        <v>0</v>
      </c>
      <c r="N16" s="3">
        <f t="shared" si="1"/>
        <v>51246000</v>
      </c>
    </row>
    <row r="17" spans="1:15" x14ac:dyDescent="0.15">
      <c r="A17" s="1">
        <v>1985</v>
      </c>
      <c r="B17" s="3">
        <v>45577000</v>
      </c>
      <c r="C17" s="3">
        <v>0</v>
      </c>
      <c r="D17" s="3">
        <v>0</v>
      </c>
      <c r="E17" s="3">
        <f>7575000+3600000</f>
        <v>11175000</v>
      </c>
      <c r="F17" s="3">
        <v>650000</v>
      </c>
      <c r="G17" s="3">
        <v>0</v>
      </c>
      <c r="H17" s="3">
        <v>55000</v>
      </c>
      <c r="I17" s="3">
        <v>400000</v>
      </c>
      <c r="J17" s="3">
        <v>0</v>
      </c>
      <c r="K17" s="3">
        <f t="shared" si="0"/>
        <v>56807000</v>
      </c>
      <c r="L17" s="3">
        <f t="shared" si="0"/>
        <v>1050000</v>
      </c>
      <c r="M17" s="3">
        <f t="shared" si="0"/>
        <v>0</v>
      </c>
      <c r="N17" s="3">
        <f t="shared" si="1"/>
        <v>57857000</v>
      </c>
      <c r="O17" s="1" t="s">
        <v>165</v>
      </c>
    </row>
    <row r="18" spans="1:15" x14ac:dyDescent="0.15">
      <c r="A18" s="1">
        <v>1986</v>
      </c>
      <c r="B18" s="3">
        <v>47685000</v>
      </c>
      <c r="C18" s="3">
        <v>0</v>
      </c>
      <c r="D18" s="3">
        <v>0</v>
      </c>
      <c r="E18" s="3">
        <f>16691000+3600000</f>
        <v>20291000</v>
      </c>
      <c r="F18" s="3">
        <v>630000</v>
      </c>
      <c r="G18" s="3">
        <v>0</v>
      </c>
      <c r="H18" s="3">
        <v>2117000</v>
      </c>
      <c r="I18" s="3">
        <v>400000</v>
      </c>
      <c r="J18" s="3">
        <v>0</v>
      </c>
      <c r="K18" s="3">
        <f t="shared" si="0"/>
        <v>70093000</v>
      </c>
      <c r="L18" s="3">
        <f t="shared" si="0"/>
        <v>1030000</v>
      </c>
      <c r="M18" s="3">
        <f t="shared" si="0"/>
        <v>0</v>
      </c>
      <c r="N18" s="3">
        <f t="shared" si="1"/>
        <v>71123000</v>
      </c>
    </row>
    <row r="19" spans="1:15" x14ac:dyDescent="0.15">
      <c r="A19" s="1">
        <v>1987</v>
      </c>
      <c r="B19" s="3">
        <v>48500000</v>
      </c>
      <c r="C19" s="3">
        <v>0</v>
      </c>
      <c r="D19" s="3">
        <v>0</v>
      </c>
      <c r="E19" s="3">
        <f>13358000+3853000</f>
        <v>17211000</v>
      </c>
      <c r="F19" s="3">
        <v>683000</v>
      </c>
      <c r="G19" s="3">
        <v>0</v>
      </c>
      <c r="H19" s="3">
        <v>1967000</v>
      </c>
      <c r="I19" s="3">
        <v>600000</v>
      </c>
      <c r="J19" s="3">
        <v>0</v>
      </c>
      <c r="K19" s="3">
        <f t="shared" si="0"/>
        <v>67678000</v>
      </c>
      <c r="L19" s="3">
        <f t="shared" si="0"/>
        <v>1283000</v>
      </c>
      <c r="M19" s="3">
        <f t="shared" si="0"/>
        <v>0</v>
      </c>
      <c r="N19" s="3">
        <f t="shared" si="1"/>
        <v>68961000</v>
      </c>
    </row>
    <row r="20" spans="1:15" x14ac:dyDescent="0.15">
      <c r="A20" s="1">
        <v>1988</v>
      </c>
      <c r="B20" s="3">
        <v>53696000</v>
      </c>
      <c r="C20" s="3">
        <v>0</v>
      </c>
      <c r="D20" s="3">
        <v>0</v>
      </c>
      <c r="E20" s="3">
        <f>14825000+3954000</f>
        <v>18779000</v>
      </c>
      <c r="F20" s="3">
        <v>604000</v>
      </c>
      <c r="G20" s="3">
        <v>0</v>
      </c>
      <c r="H20" s="3">
        <v>2963000</v>
      </c>
      <c r="I20" s="3">
        <v>600000</v>
      </c>
      <c r="J20" s="3">
        <v>0</v>
      </c>
      <c r="K20" s="3">
        <f t="shared" si="0"/>
        <v>75438000</v>
      </c>
      <c r="L20" s="3">
        <f t="shared" si="0"/>
        <v>1204000</v>
      </c>
      <c r="M20" s="3">
        <f t="shared" si="0"/>
        <v>0</v>
      </c>
      <c r="N20" s="3">
        <f t="shared" si="1"/>
        <v>76642000</v>
      </c>
    </row>
    <row r="21" spans="1:15" x14ac:dyDescent="0.15">
      <c r="A21" s="1">
        <v>1989</v>
      </c>
      <c r="B21" s="3">
        <v>60200000</v>
      </c>
      <c r="C21" s="3">
        <v>0</v>
      </c>
      <c r="D21" s="3">
        <v>0</v>
      </c>
      <c r="E21" s="3">
        <f>15568000+3954000+500000</f>
        <v>20022000</v>
      </c>
      <c r="F21" s="3">
        <v>575000</v>
      </c>
      <c r="G21" s="3">
        <v>0</v>
      </c>
      <c r="H21" s="3">
        <v>4549000</v>
      </c>
      <c r="I21" s="3">
        <v>600000</v>
      </c>
      <c r="J21" s="3">
        <v>0</v>
      </c>
      <c r="K21" s="3">
        <f t="shared" si="0"/>
        <v>84771000</v>
      </c>
      <c r="L21" s="3">
        <f t="shared" si="0"/>
        <v>1175000</v>
      </c>
      <c r="M21" s="3">
        <f t="shared" si="0"/>
        <v>0</v>
      </c>
      <c r="N21" s="3">
        <f t="shared" si="1"/>
        <v>85946000</v>
      </c>
    </row>
    <row r="22" spans="1:15" x14ac:dyDescent="0.15">
      <c r="A22" s="1">
        <v>1990</v>
      </c>
      <c r="B22" s="3">
        <v>65808000</v>
      </c>
      <c r="C22" s="3">
        <v>0</v>
      </c>
      <c r="D22" s="3">
        <v>0</v>
      </c>
      <c r="E22" s="3">
        <f>14928000+3568000+500000</f>
        <v>18996000</v>
      </c>
      <c r="F22" s="3">
        <v>568000</v>
      </c>
      <c r="G22" s="3">
        <v>0</v>
      </c>
      <c r="H22" s="3">
        <v>5717000</v>
      </c>
      <c r="I22" s="3">
        <v>600000</v>
      </c>
      <c r="J22" s="3">
        <v>0</v>
      </c>
      <c r="K22" s="3">
        <f t="shared" ref="K22:M35" si="2">+B22+E22+H22</f>
        <v>90521000</v>
      </c>
      <c r="L22" s="3">
        <f t="shared" si="2"/>
        <v>1168000</v>
      </c>
      <c r="M22" s="3">
        <f t="shared" si="2"/>
        <v>0</v>
      </c>
      <c r="N22" s="3">
        <f t="shared" si="1"/>
        <v>91689000</v>
      </c>
    </row>
    <row r="23" spans="1:15" x14ac:dyDescent="0.15">
      <c r="A23" s="1">
        <v>1991</v>
      </c>
      <c r="B23" s="3">
        <v>75501000</v>
      </c>
      <c r="C23" s="3">
        <v>0</v>
      </c>
      <c r="D23" s="3">
        <v>0</v>
      </c>
      <c r="E23" s="3">
        <f>14830000+3990000+500000</f>
        <v>19320000</v>
      </c>
      <c r="F23" s="3">
        <v>1013000</v>
      </c>
      <c r="G23" s="3">
        <v>0</v>
      </c>
      <c r="H23" s="3">
        <v>5788000</v>
      </c>
      <c r="I23" s="3">
        <v>458000</v>
      </c>
      <c r="J23" s="3">
        <v>0</v>
      </c>
      <c r="K23" s="3">
        <f t="shared" si="2"/>
        <v>100609000</v>
      </c>
      <c r="L23" s="3">
        <f t="shared" si="2"/>
        <v>1471000</v>
      </c>
      <c r="M23" s="3">
        <f t="shared" si="2"/>
        <v>0</v>
      </c>
      <c r="N23" s="3">
        <f t="shared" si="1"/>
        <v>102080000</v>
      </c>
    </row>
    <row r="24" spans="1:15" x14ac:dyDescent="0.15">
      <c r="A24" s="1">
        <v>1992</v>
      </c>
      <c r="B24" s="3">
        <v>93129000</v>
      </c>
      <c r="C24" s="3">
        <v>0</v>
      </c>
      <c r="D24" s="3">
        <v>0</v>
      </c>
      <c r="E24" s="3">
        <f>15601000+1160000+400000</f>
        <v>17161000</v>
      </c>
      <c r="F24" s="3">
        <v>1472000</v>
      </c>
      <c r="G24" s="3">
        <v>0</v>
      </c>
      <c r="H24" s="3">
        <v>7329000</v>
      </c>
      <c r="I24" s="3">
        <v>295000</v>
      </c>
      <c r="J24" s="3">
        <v>0</v>
      </c>
      <c r="K24" s="3">
        <f t="shared" si="2"/>
        <v>117619000</v>
      </c>
      <c r="L24" s="3">
        <f t="shared" si="2"/>
        <v>1767000</v>
      </c>
      <c r="M24" s="3">
        <f t="shared" si="2"/>
        <v>0</v>
      </c>
      <c r="N24" s="3">
        <f t="shared" si="1"/>
        <v>119386000</v>
      </c>
    </row>
    <row r="25" spans="1:15" x14ac:dyDescent="0.15">
      <c r="A25" s="1">
        <v>1993</v>
      </c>
      <c r="B25" s="3">
        <v>106687000</v>
      </c>
      <c r="C25" s="3">
        <v>0</v>
      </c>
      <c r="D25" s="3">
        <v>0</v>
      </c>
      <c r="E25" s="3">
        <f>11781000+400000</f>
        <v>12181000</v>
      </c>
      <c r="F25" s="3">
        <v>1454000</v>
      </c>
      <c r="G25" s="3">
        <v>0</v>
      </c>
      <c r="H25" s="3">
        <v>8427000</v>
      </c>
      <c r="I25" s="3">
        <v>225000</v>
      </c>
      <c r="J25" s="3">
        <v>0</v>
      </c>
      <c r="K25" s="3">
        <f t="shared" si="2"/>
        <v>127295000</v>
      </c>
      <c r="L25" s="3">
        <f t="shared" si="2"/>
        <v>1679000</v>
      </c>
      <c r="M25" s="3">
        <f t="shared" si="2"/>
        <v>0</v>
      </c>
      <c r="N25" s="3">
        <f t="shared" si="1"/>
        <v>128974000</v>
      </c>
    </row>
    <row r="26" spans="1:15" x14ac:dyDescent="0.15">
      <c r="A26" s="1">
        <v>1994</v>
      </c>
      <c r="B26" s="3">
        <v>123190000</v>
      </c>
      <c r="C26" s="3">
        <v>0</v>
      </c>
      <c r="D26" s="3">
        <v>0</v>
      </c>
      <c r="E26" s="3">
        <f>11661000+400000</f>
        <v>12061000</v>
      </c>
      <c r="F26" s="3">
        <v>1483000</v>
      </c>
      <c r="G26" s="3">
        <v>0</v>
      </c>
      <c r="H26" s="3">
        <v>7942000</v>
      </c>
      <c r="I26" s="3">
        <v>0</v>
      </c>
      <c r="J26" s="3">
        <v>0</v>
      </c>
      <c r="K26" s="3">
        <f t="shared" si="2"/>
        <v>143193000</v>
      </c>
      <c r="L26" s="3">
        <f t="shared" si="2"/>
        <v>1483000</v>
      </c>
      <c r="M26" s="3">
        <f t="shared" si="2"/>
        <v>0</v>
      </c>
      <c r="N26" s="3">
        <f t="shared" si="1"/>
        <v>144676000</v>
      </c>
      <c r="O26" s="1" t="s">
        <v>195</v>
      </c>
    </row>
    <row r="27" spans="1:15" x14ac:dyDescent="0.15">
      <c r="A27" s="1">
        <v>1995</v>
      </c>
      <c r="B27" s="3">
        <v>118359394</v>
      </c>
      <c r="C27" s="3">
        <v>0</v>
      </c>
      <c r="D27" s="3">
        <v>0</v>
      </c>
      <c r="E27" s="3">
        <f>159683000-B27</f>
        <v>41323606</v>
      </c>
      <c r="F27" s="3">
        <v>0</v>
      </c>
      <c r="G27" s="3">
        <v>0</v>
      </c>
      <c r="H27" s="3">
        <v>10141000</v>
      </c>
      <c r="I27" s="3">
        <v>0</v>
      </c>
      <c r="J27" s="3">
        <v>0</v>
      </c>
      <c r="K27" s="3">
        <f t="shared" si="2"/>
        <v>169824000</v>
      </c>
      <c r="L27" s="3">
        <f t="shared" si="2"/>
        <v>0</v>
      </c>
      <c r="M27" s="3">
        <f t="shared" si="2"/>
        <v>0</v>
      </c>
      <c r="N27" s="3">
        <f t="shared" si="1"/>
        <v>169824000</v>
      </c>
      <c r="O27" s="1" t="s">
        <v>201</v>
      </c>
    </row>
    <row r="28" spans="1:15" x14ac:dyDescent="0.15">
      <c r="A28" s="1">
        <v>1996</v>
      </c>
      <c r="B28" s="3">
        <v>131937672</v>
      </c>
      <c r="C28" s="3">
        <v>0</v>
      </c>
      <c r="D28" s="3">
        <v>0</v>
      </c>
      <c r="E28" s="3">
        <f>132383000-B28</f>
        <v>445328</v>
      </c>
      <c r="F28" s="3">
        <v>0</v>
      </c>
      <c r="G28" s="3">
        <v>0</v>
      </c>
      <c r="H28" s="3">
        <v>8815000</v>
      </c>
      <c r="I28" s="3">
        <v>0</v>
      </c>
      <c r="J28" s="3">
        <v>0</v>
      </c>
      <c r="K28" s="3">
        <f t="shared" si="2"/>
        <v>141198000</v>
      </c>
      <c r="L28" s="3">
        <f t="shared" si="2"/>
        <v>0</v>
      </c>
      <c r="M28" s="3">
        <f t="shared" si="2"/>
        <v>0</v>
      </c>
      <c r="N28" s="3">
        <f t="shared" si="1"/>
        <v>141198000</v>
      </c>
    </row>
    <row r="29" spans="1:15" x14ac:dyDescent="0.15">
      <c r="A29" s="1">
        <v>1997</v>
      </c>
      <c r="B29" s="3">
        <v>132260198</v>
      </c>
      <c r="C29" s="3">
        <v>0</v>
      </c>
      <c r="D29" s="3">
        <v>0</v>
      </c>
      <c r="E29" s="3">
        <f>152458000-B29</f>
        <v>20197802</v>
      </c>
      <c r="F29" s="3">
        <v>0</v>
      </c>
      <c r="G29" s="3">
        <v>0</v>
      </c>
      <c r="H29" s="3">
        <v>8575000</v>
      </c>
      <c r="I29" s="3">
        <v>0</v>
      </c>
      <c r="J29" s="3">
        <v>0</v>
      </c>
      <c r="K29" s="3">
        <f t="shared" si="2"/>
        <v>161033000</v>
      </c>
      <c r="L29" s="3">
        <f t="shared" si="2"/>
        <v>0</v>
      </c>
      <c r="M29" s="3">
        <f t="shared" si="2"/>
        <v>0</v>
      </c>
      <c r="N29" s="3">
        <f t="shared" si="1"/>
        <v>161033000</v>
      </c>
      <c r="O29" s="1" t="s">
        <v>215</v>
      </c>
    </row>
    <row r="30" spans="1:15" x14ac:dyDescent="0.15">
      <c r="A30" s="1">
        <v>1998</v>
      </c>
      <c r="B30" s="3">
        <f>85276762+47968179</f>
        <v>133244941</v>
      </c>
      <c r="C30" s="3">
        <v>0</v>
      </c>
      <c r="D30" s="3">
        <v>0</v>
      </c>
      <c r="E30" s="3">
        <f>153416000-B30</f>
        <v>20171059</v>
      </c>
      <c r="F30" s="3">
        <v>0</v>
      </c>
      <c r="G30" s="3">
        <v>0</v>
      </c>
      <c r="H30" s="3">
        <v>7987000</v>
      </c>
      <c r="I30" s="3">
        <v>0</v>
      </c>
      <c r="J30" s="3">
        <v>0</v>
      </c>
      <c r="K30" s="3">
        <f t="shared" si="2"/>
        <v>161403000</v>
      </c>
      <c r="L30" s="3">
        <f t="shared" si="2"/>
        <v>0</v>
      </c>
      <c r="M30" s="3">
        <f t="shared" si="2"/>
        <v>0</v>
      </c>
      <c r="N30" s="3">
        <f t="shared" si="1"/>
        <v>161403000</v>
      </c>
    </row>
    <row r="31" spans="1:15" x14ac:dyDescent="0.15">
      <c r="A31" s="1">
        <v>1999</v>
      </c>
      <c r="B31" s="3">
        <v>140479977</v>
      </c>
      <c r="C31" s="3">
        <v>0</v>
      </c>
      <c r="D31" s="3">
        <v>0</v>
      </c>
      <c r="E31" s="3">
        <f>19951815+427196</f>
        <v>20379011</v>
      </c>
      <c r="F31" s="3">
        <v>0</v>
      </c>
      <c r="G31" s="3">
        <v>0</v>
      </c>
      <c r="H31" s="3">
        <v>15984000</v>
      </c>
      <c r="I31" s="3">
        <v>0</v>
      </c>
      <c r="J31" s="3">
        <v>0</v>
      </c>
      <c r="K31" s="3">
        <f t="shared" si="2"/>
        <v>176842988</v>
      </c>
      <c r="L31" s="3">
        <f t="shared" si="2"/>
        <v>0</v>
      </c>
      <c r="M31" s="3">
        <f t="shared" si="2"/>
        <v>0</v>
      </c>
      <c r="N31" s="3">
        <f t="shared" si="1"/>
        <v>176842988</v>
      </c>
    </row>
    <row r="32" spans="1:15" x14ac:dyDescent="0.15">
      <c r="A32" s="1">
        <v>2000</v>
      </c>
      <c r="B32" s="3">
        <v>150130993</v>
      </c>
      <c r="C32" s="3">
        <v>0</v>
      </c>
      <c r="D32" s="3">
        <v>0</v>
      </c>
      <c r="E32" s="3">
        <f>19425631+458004</f>
        <v>19883635</v>
      </c>
      <c r="F32" s="3">
        <v>0</v>
      </c>
      <c r="G32" s="3">
        <v>0</v>
      </c>
      <c r="H32" s="3">
        <v>19279000</v>
      </c>
      <c r="I32" s="3">
        <v>0</v>
      </c>
      <c r="J32" s="3">
        <v>0</v>
      </c>
      <c r="K32" s="3">
        <f t="shared" si="2"/>
        <v>189293628</v>
      </c>
      <c r="L32" s="3">
        <f t="shared" si="2"/>
        <v>0</v>
      </c>
      <c r="M32" s="3">
        <f t="shared" si="2"/>
        <v>0</v>
      </c>
      <c r="N32" s="3">
        <f t="shared" si="1"/>
        <v>189293628</v>
      </c>
    </row>
    <row r="33" spans="1:14" x14ac:dyDescent="0.15">
      <c r="A33" s="1">
        <v>2001</v>
      </c>
      <c r="B33" s="3">
        <f>94967486+58205878</f>
        <v>153173364</v>
      </c>
      <c r="C33" s="3">
        <v>0</v>
      </c>
      <c r="D33" s="3">
        <v>0</v>
      </c>
      <c r="E33" s="3">
        <f>14865156+6071683+305880+137424</f>
        <v>21380143</v>
      </c>
      <c r="F33" s="3">
        <v>0</v>
      </c>
      <c r="G33" s="3">
        <v>0</v>
      </c>
      <c r="H33" s="3">
        <v>23065000</v>
      </c>
      <c r="I33" s="3">
        <v>0</v>
      </c>
      <c r="J33" s="3">
        <v>0</v>
      </c>
      <c r="K33" s="3">
        <f t="shared" si="2"/>
        <v>197618507</v>
      </c>
      <c r="L33" s="3">
        <f t="shared" si="2"/>
        <v>0</v>
      </c>
      <c r="M33" s="3">
        <f t="shared" si="2"/>
        <v>0</v>
      </c>
      <c r="N33" s="3">
        <f t="shared" si="1"/>
        <v>197618507</v>
      </c>
    </row>
    <row r="34" spans="1:14" x14ac:dyDescent="0.15">
      <c r="A34" s="1">
        <v>2002</v>
      </c>
      <c r="B34" s="3">
        <v>165420266</v>
      </c>
      <c r="C34" s="3">
        <v>0</v>
      </c>
      <c r="D34" s="3">
        <v>0</v>
      </c>
      <c r="E34" s="3">
        <f>21885768+450243</f>
        <v>22336011</v>
      </c>
      <c r="F34" s="3">
        <v>0</v>
      </c>
      <c r="G34" s="3">
        <v>0</v>
      </c>
      <c r="H34" s="3">
        <v>24439000</v>
      </c>
      <c r="I34" s="3">
        <v>0</v>
      </c>
      <c r="J34" s="3">
        <v>0</v>
      </c>
      <c r="K34" s="3">
        <f t="shared" si="2"/>
        <v>212195277</v>
      </c>
      <c r="L34" s="3">
        <f t="shared" si="2"/>
        <v>0</v>
      </c>
      <c r="M34" s="3">
        <f t="shared" si="2"/>
        <v>0</v>
      </c>
      <c r="N34" s="3">
        <f t="shared" si="1"/>
        <v>212195277</v>
      </c>
    </row>
    <row r="35" spans="1:14" x14ac:dyDescent="0.15">
      <c r="A35" s="1">
        <v>2003</v>
      </c>
      <c r="B35" s="3">
        <v>169622189</v>
      </c>
      <c r="C35" s="3">
        <v>0</v>
      </c>
      <c r="D35" s="3">
        <v>0</v>
      </c>
      <c r="E35" s="3">
        <v>22291360</v>
      </c>
      <c r="F35" s="3">
        <v>1415884</v>
      </c>
      <c r="G35" s="3">
        <v>0</v>
      </c>
      <c r="H35" s="3">
        <v>25370977</v>
      </c>
      <c r="I35" s="3">
        <v>0</v>
      </c>
      <c r="J35" s="3">
        <v>22635</v>
      </c>
      <c r="K35" s="3">
        <f t="shared" si="2"/>
        <v>217284526</v>
      </c>
      <c r="L35" s="3">
        <f t="shared" si="2"/>
        <v>1415884</v>
      </c>
      <c r="M35" s="3">
        <f t="shared" si="2"/>
        <v>22635</v>
      </c>
      <c r="N35" s="3">
        <f t="shared" si="1"/>
        <v>218723045</v>
      </c>
    </row>
    <row r="36" spans="1:14" x14ac:dyDescent="0.15">
      <c r="A36" s="1">
        <v>2004</v>
      </c>
      <c r="B36" s="3">
        <v>173139746</v>
      </c>
      <c r="C36" s="3">
        <v>0</v>
      </c>
      <c r="D36" s="3">
        <v>0</v>
      </c>
      <c r="E36" s="3">
        <v>25582007</v>
      </c>
      <c r="F36" s="3">
        <v>699442</v>
      </c>
      <c r="G36" s="3">
        <v>0</v>
      </c>
      <c r="H36" s="3">
        <v>26560436</v>
      </c>
      <c r="I36" s="3">
        <v>778995</v>
      </c>
      <c r="J36" s="3">
        <v>0</v>
      </c>
      <c r="K36" s="3">
        <v>225282189</v>
      </c>
      <c r="L36" s="3">
        <v>1478437</v>
      </c>
      <c r="M36" s="3">
        <v>0</v>
      </c>
      <c r="N36" s="3">
        <v>226760626</v>
      </c>
    </row>
    <row r="37" spans="1:14" x14ac:dyDescent="0.15">
      <c r="A37" s="1">
        <v>2005</v>
      </c>
      <c r="B37" s="3">
        <v>190212481</v>
      </c>
      <c r="C37" s="3">
        <v>0</v>
      </c>
      <c r="D37" s="3">
        <v>0</v>
      </c>
      <c r="E37" s="3">
        <v>27593796</v>
      </c>
      <c r="F37" s="3">
        <v>1254180</v>
      </c>
      <c r="G37" s="3">
        <v>0</v>
      </c>
      <c r="H37" s="3">
        <v>29568135</v>
      </c>
      <c r="I37" s="3">
        <v>0</v>
      </c>
      <c r="J37" s="3">
        <v>0</v>
      </c>
      <c r="K37" s="3">
        <v>247374412</v>
      </c>
      <c r="L37" s="3">
        <v>1254180</v>
      </c>
      <c r="M37" s="3">
        <v>0</v>
      </c>
      <c r="N37" s="3">
        <v>248628592</v>
      </c>
    </row>
    <row r="38" spans="1:14" x14ac:dyDescent="0.15">
      <c r="A38" s="1">
        <v>2006</v>
      </c>
      <c r="B38" s="3">
        <v>194089632</v>
      </c>
      <c r="C38" s="3">
        <v>0</v>
      </c>
      <c r="D38" s="3">
        <v>0</v>
      </c>
      <c r="E38" s="3">
        <v>29451122</v>
      </c>
      <c r="F38" s="3">
        <v>1383657</v>
      </c>
      <c r="G38" s="3">
        <v>0</v>
      </c>
      <c r="H38" s="3">
        <v>32506635</v>
      </c>
      <c r="I38" s="3">
        <v>0</v>
      </c>
      <c r="J38" s="3">
        <v>0</v>
      </c>
      <c r="K38" s="3">
        <v>256047389</v>
      </c>
      <c r="L38" s="3">
        <v>1383657</v>
      </c>
      <c r="M38" s="3">
        <v>0</v>
      </c>
      <c r="N38" s="3">
        <v>257431046</v>
      </c>
    </row>
    <row r="39" spans="1:14" x14ac:dyDescent="0.15">
      <c r="A39" s="1">
        <v>2007</v>
      </c>
      <c r="B39" s="3">
        <v>217906716</v>
      </c>
      <c r="C39" s="3">
        <v>0</v>
      </c>
      <c r="D39" s="3">
        <v>0</v>
      </c>
      <c r="E39" s="3">
        <v>30586420</v>
      </c>
      <c r="F39" s="3">
        <v>1395946</v>
      </c>
      <c r="G39" s="3">
        <v>0</v>
      </c>
      <c r="H39" s="3">
        <v>30726287</v>
      </c>
      <c r="I39" s="3">
        <v>0</v>
      </c>
      <c r="J39" s="3">
        <v>0</v>
      </c>
      <c r="K39" s="3">
        <v>279219423</v>
      </c>
      <c r="L39" s="3">
        <v>1395946</v>
      </c>
      <c r="M39" s="3">
        <v>0</v>
      </c>
      <c r="N39" s="3">
        <v>280615369</v>
      </c>
    </row>
    <row r="40" spans="1:14" x14ac:dyDescent="0.15">
      <c r="A40" s="1">
        <v>2008</v>
      </c>
      <c r="B40" s="3">
        <v>229483646</v>
      </c>
      <c r="C40" s="3">
        <v>0</v>
      </c>
      <c r="D40" s="3">
        <v>0</v>
      </c>
      <c r="E40" s="3">
        <v>33114008</v>
      </c>
      <c r="F40" s="3">
        <v>1386562</v>
      </c>
      <c r="G40" s="3">
        <v>0</v>
      </c>
      <c r="H40" s="3">
        <v>29902484</v>
      </c>
      <c r="I40" s="3">
        <v>0</v>
      </c>
      <c r="J40" s="3">
        <v>0</v>
      </c>
      <c r="K40" s="3">
        <v>292500138</v>
      </c>
      <c r="L40" s="3">
        <v>1386562</v>
      </c>
      <c r="M40" s="3">
        <v>0</v>
      </c>
      <c r="N40" s="3">
        <v>293886700</v>
      </c>
    </row>
    <row r="41" spans="1:14" x14ac:dyDescent="0.15">
      <c r="A41" s="1">
        <v>2009</v>
      </c>
      <c r="B41" s="3">
        <v>255023149</v>
      </c>
      <c r="C41" s="3">
        <v>0</v>
      </c>
      <c r="D41" s="3">
        <v>0</v>
      </c>
      <c r="E41" s="3">
        <v>33935285</v>
      </c>
      <c r="F41" s="3">
        <v>1414600</v>
      </c>
      <c r="G41" s="3">
        <v>0</v>
      </c>
      <c r="H41" s="3">
        <v>30102844</v>
      </c>
      <c r="I41" s="3">
        <v>0</v>
      </c>
      <c r="J41" s="3">
        <v>0</v>
      </c>
      <c r="K41" s="3">
        <v>319061278</v>
      </c>
      <c r="L41" s="3">
        <v>1414600</v>
      </c>
      <c r="M41" s="3">
        <v>0</v>
      </c>
      <c r="N41" s="3">
        <v>320475878</v>
      </c>
    </row>
    <row r="42" spans="1:14" x14ac:dyDescent="0.15">
      <c r="A42" s="1">
        <v>2010</v>
      </c>
      <c r="B42" s="3">
        <v>311182687</v>
      </c>
      <c r="C42" s="3">
        <v>0</v>
      </c>
      <c r="D42" s="3">
        <v>0</v>
      </c>
      <c r="E42" s="3">
        <v>36324915</v>
      </c>
      <c r="F42" s="3">
        <v>1450059</v>
      </c>
      <c r="G42" s="3">
        <v>0</v>
      </c>
      <c r="H42" s="3">
        <v>24638874</v>
      </c>
      <c r="I42" s="3">
        <v>0</v>
      </c>
      <c r="J42" s="3">
        <v>0</v>
      </c>
      <c r="K42" s="3">
        <v>372146476</v>
      </c>
      <c r="L42" s="3">
        <v>1450059</v>
      </c>
      <c r="M42" s="3">
        <v>0</v>
      </c>
      <c r="N42" s="3">
        <v>373596535</v>
      </c>
    </row>
    <row r="43" spans="1:14" x14ac:dyDescent="0.15">
      <c r="A43" s="1">
        <v>2011</v>
      </c>
      <c r="B43" s="3">
        <v>281995208</v>
      </c>
      <c r="C43" s="3">
        <v>0</v>
      </c>
      <c r="D43" s="3">
        <v>0</v>
      </c>
      <c r="E43" s="3">
        <v>32806570</v>
      </c>
      <c r="F43" s="3">
        <v>1165950</v>
      </c>
      <c r="G43" s="3">
        <v>0</v>
      </c>
      <c r="H43" s="3">
        <v>18601835</v>
      </c>
      <c r="I43" s="3">
        <v>100000</v>
      </c>
      <c r="J43" s="3">
        <v>0</v>
      </c>
      <c r="K43" s="3">
        <v>333403613</v>
      </c>
      <c r="L43" s="3">
        <v>1265950</v>
      </c>
      <c r="M43" s="3">
        <v>0</v>
      </c>
      <c r="N43" s="3">
        <v>334669563</v>
      </c>
    </row>
    <row r="44" spans="1:14" x14ac:dyDescent="0.15">
      <c r="A44" s="1">
        <v>2012</v>
      </c>
      <c r="B44" s="3">
        <v>302465270</v>
      </c>
      <c r="C44" s="3">
        <v>0</v>
      </c>
      <c r="D44" s="3">
        <v>0</v>
      </c>
      <c r="E44" s="3">
        <v>34181490</v>
      </c>
      <c r="F44" s="3">
        <v>962296</v>
      </c>
      <c r="G44" s="3">
        <v>0</v>
      </c>
      <c r="H44" s="3">
        <v>13796928</v>
      </c>
      <c r="I44" s="3">
        <v>0</v>
      </c>
      <c r="J44" s="3">
        <v>0</v>
      </c>
      <c r="K44" s="3">
        <v>350443688</v>
      </c>
      <c r="L44" s="3">
        <v>962296</v>
      </c>
      <c r="M44" s="3">
        <v>0</v>
      </c>
      <c r="N44" s="3">
        <v>351405984</v>
      </c>
    </row>
    <row r="45" spans="1:14" x14ac:dyDescent="0.15">
      <c r="A45" s="1">
        <v>2013</v>
      </c>
      <c r="B45" s="3">
        <v>332724424</v>
      </c>
      <c r="C45" s="3">
        <v>0</v>
      </c>
      <c r="D45" s="3">
        <v>0</v>
      </c>
      <c r="E45" s="3">
        <v>32403054</v>
      </c>
      <c r="F45" s="3">
        <v>804344</v>
      </c>
      <c r="G45" s="3">
        <v>0</v>
      </c>
      <c r="H45" s="3">
        <v>10111667</v>
      </c>
      <c r="I45" s="3">
        <v>0</v>
      </c>
      <c r="J45" s="3">
        <v>0</v>
      </c>
      <c r="K45" s="3">
        <v>375239145</v>
      </c>
      <c r="L45" s="3">
        <v>804344</v>
      </c>
      <c r="M45" s="3">
        <v>0</v>
      </c>
      <c r="N45" s="3">
        <v>376043489</v>
      </c>
    </row>
    <row r="46" spans="1:14" x14ac:dyDescent="0.15">
      <c r="A46" s="1">
        <v>2014</v>
      </c>
      <c r="B46" s="3">
        <v>350129514</v>
      </c>
      <c r="C46" s="3">
        <v>0</v>
      </c>
      <c r="D46" s="3">
        <v>0</v>
      </c>
      <c r="E46" s="3">
        <v>34448927</v>
      </c>
      <c r="F46" s="3">
        <v>707275</v>
      </c>
      <c r="G46" s="3">
        <v>0</v>
      </c>
      <c r="H46" s="3">
        <v>7763525</v>
      </c>
      <c r="I46" s="3">
        <v>0</v>
      </c>
      <c r="J46" s="3">
        <v>0</v>
      </c>
      <c r="K46" s="3">
        <v>392341966</v>
      </c>
      <c r="L46" s="3">
        <v>707275</v>
      </c>
      <c r="M46" s="3">
        <v>0</v>
      </c>
      <c r="N46" s="3">
        <v>393049241</v>
      </c>
    </row>
    <row r="47" spans="1:14" x14ac:dyDescent="0.15">
      <c r="A47" s="1">
        <v>2015</v>
      </c>
      <c r="B47" s="3">
        <v>367481213</v>
      </c>
      <c r="C47" s="3">
        <v>0</v>
      </c>
      <c r="D47" s="3">
        <v>0</v>
      </c>
      <c r="E47" s="3">
        <v>35376099</v>
      </c>
      <c r="F47" s="3">
        <v>735347</v>
      </c>
      <c r="G47" s="3">
        <v>0</v>
      </c>
      <c r="H47" s="3">
        <v>7211444</v>
      </c>
      <c r="I47" s="3">
        <v>0</v>
      </c>
      <c r="J47" s="3">
        <v>0</v>
      </c>
      <c r="K47" s="3">
        <v>410068756</v>
      </c>
      <c r="L47" s="3">
        <v>735347</v>
      </c>
      <c r="M47" s="3">
        <v>0</v>
      </c>
      <c r="N47" s="3">
        <v>410804103</v>
      </c>
    </row>
    <row r="48" spans="1:14" x14ac:dyDescent="0.15">
      <c r="A48" s="1">
        <v>2016</v>
      </c>
      <c r="B48" s="3">
        <v>367610158</v>
      </c>
      <c r="C48" s="3">
        <v>0</v>
      </c>
      <c r="D48" s="3">
        <v>0</v>
      </c>
      <c r="E48" s="3">
        <v>34694951</v>
      </c>
      <c r="F48" s="3">
        <v>748593</v>
      </c>
      <c r="G48" s="3">
        <v>0</v>
      </c>
      <c r="H48" s="3">
        <v>7310016</v>
      </c>
      <c r="I48" s="3">
        <v>0</v>
      </c>
      <c r="J48" s="3">
        <v>0</v>
      </c>
      <c r="K48" s="3">
        <v>409615125</v>
      </c>
      <c r="L48" s="3">
        <v>748593</v>
      </c>
      <c r="M48" s="3">
        <v>0</v>
      </c>
      <c r="N48" s="3">
        <v>410363718</v>
      </c>
    </row>
  </sheetData>
  <phoneticPr fontId="0" type="noConversion"/>
  <pageMargins left="0.75" right="0.75" top="1" bottom="1"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0" width="10.625" style="1"/>
    <col min="11" max="11" width="11.125" style="1" customWidth="1"/>
    <col min="12" max="13" width="10.625" style="1"/>
    <col min="14" max="14" width="11.375" style="1" customWidth="1"/>
    <col min="15" max="16384" width="10.625" style="1"/>
  </cols>
  <sheetData>
    <row r="1" spans="1:15" x14ac:dyDescent="0.15">
      <c r="A1" s="1" t="s">
        <v>54</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200000</v>
      </c>
      <c r="C9" s="3">
        <v>0</v>
      </c>
      <c r="D9" s="3">
        <v>0</v>
      </c>
      <c r="E9" s="3">
        <v>0</v>
      </c>
      <c r="F9" s="3">
        <v>0</v>
      </c>
      <c r="G9" s="3">
        <v>0</v>
      </c>
      <c r="H9" s="3">
        <v>0</v>
      </c>
      <c r="I9" s="3">
        <v>0</v>
      </c>
      <c r="J9" s="3">
        <v>0</v>
      </c>
      <c r="K9" s="3">
        <f t="shared" si="0"/>
        <v>200000</v>
      </c>
      <c r="L9" s="3">
        <f t="shared" si="0"/>
        <v>0</v>
      </c>
      <c r="M9" s="3">
        <f t="shared" si="0"/>
        <v>0</v>
      </c>
      <c r="N9" s="3">
        <f t="shared" si="1"/>
        <v>200000</v>
      </c>
      <c r="O9" s="1" t="s">
        <v>106</v>
      </c>
    </row>
    <row r="10" spans="1:15" x14ac:dyDescent="0.15">
      <c r="A10" s="1">
        <v>1978</v>
      </c>
      <c r="B10" s="3">
        <v>546000</v>
      </c>
      <c r="C10" s="3">
        <v>0</v>
      </c>
      <c r="D10" s="3">
        <v>0</v>
      </c>
      <c r="E10" s="3">
        <v>0</v>
      </c>
      <c r="F10" s="3">
        <v>0</v>
      </c>
      <c r="G10" s="3">
        <v>0</v>
      </c>
      <c r="H10" s="3">
        <v>0</v>
      </c>
      <c r="I10" s="3">
        <v>0</v>
      </c>
      <c r="J10" s="3">
        <v>0</v>
      </c>
      <c r="K10" s="3">
        <f t="shared" si="0"/>
        <v>546000</v>
      </c>
      <c r="L10" s="3">
        <f t="shared" si="0"/>
        <v>0</v>
      </c>
      <c r="M10" s="3">
        <f t="shared" si="0"/>
        <v>0</v>
      </c>
      <c r="N10" s="3">
        <f t="shared" si="1"/>
        <v>546000</v>
      </c>
    </row>
    <row r="11" spans="1:15" x14ac:dyDescent="0.15">
      <c r="A11" s="1">
        <v>1979</v>
      </c>
      <c r="B11" s="3">
        <v>533000</v>
      </c>
      <c r="C11" s="3">
        <v>0</v>
      </c>
      <c r="D11" s="3">
        <v>0</v>
      </c>
      <c r="E11" s="3">
        <v>0</v>
      </c>
      <c r="F11" s="3">
        <v>0</v>
      </c>
      <c r="G11" s="3">
        <v>0</v>
      </c>
      <c r="H11" s="3">
        <v>0</v>
      </c>
      <c r="I11" s="3">
        <v>0</v>
      </c>
      <c r="J11" s="3">
        <v>0</v>
      </c>
      <c r="K11" s="3">
        <f t="shared" si="0"/>
        <v>533000</v>
      </c>
      <c r="L11" s="3">
        <f t="shared" si="0"/>
        <v>0</v>
      </c>
      <c r="M11" s="3">
        <f t="shared" si="0"/>
        <v>0</v>
      </c>
      <c r="N11" s="3">
        <f t="shared" si="1"/>
        <v>533000</v>
      </c>
    </row>
    <row r="12" spans="1:15" x14ac:dyDescent="0.15">
      <c r="A12" s="1">
        <v>1980</v>
      </c>
      <c r="B12" s="3">
        <v>646000</v>
      </c>
      <c r="C12" s="3">
        <v>0</v>
      </c>
      <c r="D12" s="3">
        <v>0</v>
      </c>
      <c r="E12" s="3">
        <v>0</v>
      </c>
      <c r="F12" s="3">
        <v>0</v>
      </c>
      <c r="G12" s="3">
        <v>0</v>
      </c>
      <c r="H12" s="3">
        <v>0</v>
      </c>
      <c r="I12" s="3">
        <v>0</v>
      </c>
      <c r="J12" s="3">
        <v>0</v>
      </c>
      <c r="K12" s="3">
        <f t="shared" si="0"/>
        <v>646000</v>
      </c>
      <c r="L12" s="3">
        <f t="shared" si="0"/>
        <v>0</v>
      </c>
      <c r="M12" s="3">
        <f t="shared" si="0"/>
        <v>0</v>
      </c>
      <c r="N12" s="3">
        <f t="shared" si="1"/>
        <v>646000</v>
      </c>
    </row>
    <row r="13" spans="1:15" x14ac:dyDescent="0.15">
      <c r="A13" s="1">
        <v>1981</v>
      </c>
      <c r="B13" s="3">
        <v>720000</v>
      </c>
      <c r="C13" s="3">
        <v>0</v>
      </c>
      <c r="D13" s="3">
        <v>0</v>
      </c>
      <c r="E13" s="3">
        <v>0</v>
      </c>
      <c r="F13" s="3">
        <v>0</v>
      </c>
      <c r="G13" s="3">
        <v>0</v>
      </c>
      <c r="H13" s="3">
        <v>0</v>
      </c>
      <c r="I13" s="3">
        <v>0</v>
      </c>
      <c r="J13" s="3">
        <v>0</v>
      </c>
      <c r="K13" s="3">
        <f t="shared" si="0"/>
        <v>720000</v>
      </c>
      <c r="L13" s="3">
        <f t="shared" si="0"/>
        <v>0</v>
      </c>
      <c r="M13" s="3">
        <f t="shared" si="0"/>
        <v>0</v>
      </c>
      <c r="N13" s="3">
        <f t="shared" si="1"/>
        <v>720000</v>
      </c>
    </row>
    <row r="14" spans="1:15" x14ac:dyDescent="0.15">
      <c r="A14" s="1">
        <v>1982</v>
      </c>
      <c r="B14" s="3">
        <v>720000</v>
      </c>
      <c r="C14" s="3">
        <v>0</v>
      </c>
      <c r="D14" s="3">
        <v>0</v>
      </c>
      <c r="E14" s="3">
        <v>0</v>
      </c>
      <c r="F14" s="3">
        <v>0</v>
      </c>
      <c r="G14" s="3">
        <v>0</v>
      </c>
      <c r="H14" s="3">
        <v>0</v>
      </c>
      <c r="I14" s="3">
        <v>0</v>
      </c>
      <c r="J14" s="3">
        <v>0</v>
      </c>
      <c r="K14" s="3">
        <f t="shared" si="0"/>
        <v>720000</v>
      </c>
      <c r="L14" s="3">
        <f t="shared" si="0"/>
        <v>0</v>
      </c>
      <c r="M14" s="3">
        <f t="shared" si="0"/>
        <v>0</v>
      </c>
      <c r="N14" s="3">
        <f t="shared" si="1"/>
        <v>720000</v>
      </c>
      <c r="O14" s="1" t="s">
        <v>146</v>
      </c>
    </row>
    <row r="15" spans="1:15" x14ac:dyDescent="0.15">
      <c r="A15" s="1">
        <v>1983</v>
      </c>
      <c r="B15" s="3">
        <v>1000000</v>
      </c>
      <c r="C15" s="3">
        <v>0</v>
      </c>
      <c r="D15" s="3">
        <v>0</v>
      </c>
      <c r="E15" s="3">
        <v>0</v>
      </c>
      <c r="F15" s="3">
        <v>0</v>
      </c>
      <c r="G15" s="3">
        <v>0</v>
      </c>
      <c r="H15" s="3">
        <v>0</v>
      </c>
      <c r="I15" s="3">
        <v>0</v>
      </c>
      <c r="J15" s="3">
        <v>0</v>
      </c>
      <c r="K15" s="3">
        <f t="shared" si="0"/>
        <v>1000000</v>
      </c>
      <c r="L15" s="3">
        <f t="shared" si="0"/>
        <v>0</v>
      </c>
      <c r="M15" s="3">
        <f t="shared" si="0"/>
        <v>0</v>
      </c>
      <c r="N15" s="3">
        <f t="shared" si="1"/>
        <v>1000000</v>
      </c>
    </row>
    <row r="16" spans="1:15" x14ac:dyDescent="0.15">
      <c r="A16" s="1">
        <v>1984</v>
      </c>
      <c r="B16" s="3">
        <v>1000000</v>
      </c>
      <c r="C16" s="3">
        <v>0</v>
      </c>
      <c r="D16" s="3">
        <v>0</v>
      </c>
      <c r="E16" s="3">
        <v>0</v>
      </c>
      <c r="F16" s="3">
        <v>0</v>
      </c>
      <c r="G16" s="3">
        <v>0</v>
      </c>
      <c r="H16" s="3">
        <v>0</v>
      </c>
      <c r="I16" s="3">
        <v>0</v>
      </c>
      <c r="J16" s="3">
        <v>0</v>
      </c>
      <c r="K16" s="3">
        <f t="shared" si="0"/>
        <v>1000000</v>
      </c>
      <c r="L16" s="3">
        <f t="shared" si="0"/>
        <v>0</v>
      </c>
      <c r="M16" s="3">
        <f t="shared" si="0"/>
        <v>0</v>
      </c>
      <c r="N16" s="3">
        <f t="shared" si="1"/>
        <v>1000000</v>
      </c>
    </row>
    <row r="17" spans="1:15" x14ac:dyDescent="0.15">
      <c r="A17" s="1">
        <v>1985</v>
      </c>
      <c r="B17" s="3">
        <v>775000</v>
      </c>
      <c r="C17" s="3">
        <v>0</v>
      </c>
      <c r="D17" s="3">
        <v>0</v>
      </c>
      <c r="E17" s="3">
        <v>250000</v>
      </c>
      <c r="F17" s="3">
        <v>0</v>
      </c>
      <c r="G17" s="3">
        <v>0</v>
      </c>
      <c r="H17" s="3">
        <v>0</v>
      </c>
      <c r="I17" s="3">
        <v>0</v>
      </c>
      <c r="J17" s="3">
        <v>0</v>
      </c>
      <c r="K17" s="3">
        <f t="shared" si="0"/>
        <v>1025000</v>
      </c>
      <c r="L17" s="3">
        <f t="shared" si="0"/>
        <v>0</v>
      </c>
      <c r="M17" s="3">
        <f t="shared" si="0"/>
        <v>0</v>
      </c>
      <c r="N17" s="3">
        <f t="shared" si="1"/>
        <v>1025000</v>
      </c>
    </row>
    <row r="18" spans="1:15" x14ac:dyDescent="0.15">
      <c r="A18" s="1">
        <v>1986</v>
      </c>
      <c r="B18" s="3">
        <v>1211000</v>
      </c>
      <c r="C18" s="3">
        <v>0</v>
      </c>
      <c r="D18" s="3">
        <v>0</v>
      </c>
      <c r="E18" s="3">
        <v>250000</v>
      </c>
      <c r="F18" s="3">
        <v>0</v>
      </c>
      <c r="G18" s="3">
        <v>0</v>
      </c>
      <c r="H18" s="3">
        <v>0</v>
      </c>
      <c r="I18" s="3">
        <v>0</v>
      </c>
      <c r="J18" s="3">
        <v>0</v>
      </c>
      <c r="K18" s="3">
        <f t="shared" si="0"/>
        <v>1461000</v>
      </c>
      <c r="L18" s="3">
        <f t="shared" si="0"/>
        <v>0</v>
      </c>
      <c r="M18" s="3">
        <f t="shared" si="0"/>
        <v>0</v>
      </c>
      <c r="N18" s="3">
        <f t="shared" si="1"/>
        <v>1461000</v>
      </c>
      <c r="O18" s="1" t="s">
        <v>145</v>
      </c>
    </row>
    <row r="19" spans="1:15" x14ac:dyDescent="0.15">
      <c r="A19" s="1">
        <v>1987</v>
      </c>
      <c r="B19" s="3">
        <v>1211000</v>
      </c>
      <c r="C19" s="3">
        <v>0</v>
      </c>
      <c r="D19" s="3">
        <v>0</v>
      </c>
      <c r="E19" s="3">
        <v>250000</v>
      </c>
      <c r="F19" s="3">
        <v>0</v>
      </c>
      <c r="G19" s="3">
        <v>0</v>
      </c>
      <c r="H19" s="3">
        <v>0</v>
      </c>
      <c r="I19" s="3">
        <v>0</v>
      </c>
      <c r="J19" s="3">
        <v>0</v>
      </c>
      <c r="K19" s="3">
        <f t="shared" si="0"/>
        <v>1461000</v>
      </c>
      <c r="L19" s="3">
        <f t="shared" si="0"/>
        <v>0</v>
      </c>
      <c r="M19" s="3">
        <f t="shared" si="0"/>
        <v>0</v>
      </c>
      <c r="N19" s="3">
        <f t="shared" si="1"/>
        <v>1461000</v>
      </c>
      <c r="O19" s="1" t="s">
        <v>146</v>
      </c>
    </row>
    <row r="20" spans="1:15" x14ac:dyDescent="0.15">
      <c r="A20" s="1">
        <v>1988</v>
      </c>
      <c r="B20" s="3">
        <v>3385000</v>
      </c>
      <c r="C20" s="3">
        <v>0</v>
      </c>
      <c r="D20" s="3">
        <v>0</v>
      </c>
      <c r="E20" s="3">
        <f>245000+477000</f>
        <v>722000</v>
      </c>
      <c r="F20" s="3">
        <v>0</v>
      </c>
      <c r="G20" s="3">
        <v>0</v>
      </c>
      <c r="H20" s="3">
        <v>2950000</v>
      </c>
      <c r="I20" s="3">
        <v>0</v>
      </c>
      <c r="J20" s="3">
        <v>0</v>
      </c>
      <c r="K20" s="3">
        <f t="shared" si="0"/>
        <v>7057000</v>
      </c>
      <c r="L20" s="3">
        <f t="shared" si="0"/>
        <v>0</v>
      </c>
      <c r="M20" s="3">
        <f t="shared" si="0"/>
        <v>0</v>
      </c>
      <c r="N20" s="3">
        <f t="shared" si="1"/>
        <v>7057000</v>
      </c>
      <c r="O20" s="1" t="s">
        <v>174</v>
      </c>
    </row>
    <row r="21" spans="1:15" x14ac:dyDescent="0.15">
      <c r="A21" s="1">
        <v>1989</v>
      </c>
      <c r="B21" s="3">
        <v>4153000</v>
      </c>
      <c r="C21" s="3">
        <v>0</v>
      </c>
      <c r="D21" s="3">
        <v>0</v>
      </c>
      <c r="E21" s="3">
        <f>394000+477000</f>
        <v>871000</v>
      </c>
      <c r="F21" s="3">
        <v>285000</v>
      </c>
      <c r="G21" s="3">
        <v>0</v>
      </c>
      <c r="H21" s="3">
        <v>2950000</v>
      </c>
      <c r="I21" s="3">
        <v>0</v>
      </c>
      <c r="J21" s="3">
        <v>0</v>
      </c>
      <c r="K21" s="3">
        <f t="shared" si="0"/>
        <v>7974000</v>
      </c>
      <c r="L21" s="3">
        <f t="shared" si="0"/>
        <v>285000</v>
      </c>
      <c r="M21" s="3">
        <f t="shared" si="0"/>
        <v>0</v>
      </c>
      <c r="N21" s="3">
        <f t="shared" si="1"/>
        <v>8259000</v>
      </c>
    </row>
    <row r="22" spans="1:15" x14ac:dyDescent="0.15">
      <c r="A22" s="1">
        <v>1990</v>
      </c>
      <c r="B22" s="3">
        <v>4153000</v>
      </c>
      <c r="C22" s="3">
        <v>0</v>
      </c>
      <c r="D22" s="3">
        <v>0</v>
      </c>
      <c r="E22" s="3">
        <v>871000</v>
      </c>
      <c r="F22" s="3">
        <v>285000</v>
      </c>
      <c r="G22" s="3">
        <v>0</v>
      </c>
      <c r="H22" s="3">
        <v>2950000</v>
      </c>
      <c r="I22" s="3">
        <v>0</v>
      </c>
      <c r="J22" s="3">
        <v>0</v>
      </c>
      <c r="K22" s="3">
        <f t="shared" ref="K22:M35" si="2">+B22+E22+H22</f>
        <v>7974000</v>
      </c>
      <c r="L22" s="3">
        <f t="shared" si="2"/>
        <v>285000</v>
      </c>
      <c r="M22" s="3">
        <f t="shared" si="2"/>
        <v>0</v>
      </c>
      <c r="N22" s="3">
        <f t="shared" si="1"/>
        <v>8259000</v>
      </c>
      <c r="O22" s="1" t="s">
        <v>146</v>
      </c>
    </row>
    <row r="23" spans="1:15" x14ac:dyDescent="0.15">
      <c r="A23" s="1">
        <v>1991</v>
      </c>
      <c r="B23" s="3">
        <v>5100000</v>
      </c>
      <c r="C23" s="3">
        <v>0</v>
      </c>
      <c r="D23" s="3">
        <v>0</v>
      </c>
      <c r="E23" s="3">
        <f>550000+885000</f>
        <v>1435000</v>
      </c>
      <c r="F23" s="3">
        <v>722000</v>
      </c>
      <c r="G23" s="3">
        <v>0</v>
      </c>
      <c r="H23" s="3">
        <v>3988000</v>
      </c>
      <c r="I23" s="3">
        <v>2000</v>
      </c>
      <c r="J23" s="3">
        <v>0</v>
      </c>
      <c r="K23" s="3">
        <f t="shared" si="2"/>
        <v>10523000</v>
      </c>
      <c r="L23" s="3">
        <f t="shared" si="2"/>
        <v>724000</v>
      </c>
      <c r="M23" s="3">
        <f t="shared" si="2"/>
        <v>0</v>
      </c>
      <c r="N23" s="3">
        <f t="shared" si="1"/>
        <v>11247000</v>
      </c>
    </row>
    <row r="24" spans="1:15" x14ac:dyDescent="0.15">
      <c r="A24" s="1">
        <v>1992</v>
      </c>
      <c r="B24" s="3">
        <v>5647000</v>
      </c>
      <c r="C24" s="3">
        <v>0</v>
      </c>
      <c r="D24" s="3">
        <v>0</v>
      </c>
      <c r="E24" s="3">
        <f>545000+1101000</f>
        <v>1646000</v>
      </c>
      <c r="F24" s="3">
        <v>595000</v>
      </c>
      <c r="G24" s="3">
        <v>0</v>
      </c>
      <c r="H24" s="3">
        <v>3965000</v>
      </c>
      <c r="I24" s="3">
        <v>2000</v>
      </c>
      <c r="J24" s="3">
        <v>0</v>
      </c>
      <c r="K24" s="3">
        <f t="shared" si="2"/>
        <v>11258000</v>
      </c>
      <c r="L24" s="3">
        <f t="shared" si="2"/>
        <v>597000</v>
      </c>
      <c r="M24" s="3">
        <f t="shared" si="2"/>
        <v>0</v>
      </c>
      <c r="N24" s="3">
        <f t="shared" si="1"/>
        <v>11855000</v>
      </c>
    </row>
    <row r="25" spans="1:15" x14ac:dyDescent="0.15">
      <c r="A25" s="1">
        <v>1993</v>
      </c>
      <c r="B25" s="3">
        <v>5983000</v>
      </c>
      <c r="C25" s="3">
        <v>0</v>
      </c>
      <c r="D25" s="3">
        <v>0</v>
      </c>
      <c r="E25" s="3">
        <f>545000+1267000+500000</f>
        <v>2312000</v>
      </c>
      <c r="F25" s="3">
        <v>595000</v>
      </c>
      <c r="G25" s="3">
        <v>0</v>
      </c>
      <c r="H25" s="3">
        <v>128000</v>
      </c>
      <c r="I25" s="3">
        <v>7000</v>
      </c>
      <c r="J25" s="3">
        <v>0</v>
      </c>
      <c r="K25" s="3">
        <f t="shared" si="2"/>
        <v>8423000</v>
      </c>
      <c r="L25" s="3">
        <f t="shared" si="2"/>
        <v>602000</v>
      </c>
      <c r="M25" s="3">
        <f t="shared" si="2"/>
        <v>0</v>
      </c>
      <c r="N25" s="3">
        <f t="shared" si="1"/>
        <v>9025000</v>
      </c>
    </row>
    <row r="26" spans="1:15" x14ac:dyDescent="0.15">
      <c r="A26" s="1">
        <v>1994</v>
      </c>
      <c r="B26" s="3">
        <v>6444000</v>
      </c>
      <c r="C26" s="3">
        <v>0</v>
      </c>
      <c r="D26" s="3">
        <v>0</v>
      </c>
      <c r="E26" s="3">
        <f>599000+1725000+498000</f>
        <v>2822000</v>
      </c>
      <c r="F26" s="3">
        <v>622000</v>
      </c>
      <c r="G26" s="3">
        <v>0</v>
      </c>
      <c r="H26" s="3">
        <v>131000</v>
      </c>
      <c r="I26" s="3">
        <v>10000</v>
      </c>
      <c r="J26" s="3">
        <v>0</v>
      </c>
      <c r="K26" s="3">
        <f t="shared" si="2"/>
        <v>9397000</v>
      </c>
      <c r="L26" s="3">
        <f t="shared" si="2"/>
        <v>632000</v>
      </c>
      <c r="M26" s="3">
        <f t="shared" si="2"/>
        <v>0</v>
      </c>
      <c r="N26" s="3">
        <f t="shared" si="1"/>
        <v>10029000</v>
      </c>
    </row>
    <row r="27" spans="1:15" x14ac:dyDescent="0.15">
      <c r="A27" s="1">
        <v>1995</v>
      </c>
      <c r="B27" s="3">
        <v>0</v>
      </c>
      <c r="C27" s="3">
        <v>0</v>
      </c>
      <c r="D27" s="3">
        <v>0</v>
      </c>
      <c r="E27" s="3">
        <v>13886000</v>
      </c>
      <c r="F27" s="3">
        <v>794000</v>
      </c>
      <c r="G27" s="3">
        <v>0</v>
      </c>
      <c r="H27" s="3">
        <v>145000</v>
      </c>
      <c r="I27" s="3">
        <v>0</v>
      </c>
      <c r="J27" s="3">
        <v>0</v>
      </c>
      <c r="K27" s="3">
        <f t="shared" si="2"/>
        <v>14031000</v>
      </c>
      <c r="L27" s="3">
        <f t="shared" si="2"/>
        <v>794000</v>
      </c>
      <c r="M27" s="3">
        <f t="shared" si="2"/>
        <v>0</v>
      </c>
      <c r="N27" s="3">
        <f t="shared" si="1"/>
        <v>14825000</v>
      </c>
      <c r="O27" s="1" t="s">
        <v>202</v>
      </c>
    </row>
    <row r="28" spans="1:15" x14ac:dyDescent="0.15">
      <c r="A28" s="1">
        <v>1996</v>
      </c>
      <c r="B28" s="3">
        <v>0</v>
      </c>
      <c r="C28" s="3">
        <v>0</v>
      </c>
      <c r="D28" s="3">
        <v>0</v>
      </c>
      <c r="E28" s="3">
        <v>14629000</v>
      </c>
      <c r="F28" s="3">
        <v>692000</v>
      </c>
      <c r="G28" s="3">
        <v>0</v>
      </c>
      <c r="H28" s="3">
        <v>2359000</v>
      </c>
      <c r="I28" s="3">
        <v>106000</v>
      </c>
      <c r="J28" s="3">
        <v>0</v>
      </c>
      <c r="K28" s="3">
        <f t="shared" si="2"/>
        <v>16988000</v>
      </c>
      <c r="L28" s="3">
        <f t="shared" si="2"/>
        <v>798000</v>
      </c>
      <c r="M28" s="3">
        <f t="shared" si="2"/>
        <v>0</v>
      </c>
      <c r="N28" s="3">
        <f t="shared" si="1"/>
        <v>17786000</v>
      </c>
    </row>
    <row r="29" spans="1:15" x14ac:dyDescent="0.15">
      <c r="A29" s="1">
        <v>1997</v>
      </c>
      <c r="B29" s="3">
        <v>8258485</v>
      </c>
      <c r="C29" s="3">
        <v>0</v>
      </c>
      <c r="D29" s="3">
        <v>0</v>
      </c>
      <c r="E29" s="3">
        <f>14289000-B29</f>
        <v>6030515</v>
      </c>
      <c r="F29" s="3">
        <v>590334</v>
      </c>
      <c r="G29" s="3">
        <v>0</v>
      </c>
      <c r="H29" s="3">
        <v>5276000</v>
      </c>
      <c r="I29" s="3">
        <v>0</v>
      </c>
      <c r="J29" s="3">
        <v>0</v>
      </c>
      <c r="K29" s="3">
        <f t="shared" si="2"/>
        <v>19565000</v>
      </c>
      <c r="L29" s="3">
        <f t="shared" si="2"/>
        <v>590334</v>
      </c>
      <c r="M29" s="3">
        <f t="shared" si="2"/>
        <v>0</v>
      </c>
      <c r="N29" s="3">
        <f t="shared" si="1"/>
        <v>20155334</v>
      </c>
    </row>
    <row r="30" spans="1:15" x14ac:dyDescent="0.15">
      <c r="A30" s="1">
        <v>1998</v>
      </c>
      <c r="B30" s="3">
        <f>7801573+241286</f>
        <v>8042859</v>
      </c>
      <c r="C30" s="3">
        <v>0</v>
      </c>
      <c r="D30" s="3">
        <v>0</v>
      </c>
      <c r="E30" s="3">
        <f>14509000-B30</f>
        <v>6466141</v>
      </c>
      <c r="F30" s="3">
        <v>589000</v>
      </c>
      <c r="G30" s="3">
        <v>0</v>
      </c>
      <c r="H30" s="3">
        <v>22957000</v>
      </c>
      <c r="I30" s="3">
        <v>4761000</v>
      </c>
      <c r="J30" s="3">
        <v>0</v>
      </c>
      <c r="K30" s="3">
        <f t="shared" si="2"/>
        <v>37466000</v>
      </c>
      <c r="L30" s="3">
        <f t="shared" si="2"/>
        <v>5350000</v>
      </c>
      <c r="M30" s="3">
        <f t="shared" si="2"/>
        <v>0</v>
      </c>
      <c r="N30" s="3">
        <f t="shared" si="1"/>
        <v>42816000</v>
      </c>
      <c r="O30" s="1" t="s">
        <v>220</v>
      </c>
    </row>
    <row r="31" spans="1:15" x14ac:dyDescent="0.15">
      <c r="A31" s="1">
        <v>1999</v>
      </c>
      <c r="B31" s="3">
        <v>8338280</v>
      </c>
      <c r="C31" s="3">
        <v>0</v>
      </c>
      <c r="D31" s="3">
        <v>0</v>
      </c>
      <c r="E31" s="3">
        <f>16229000-B31</f>
        <v>7890720</v>
      </c>
      <c r="F31" s="3">
        <v>669000</v>
      </c>
      <c r="G31" s="3">
        <v>0</v>
      </c>
      <c r="H31" s="3">
        <v>12408000</v>
      </c>
      <c r="I31" s="3">
        <v>97000</v>
      </c>
      <c r="J31" s="3">
        <v>0</v>
      </c>
      <c r="K31" s="3">
        <f t="shared" si="2"/>
        <v>28637000</v>
      </c>
      <c r="L31" s="3">
        <f t="shared" si="2"/>
        <v>766000</v>
      </c>
      <c r="M31" s="3">
        <f t="shared" si="2"/>
        <v>0</v>
      </c>
      <c r="N31" s="3">
        <f t="shared" si="1"/>
        <v>29403000</v>
      </c>
    </row>
    <row r="32" spans="1:15" x14ac:dyDescent="0.15">
      <c r="A32" s="1">
        <v>2000</v>
      </c>
      <c r="B32" s="3">
        <v>8435756</v>
      </c>
      <c r="C32" s="3">
        <v>0</v>
      </c>
      <c r="D32" s="3">
        <v>0</v>
      </c>
      <c r="E32" s="3">
        <f>15745000-B32</f>
        <v>7309244</v>
      </c>
      <c r="F32" s="3">
        <v>632000</v>
      </c>
      <c r="G32" s="3">
        <v>0</v>
      </c>
      <c r="H32" s="3">
        <v>18127000</v>
      </c>
      <c r="I32" s="3">
        <v>98000</v>
      </c>
      <c r="J32" s="3">
        <v>0</v>
      </c>
      <c r="K32" s="3">
        <f t="shared" si="2"/>
        <v>33872000</v>
      </c>
      <c r="L32" s="3">
        <f t="shared" si="2"/>
        <v>730000</v>
      </c>
      <c r="M32" s="3">
        <f t="shared" si="2"/>
        <v>0</v>
      </c>
      <c r="N32" s="3">
        <f t="shared" si="1"/>
        <v>34602000</v>
      </c>
    </row>
    <row r="33" spans="1:15" x14ac:dyDescent="0.15">
      <c r="A33" s="1">
        <v>2001</v>
      </c>
      <c r="B33" s="3">
        <f>10395209+354749</f>
        <v>10749958</v>
      </c>
      <c r="C33" s="3">
        <v>0</v>
      </c>
      <c r="D33" s="3">
        <v>0</v>
      </c>
      <c r="E33" s="3">
        <f>17489000-B33</f>
        <v>6739042</v>
      </c>
      <c r="F33" s="3">
        <v>767000</v>
      </c>
      <c r="G33" s="3">
        <v>0</v>
      </c>
      <c r="H33" s="3">
        <v>21267000</v>
      </c>
      <c r="I33" s="3">
        <v>55000</v>
      </c>
      <c r="J33" s="3">
        <v>0</v>
      </c>
      <c r="K33" s="3">
        <f t="shared" si="2"/>
        <v>38756000</v>
      </c>
      <c r="L33" s="3">
        <f t="shared" si="2"/>
        <v>822000</v>
      </c>
      <c r="M33" s="3">
        <f t="shared" si="2"/>
        <v>0</v>
      </c>
      <c r="N33" s="3">
        <f t="shared" si="1"/>
        <v>39578000</v>
      </c>
    </row>
    <row r="34" spans="1:15" x14ac:dyDescent="0.15">
      <c r="A34" s="1">
        <v>2002</v>
      </c>
      <c r="B34" s="3">
        <v>11142416</v>
      </c>
      <c r="C34" s="3">
        <v>0</v>
      </c>
      <c r="D34" s="3">
        <v>0</v>
      </c>
      <c r="E34" s="3">
        <f>15950000-B34</f>
        <v>4807584</v>
      </c>
      <c r="F34" s="3">
        <v>4087000</v>
      </c>
      <c r="G34" s="3">
        <v>0</v>
      </c>
      <c r="H34" s="3">
        <v>23445000</v>
      </c>
      <c r="I34" s="3">
        <v>2184000</v>
      </c>
      <c r="J34" s="3">
        <v>0</v>
      </c>
      <c r="K34" s="3">
        <f t="shared" si="2"/>
        <v>39395000</v>
      </c>
      <c r="L34" s="3">
        <f t="shared" si="2"/>
        <v>6271000</v>
      </c>
      <c r="M34" s="3">
        <f t="shared" si="2"/>
        <v>0</v>
      </c>
      <c r="N34" s="3">
        <f t="shared" si="1"/>
        <v>45666000</v>
      </c>
    </row>
    <row r="35" spans="1:15" x14ac:dyDescent="0.15">
      <c r="A35" s="1">
        <v>2003</v>
      </c>
      <c r="B35" s="3">
        <v>10776804</v>
      </c>
      <c r="C35" s="3">
        <v>0</v>
      </c>
      <c r="D35" s="3">
        <v>0</v>
      </c>
      <c r="E35" s="3">
        <v>2129336</v>
      </c>
      <c r="F35" s="3">
        <v>627308</v>
      </c>
      <c r="G35" s="3">
        <v>0</v>
      </c>
      <c r="H35" s="3">
        <v>2052687</v>
      </c>
      <c r="I35" s="3">
        <v>5413593</v>
      </c>
      <c r="J35" s="3">
        <v>21436383</v>
      </c>
      <c r="K35" s="3">
        <f t="shared" si="2"/>
        <v>14958827</v>
      </c>
      <c r="L35" s="3">
        <f t="shared" si="2"/>
        <v>6040901</v>
      </c>
      <c r="M35" s="3">
        <f t="shared" si="2"/>
        <v>21436383</v>
      </c>
      <c r="N35" s="3">
        <f t="shared" si="1"/>
        <v>42436111</v>
      </c>
    </row>
    <row r="36" spans="1:15" x14ac:dyDescent="0.15">
      <c r="A36" s="1">
        <v>2004</v>
      </c>
      <c r="B36" s="3">
        <v>0</v>
      </c>
      <c r="C36" s="3">
        <v>0</v>
      </c>
      <c r="D36" s="3">
        <v>13143869</v>
      </c>
      <c r="E36" s="3">
        <v>2424365</v>
      </c>
      <c r="F36" s="3">
        <v>547386</v>
      </c>
      <c r="G36" s="3">
        <v>0</v>
      </c>
      <c r="H36" s="3">
        <v>27396498</v>
      </c>
      <c r="I36" s="3">
        <v>0</v>
      </c>
      <c r="J36" s="3">
        <v>7506173</v>
      </c>
      <c r="K36" s="3">
        <v>29820863</v>
      </c>
      <c r="L36" s="3">
        <v>547386</v>
      </c>
      <c r="M36" s="3">
        <v>20650042</v>
      </c>
      <c r="N36" s="3">
        <v>51018291</v>
      </c>
      <c r="O36" s="1" t="s">
        <v>260</v>
      </c>
    </row>
    <row r="37" spans="1:15" x14ac:dyDescent="0.15">
      <c r="A37" s="1">
        <v>2005</v>
      </c>
      <c r="B37" s="3">
        <v>11814568</v>
      </c>
      <c r="C37" s="3">
        <v>10302</v>
      </c>
      <c r="D37" s="3">
        <v>0</v>
      </c>
      <c r="E37" s="3">
        <v>2452155</v>
      </c>
      <c r="F37" s="3">
        <v>597518</v>
      </c>
      <c r="G37" s="3">
        <v>0</v>
      </c>
      <c r="H37" s="3">
        <v>43306386</v>
      </c>
      <c r="I37" s="3">
        <v>680980</v>
      </c>
      <c r="J37" s="3">
        <v>0</v>
      </c>
      <c r="K37" s="3">
        <v>57573109</v>
      </c>
      <c r="L37" s="3">
        <v>1288800</v>
      </c>
      <c r="M37" s="3">
        <v>0</v>
      </c>
      <c r="N37" s="3">
        <v>58861909</v>
      </c>
    </row>
    <row r="38" spans="1:15" x14ac:dyDescent="0.15">
      <c r="A38" s="1">
        <v>2006</v>
      </c>
      <c r="B38" s="3">
        <v>11989334</v>
      </c>
      <c r="C38" s="3">
        <v>21154</v>
      </c>
      <c r="D38" s="3">
        <v>0</v>
      </c>
      <c r="E38" s="3">
        <v>9004392</v>
      </c>
      <c r="F38" s="3">
        <v>765959</v>
      </c>
      <c r="G38" s="3">
        <v>0</v>
      </c>
      <c r="H38" s="3">
        <v>40786220</v>
      </c>
      <c r="I38" s="3">
        <v>101199</v>
      </c>
      <c r="J38" s="3">
        <v>0</v>
      </c>
      <c r="K38" s="3">
        <v>61779946</v>
      </c>
      <c r="L38" s="3">
        <v>888312</v>
      </c>
      <c r="M38" s="3">
        <v>0</v>
      </c>
      <c r="N38" s="3">
        <v>62668258</v>
      </c>
      <c r="O38" s="1" t="s">
        <v>293</v>
      </c>
    </row>
    <row r="39" spans="1:15" x14ac:dyDescent="0.15">
      <c r="A39" s="1">
        <v>2007</v>
      </c>
      <c r="B39" s="3">
        <v>12251549</v>
      </c>
      <c r="C39" s="3">
        <v>800</v>
      </c>
      <c r="D39" s="3">
        <v>0</v>
      </c>
      <c r="E39" s="3">
        <v>10239553</v>
      </c>
      <c r="F39" s="3">
        <v>577560</v>
      </c>
      <c r="G39" s="3">
        <v>0</v>
      </c>
      <c r="H39" s="3">
        <v>48026590</v>
      </c>
      <c r="I39" s="3">
        <v>198204</v>
      </c>
      <c r="J39" s="3">
        <v>0</v>
      </c>
      <c r="K39" s="3">
        <v>70517692</v>
      </c>
      <c r="L39" s="3">
        <v>776564</v>
      </c>
      <c r="M39" s="3">
        <v>0</v>
      </c>
      <c r="N39" s="3">
        <v>71294256</v>
      </c>
    </row>
    <row r="40" spans="1:15" x14ac:dyDescent="0.15">
      <c r="A40" s="1">
        <v>2008</v>
      </c>
      <c r="B40" s="3">
        <v>11960003</v>
      </c>
      <c r="C40" s="3">
        <v>59734</v>
      </c>
      <c r="D40" s="3">
        <v>0</v>
      </c>
      <c r="E40" s="3">
        <v>9750282</v>
      </c>
      <c r="F40" s="3">
        <v>1665414</v>
      </c>
      <c r="G40" s="3">
        <v>0</v>
      </c>
      <c r="H40" s="3">
        <v>46071129</v>
      </c>
      <c r="I40" s="3">
        <v>653608</v>
      </c>
      <c r="J40" s="3">
        <v>0</v>
      </c>
      <c r="K40" s="3">
        <v>67781414</v>
      </c>
      <c r="L40" s="3">
        <v>2378756</v>
      </c>
      <c r="M40" s="3">
        <v>0</v>
      </c>
      <c r="N40" s="3">
        <v>70160170</v>
      </c>
    </row>
    <row r="41" spans="1:15" x14ac:dyDescent="0.15">
      <c r="A41" s="1">
        <v>2009</v>
      </c>
      <c r="B41" s="3">
        <v>12227535</v>
      </c>
      <c r="C41" s="3">
        <v>61070</v>
      </c>
      <c r="D41" s="3">
        <v>0</v>
      </c>
      <c r="E41" s="3">
        <v>10012916</v>
      </c>
      <c r="F41" s="3">
        <v>1431825</v>
      </c>
      <c r="G41" s="3">
        <v>0</v>
      </c>
      <c r="H41" s="3">
        <v>53235953</v>
      </c>
      <c r="I41" s="3">
        <v>358155</v>
      </c>
      <c r="J41" s="3">
        <v>0</v>
      </c>
      <c r="K41" s="3">
        <v>75476404</v>
      </c>
      <c r="L41" s="3">
        <v>1851050</v>
      </c>
      <c r="M41" s="3">
        <v>0</v>
      </c>
      <c r="N41" s="3">
        <v>77327454</v>
      </c>
    </row>
    <row r="42" spans="1:15" x14ac:dyDescent="0.15">
      <c r="A42" s="1">
        <v>2010</v>
      </c>
      <c r="B42" s="3">
        <v>12376238</v>
      </c>
      <c r="C42" s="3">
        <v>0</v>
      </c>
      <c r="D42" s="3">
        <v>0</v>
      </c>
      <c r="E42" s="3">
        <v>9535051</v>
      </c>
      <c r="F42" s="3">
        <v>2094060</v>
      </c>
      <c r="G42" s="3">
        <v>0</v>
      </c>
      <c r="H42" s="3">
        <v>55846128</v>
      </c>
      <c r="I42" s="3">
        <v>836952</v>
      </c>
      <c r="J42" s="3">
        <v>0</v>
      </c>
      <c r="K42" s="3">
        <v>77757417</v>
      </c>
      <c r="L42" s="3">
        <v>2931012</v>
      </c>
      <c r="M42" s="3">
        <v>0</v>
      </c>
      <c r="N42" s="3">
        <v>80688429</v>
      </c>
    </row>
    <row r="43" spans="1:15" x14ac:dyDescent="0.15">
      <c r="A43" s="1">
        <v>2011</v>
      </c>
      <c r="B43" s="3">
        <v>12792674</v>
      </c>
      <c r="C43" s="3">
        <v>0</v>
      </c>
      <c r="D43" s="3">
        <v>0</v>
      </c>
      <c r="E43" s="3">
        <v>12069109</v>
      </c>
      <c r="F43" s="3">
        <v>1615435</v>
      </c>
      <c r="G43" s="3">
        <v>0</v>
      </c>
      <c r="H43" s="3">
        <v>64392106</v>
      </c>
      <c r="I43" s="3">
        <v>349279</v>
      </c>
      <c r="J43" s="3">
        <v>0</v>
      </c>
      <c r="K43" s="3">
        <v>89253889</v>
      </c>
      <c r="L43" s="3">
        <v>1964714</v>
      </c>
      <c r="M43" s="3">
        <v>0</v>
      </c>
      <c r="N43" s="3">
        <v>91218603</v>
      </c>
    </row>
    <row r="44" spans="1:15" x14ac:dyDescent="0.15">
      <c r="A44" s="1">
        <v>2012</v>
      </c>
      <c r="B44" s="3">
        <v>10281003</v>
      </c>
      <c r="C44" s="3">
        <v>0</v>
      </c>
      <c r="D44" s="3">
        <v>0</v>
      </c>
      <c r="E44" s="3">
        <v>12848060</v>
      </c>
      <c r="F44" s="3">
        <v>1313672</v>
      </c>
      <c r="G44" s="3">
        <v>0</v>
      </c>
      <c r="H44" s="3">
        <v>69463276</v>
      </c>
      <c r="I44" s="3">
        <v>303530</v>
      </c>
      <c r="J44" s="3">
        <v>159878</v>
      </c>
      <c r="K44" s="3">
        <v>92592339</v>
      </c>
      <c r="L44" s="3">
        <v>1617202</v>
      </c>
      <c r="M44" s="3">
        <v>159878</v>
      </c>
      <c r="N44" s="3">
        <v>94369419</v>
      </c>
    </row>
    <row r="45" spans="1:15" x14ac:dyDescent="0.15">
      <c r="A45" s="1">
        <v>2013</v>
      </c>
      <c r="B45" s="3">
        <v>10874033</v>
      </c>
      <c r="C45" s="3">
        <v>0</v>
      </c>
      <c r="D45" s="3">
        <v>0</v>
      </c>
      <c r="E45" s="3">
        <v>1306510</v>
      </c>
      <c r="F45" s="3">
        <v>421925</v>
      </c>
      <c r="G45" s="3">
        <v>12830428</v>
      </c>
      <c r="H45" s="3">
        <v>60946004</v>
      </c>
      <c r="I45" s="3">
        <v>0</v>
      </c>
      <c r="J45" s="3">
        <v>20179174</v>
      </c>
      <c r="K45" s="3">
        <v>73126547</v>
      </c>
      <c r="L45" s="3">
        <v>421925</v>
      </c>
      <c r="M45" s="3">
        <v>33009602</v>
      </c>
      <c r="N45" s="3">
        <v>106558074</v>
      </c>
      <c r="O45" s="1" t="s">
        <v>295</v>
      </c>
    </row>
    <row r="46" spans="1:15" x14ac:dyDescent="0.15">
      <c r="A46" s="1">
        <v>2014</v>
      </c>
      <c r="B46" s="3">
        <v>11084243</v>
      </c>
      <c r="C46" s="3">
        <v>0</v>
      </c>
      <c r="D46" s="3">
        <v>0</v>
      </c>
      <c r="E46" s="3">
        <v>13589844</v>
      </c>
      <c r="F46" s="3">
        <v>437400</v>
      </c>
      <c r="G46" s="3">
        <v>0</v>
      </c>
      <c r="H46" s="3">
        <v>68145457</v>
      </c>
      <c r="I46" s="3">
        <v>0</v>
      </c>
      <c r="J46" s="3">
        <v>11130889</v>
      </c>
      <c r="K46" s="3">
        <v>92819544</v>
      </c>
      <c r="L46" s="3">
        <v>437400</v>
      </c>
      <c r="M46" s="3">
        <v>11130889</v>
      </c>
      <c r="N46" s="3">
        <v>104387833</v>
      </c>
      <c r="O46" s="1" t="s">
        <v>294</v>
      </c>
    </row>
    <row r="47" spans="1:15" x14ac:dyDescent="0.15">
      <c r="A47" s="1">
        <v>2015</v>
      </c>
      <c r="B47" s="3">
        <v>10783049</v>
      </c>
      <c r="C47" s="3">
        <v>0</v>
      </c>
      <c r="D47" s="3">
        <v>0</v>
      </c>
      <c r="E47" s="3">
        <v>13405412</v>
      </c>
      <c r="F47" s="3">
        <v>460800</v>
      </c>
      <c r="G47" s="3">
        <v>0</v>
      </c>
      <c r="H47" s="3">
        <v>77495193</v>
      </c>
      <c r="I47" s="3">
        <v>0</v>
      </c>
      <c r="J47" s="3">
        <v>10962349</v>
      </c>
      <c r="K47" s="3">
        <v>101683654</v>
      </c>
      <c r="L47" s="3">
        <v>460800</v>
      </c>
      <c r="M47" s="3">
        <v>10962349</v>
      </c>
      <c r="N47" s="3">
        <v>113106803</v>
      </c>
    </row>
    <row r="48" spans="1:15" x14ac:dyDescent="0.15">
      <c r="A48" s="1">
        <v>2016</v>
      </c>
      <c r="B48" s="3">
        <v>10299003</v>
      </c>
      <c r="C48" s="3">
        <v>0</v>
      </c>
      <c r="D48" s="3">
        <v>0</v>
      </c>
      <c r="E48" s="3">
        <v>16743822</v>
      </c>
      <c r="F48" s="3">
        <v>534972</v>
      </c>
      <c r="G48" s="3">
        <v>0</v>
      </c>
      <c r="H48" s="3">
        <v>59131896</v>
      </c>
      <c r="I48" s="3">
        <v>0</v>
      </c>
      <c r="J48" s="3">
        <v>12872386</v>
      </c>
      <c r="K48" s="3">
        <v>86174721</v>
      </c>
      <c r="L48" s="3">
        <v>534972</v>
      </c>
      <c r="M48" s="3">
        <v>12872386</v>
      </c>
      <c r="N48" s="3">
        <v>99582079</v>
      </c>
    </row>
  </sheetData>
  <phoneticPr fontId="0" type="noConversion"/>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625" style="1" customWidth="1"/>
    <col min="3" max="10" width="10.625" style="1"/>
    <col min="11" max="11" width="12.375" style="1" customWidth="1"/>
    <col min="12" max="12" width="10.625" style="1"/>
    <col min="13" max="13" width="11.5" style="1" customWidth="1"/>
    <col min="14" max="14" width="14.125" style="1" customWidth="1"/>
    <col min="15" max="16384" width="10.625" style="1"/>
  </cols>
  <sheetData>
    <row r="1" spans="1:15" x14ac:dyDescent="0.15">
      <c r="A1" s="1" t="s">
        <v>56</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49400000</v>
      </c>
      <c r="C6" s="3">
        <v>0</v>
      </c>
      <c r="D6" s="3">
        <v>0</v>
      </c>
      <c r="E6" s="3">
        <v>0</v>
      </c>
      <c r="F6" s="3">
        <v>0</v>
      </c>
      <c r="G6" s="3">
        <v>0</v>
      </c>
      <c r="H6" s="3">
        <v>28600000</v>
      </c>
      <c r="I6" s="3">
        <v>0</v>
      </c>
      <c r="J6" s="3">
        <v>0</v>
      </c>
      <c r="K6" s="3">
        <f t="shared" ref="K6:M21" si="0">+B6+E6+H6</f>
        <v>78000000</v>
      </c>
      <c r="L6" s="3">
        <f t="shared" si="0"/>
        <v>0</v>
      </c>
      <c r="M6" s="3">
        <f t="shared" si="0"/>
        <v>0</v>
      </c>
      <c r="N6" s="3">
        <f t="shared" ref="N6:N35" si="1">+M6+L6+K6</f>
        <v>78000000</v>
      </c>
      <c r="O6" s="1" t="s">
        <v>118</v>
      </c>
    </row>
    <row r="7" spans="1:15" x14ac:dyDescent="0.15">
      <c r="A7" s="1">
        <v>1975</v>
      </c>
      <c r="B7" s="3">
        <v>72106000</v>
      </c>
      <c r="C7" s="3">
        <v>0</v>
      </c>
      <c r="D7" s="3">
        <v>0</v>
      </c>
      <c r="E7" s="3">
        <v>0</v>
      </c>
      <c r="F7" s="3">
        <v>0</v>
      </c>
      <c r="G7" s="3">
        <v>0</v>
      </c>
      <c r="H7" s="3">
        <v>24826000</v>
      </c>
      <c r="I7" s="3">
        <v>0</v>
      </c>
      <c r="J7" s="3">
        <v>0</v>
      </c>
      <c r="K7" s="3">
        <f t="shared" si="0"/>
        <v>96932000</v>
      </c>
      <c r="L7" s="3">
        <f t="shared" si="0"/>
        <v>0</v>
      </c>
      <c r="M7" s="3">
        <f t="shared" si="0"/>
        <v>0</v>
      </c>
      <c r="N7" s="3">
        <f t="shared" si="1"/>
        <v>96932000</v>
      </c>
      <c r="O7" s="1" t="s">
        <v>139</v>
      </c>
    </row>
    <row r="8" spans="1:15" x14ac:dyDescent="0.15">
      <c r="A8" s="1">
        <v>1976</v>
      </c>
      <c r="B8" s="3">
        <v>105100000</v>
      </c>
      <c r="C8" s="3">
        <v>0</v>
      </c>
      <c r="D8" s="3">
        <v>0</v>
      </c>
      <c r="E8" s="3">
        <v>0</v>
      </c>
      <c r="F8" s="3">
        <v>0</v>
      </c>
      <c r="G8" s="3">
        <v>0</v>
      </c>
      <c r="H8" s="3">
        <v>23900000</v>
      </c>
      <c r="I8" s="3">
        <v>0</v>
      </c>
      <c r="J8" s="3">
        <v>0</v>
      </c>
      <c r="K8" s="3">
        <f t="shared" si="0"/>
        <v>129000000</v>
      </c>
      <c r="L8" s="3">
        <f t="shared" si="0"/>
        <v>0</v>
      </c>
      <c r="M8" s="3">
        <f t="shared" si="0"/>
        <v>0</v>
      </c>
      <c r="N8" s="3">
        <f t="shared" si="1"/>
        <v>129000000</v>
      </c>
    </row>
    <row r="9" spans="1:15" x14ac:dyDescent="0.15">
      <c r="A9" s="1">
        <v>1977</v>
      </c>
      <c r="B9" s="3">
        <v>188000000</v>
      </c>
      <c r="C9" s="3">
        <v>0</v>
      </c>
      <c r="D9" s="3">
        <v>0</v>
      </c>
      <c r="E9" s="3">
        <v>0</v>
      </c>
      <c r="F9" s="3">
        <v>0</v>
      </c>
      <c r="G9" s="3">
        <v>0</v>
      </c>
      <c r="H9" s="3">
        <v>22800000</v>
      </c>
      <c r="I9" s="3">
        <v>0</v>
      </c>
      <c r="J9" s="3">
        <v>0</v>
      </c>
      <c r="K9" s="3">
        <f t="shared" si="0"/>
        <v>210800000</v>
      </c>
      <c r="L9" s="3">
        <f t="shared" si="0"/>
        <v>0</v>
      </c>
      <c r="M9" s="3">
        <f t="shared" si="0"/>
        <v>0</v>
      </c>
      <c r="N9" s="3">
        <f t="shared" si="1"/>
        <v>210800000</v>
      </c>
    </row>
    <row r="10" spans="1:15" x14ac:dyDescent="0.15">
      <c r="A10" s="1">
        <v>1978</v>
      </c>
      <c r="B10" s="3">
        <v>220000000</v>
      </c>
      <c r="C10" s="3">
        <v>0</v>
      </c>
      <c r="D10" s="3">
        <v>0</v>
      </c>
      <c r="E10" s="3">
        <v>0</v>
      </c>
      <c r="F10" s="3">
        <v>0</v>
      </c>
      <c r="G10" s="3">
        <v>0</v>
      </c>
      <c r="H10" s="3">
        <v>21400000</v>
      </c>
      <c r="I10" s="3">
        <v>0</v>
      </c>
      <c r="J10" s="3">
        <v>0</v>
      </c>
      <c r="K10" s="3">
        <f t="shared" si="0"/>
        <v>241400000</v>
      </c>
      <c r="L10" s="3">
        <f t="shared" si="0"/>
        <v>0</v>
      </c>
      <c r="M10" s="3">
        <f t="shared" si="0"/>
        <v>0</v>
      </c>
      <c r="N10" s="3">
        <f t="shared" si="1"/>
        <v>241400000</v>
      </c>
    </row>
    <row r="11" spans="1:15" x14ac:dyDescent="0.15">
      <c r="A11" s="1">
        <v>1979</v>
      </c>
      <c r="B11" s="3">
        <v>232900000</v>
      </c>
      <c r="C11" s="3">
        <v>0</v>
      </c>
      <c r="D11" s="3">
        <v>0</v>
      </c>
      <c r="E11" s="3">
        <v>0</v>
      </c>
      <c r="F11" s="3">
        <v>0</v>
      </c>
      <c r="G11" s="3">
        <v>0</v>
      </c>
      <c r="H11" s="3">
        <v>20000000</v>
      </c>
      <c r="I11" s="3">
        <v>0</v>
      </c>
      <c r="J11" s="3">
        <v>0</v>
      </c>
      <c r="K11" s="3">
        <f t="shared" si="0"/>
        <v>252900000</v>
      </c>
      <c r="L11" s="3">
        <f t="shared" si="0"/>
        <v>0</v>
      </c>
      <c r="M11" s="3">
        <f t="shared" si="0"/>
        <v>0</v>
      </c>
      <c r="N11" s="3">
        <f t="shared" si="1"/>
        <v>252900000</v>
      </c>
    </row>
    <row r="12" spans="1:15" x14ac:dyDescent="0.15">
      <c r="A12" s="1">
        <v>1980</v>
      </c>
      <c r="B12" s="3">
        <v>252200000</v>
      </c>
      <c r="C12" s="3">
        <v>0</v>
      </c>
      <c r="D12" s="3">
        <v>0</v>
      </c>
      <c r="E12" s="3">
        <v>0</v>
      </c>
      <c r="F12" s="3">
        <v>0</v>
      </c>
      <c r="G12" s="3">
        <v>0</v>
      </c>
      <c r="H12" s="3">
        <v>17000000</v>
      </c>
      <c r="I12" s="3">
        <v>0</v>
      </c>
      <c r="J12" s="3">
        <v>0</v>
      </c>
      <c r="K12" s="3">
        <f t="shared" si="0"/>
        <v>269200000</v>
      </c>
      <c r="L12" s="3">
        <f t="shared" si="0"/>
        <v>0</v>
      </c>
      <c r="M12" s="3">
        <f t="shared" si="0"/>
        <v>0</v>
      </c>
      <c r="N12" s="3">
        <f t="shared" si="1"/>
        <v>269200000</v>
      </c>
    </row>
    <row r="13" spans="1:15" x14ac:dyDescent="0.15">
      <c r="A13" s="1">
        <v>1981</v>
      </c>
      <c r="B13" s="3">
        <v>245507000</v>
      </c>
      <c r="C13" s="3">
        <v>0</v>
      </c>
      <c r="D13" s="3">
        <v>0</v>
      </c>
      <c r="E13" s="3">
        <v>0</v>
      </c>
      <c r="F13" s="3">
        <v>0</v>
      </c>
      <c r="G13" s="3">
        <v>0</v>
      </c>
      <c r="H13" s="3">
        <v>15155000</v>
      </c>
      <c r="I13" s="3">
        <v>0</v>
      </c>
      <c r="J13" s="3">
        <v>0</v>
      </c>
      <c r="K13" s="3">
        <f t="shared" si="0"/>
        <v>260662000</v>
      </c>
      <c r="L13" s="3">
        <f t="shared" si="0"/>
        <v>0</v>
      </c>
      <c r="M13" s="3">
        <f t="shared" si="0"/>
        <v>0</v>
      </c>
      <c r="N13" s="3">
        <f t="shared" si="1"/>
        <v>260662000</v>
      </c>
    </row>
    <row r="14" spans="1:15" x14ac:dyDescent="0.15">
      <c r="A14" s="1">
        <v>1982</v>
      </c>
      <c r="B14" s="3">
        <v>280280000</v>
      </c>
      <c r="C14" s="3">
        <v>5720000</v>
      </c>
      <c r="D14" s="3">
        <v>0</v>
      </c>
      <c r="E14" s="3">
        <v>0</v>
      </c>
      <c r="F14" s="3">
        <v>0</v>
      </c>
      <c r="G14" s="3">
        <v>0</v>
      </c>
      <c r="H14" s="3">
        <v>17000000</v>
      </c>
      <c r="I14" s="3">
        <v>1364000</v>
      </c>
      <c r="J14" s="3">
        <v>0</v>
      </c>
      <c r="K14" s="3">
        <f t="shared" si="0"/>
        <v>297280000</v>
      </c>
      <c r="L14" s="3">
        <f t="shared" si="0"/>
        <v>7084000</v>
      </c>
      <c r="M14" s="3">
        <f t="shared" si="0"/>
        <v>0</v>
      </c>
      <c r="N14" s="3">
        <f t="shared" si="1"/>
        <v>304364000</v>
      </c>
    </row>
    <row r="15" spans="1:15" x14ac:dyDescent="0.15">
      <c r="A15" s="1">
        <v>1983</v>
      </c>
      <c r="B15" s="3">
        <v>296548000</v>
      </c>
      <c r="C15" s="3">
        <v>6052000</v>
      </c>
      <c r="D15" s="3">
        <v>0</v>
      </c>
      <c r="E15" s="3">
        <v>0</v>
      </c>
      <c r="F15" s="3">
        <v>0</v>
      </c>
      <c r="G15" s="3">
        <v>0</v>
      </c>
      <c r="H15" s="3">
        <v>17700000</v>
      </c>
      <c r="I15" s="3">
        <v>1364000</v>
      </c>
      <c r="J15" s="3">
        <v>0</v>
      </c>
      <c r="K15" s="3">
        <f t="shared" si="0"/>
        <v>314248000</v>
      </c>
      <c r="L15" s="3">
        <f t="shared" si="0"/>
        <v>7416000</v>
      </c>
      <c r="M15" s="3">
        <f t="shared" si="0"/>
        <v>0</v>
      </c>
      <c r="N15" s="3">
        <f t="shared" si="1"/>
        <v>321664000</v>
      </c>
    </row>
    <row r="16" spans="1:15" x14ac:dyDescent="0.15">
      <c r="A16" s="1">
        <v>1984</v>
      </c>
      <c r="B16" s="3">
        <v>327320000</v>
      </c>
      <c r="C16" s="3">
        <v>6680000</v>
      </c>
      <c r="D16" s="3">
        <v>0</v>
      </c>
      <c r="E16" s="3">
        <v>0</v>
      </c>
      <c r="F16" s="3">
        <v>0</v>
      </c>
      <c r="G16" s="3">
        <v>0</v>
      </c>
      <c r="H16" s="3">
        <v>18318000</v>
      </c>
      <c r="I16" s="3">
        <v>1354000</v>
      </c>
      <c r="J16" s="3">
        <v>0</v>
      </c>
      <c r="K16" s="3">
        <f t="shared" si="0"/>
        <v>345638000</v>
      </c>
      <c r="L16" s="3">
        <f t="shared" si="0"/>
        <v>8034000</v>
      </c>
      <c r="M16" s="3">
        <f t="shared" si="0"/>
        <v>0</v>
      </c>
      <c r="N16" s="3">
        <f t="shared" si="1"/>
        <v>353672000</v>
      </c>
    </row>
    <row r="17" spans="1:15" x14ac:dyDescent="0.15">
      <c r="A17" s="1">
        <v>1985</v>
      </c>
      <c r="B17" s="3">
        <v>374360000</v>
      </c>
      <c r="C17" s="3">
        <v>7640000</v>
      </c>
      <c r="D17" s="3">
        <v>0</v>
      </c>
      <c r="E17" s="3">
        <v>11000000</v>
      </c>
      <c r="F17" s="3">
        <v>0</v>
      </c>
      <c r="G17" s="3">
        <v>0</v>
      </c>
      <c r="H17" s="3">
        <v>22201000</v>
      </c>
      <c r="I17" s="3">
        <v>2312000</v>
      </c>
      <c r="J17" s="3">
        <v>0</v>
      </c>
      <c r="K17" s="3">
        <f t="shared" si="0"/>
        <v>407561000</v>
      </c>
      <c r="L17" s="3">
        <f t="shared" si="0"/>
        <v>9952000</v>
      </c>
      <c r="M17" s="3">
        <f t="shared" si="0"/>
        <v>0</v>
      </c>
      <c r="N17" s="3">
        <f t="shared" si="1"/>
        <v>417513000</v>
      </c>
    </row>
    <row r="18" spans="1:15" x14ac:dyDescent="0.15">
      <c r="A18" s="1">
        <v>1986</v>
      </c>
      <c r="B18" s="3">
        <v>371250000</v>
      </c>
      <c r="C18" s="3">
        <v>3750000</v>
      </c>
      <c r="D18" s="3">
        <v>0</v>
      </c>
      <c r="E18" s="3">
        <v>11000000</v>
      </c>
      <c r="F18" s="3">
        <v>0</v>
      </c>
      <c r="G18" s="3">
        <v>0</v>
      </c>
      <c r="H18" s="3">
        <v>23255000</v>
      </c>
      <c r="I18" s="3">
        <v>2815000</v>
      </c>
      <c r="J18" s="3">
        <v>0</v>
      </c>
      <c r="K18" s="3">
        <f t="shared" si="0"/>
        <v>405505000</v>
      </c>
      <c r="L18" s="3">
        <f t="shared" si="0"/>
        <v>6565000</v>
      </c>
      <c r="M18" s="3">
        <f t="shared" si="0"/>
        <v>0</v>
      </c>
      <c r="N18" s="3">
        <f t="shared" si="1"/>
        <v>412070000</v>
      </c>
    </row>
    <row r="19" spans="1:15" x14ac:dyDescent="0.15">
      <c r="A19" s="1">
        <v>1987</v>
      </c>
      <c r="B19" s="3">
        <v>406526000</v>
      </c>
      <c r="C19" s="3">
        <v>10424000</v>
      </c>
      <c r="D19" s="3">
        <v>0</v>
      </c>
      <c r="E19" s="3">
        <v>11000000</v>
      </c>
      <c r="F19" s="3">
        <v>0</v>
      </c>
      <c r="G19" s="3">
        <v>0</v>
      </c>
      <c r="H19" s="3">
        <v>25101000</v>
      </c>
      <c r="I19" s="3">
        <v>4500000</v>
      </c>
      <c r="J19" s="3">
        <v>0</v>
      </c>
      <c r="K19" s="3">
        <f t="shared" si="0"/>
        <v>442627000</v>
      </c>
      <c r="L19" s="3">
        <f t="shared" si="0"/>
        <v>14924000</v>
      </c>
      <c r="M19" s="3">
        <f t="shared" si="0"/>
        <v>0</v>
      </c>
      <c r="N19" s="3">
        <f t="shared" si="1"/>
        <v>457551000</v>
      </c>
    </row>
    <row r="20" spans="1:15" x14ac:dyDescent="0.15">
      <c r="A20" s="1">
        <v>1988</v>
      </c>
      <c r="B20" s="3">
        <v>370007000</v>
      </c>
      <c r="C20" s="3">
        <v>11444000</v>
      </c>
      <c r="D20" s="3">
        <v>0</v>
      </c>
      <c r="E20" s="3">
        <v>11000000</v>
      </c>
      <c r="F20" s="3">
        <v>0</v>
      </c>
      <c r="G20" s="3">
        <v>0</v>
      </c>
      <c r="H20" s="3">
        <v>26698000</v>
      </c>
      <c r="I20" s="3">
        <v>6305000</v>
      </c>
      <c r="J20" s="3">
        <v>0</v>
      </c>
      <c r="K20" s="3">
        <f t="shared" si="0"/>
        <v>407705000</v>
      </c>
      <c r="L20" s="3">
        <f t="shared" si="0"/>
        <v>17749000</v>
      </c>
      <c r="M20" s="3">
        <f t="shared" si="0"/>
        <v>0</v>
      </c>
      <c r="N20" s="3">
        <f t="shared" si="1"/>
        <v>425454000</v>
      </c>
    </row>
    <row r="21" spans="1:15" x14ac:dyDescent="0.15">
      <c r="A21" s="1">
        <v>1989</v>
      </c>
      <c r="B21" s="3">
        <v>373062000</v>
      </c>
      <c r="C21" s="3">
        <v>11538000</v>
      </c>
      <c r="D21" s="3">
        <v>0</v>
      </c>
      <c r="E21" s="3">
        <v>11000000</v>
      </c>
      <c r="F21" s="3">
        <v>0</v>
      </c>
      <c r="G21" s="3">
        <v>0</v>
      </c>
      <c r="H21" s="3">
        <v>23346000</v>
      </c>
      <c r="I21" s="3">
        <v>5159000</v>
      </c>
      <c r="J21" s="3">
        <v>0</v>
      </c>
      <c r="K21" s="3">
        <f t="shared" si="0"/>
        <v>407408000</v>
      </c>
      <c r="L21" s="3">
        <f t="shared" si="0"/>
        <v>16697000</v>
      </c>
      <c r="M21" s="3">
        <f t="shared" si="0"/>
        <v>0</v>
      </c>
      <c r="N21" s="3">
        <f t="shared" si="1"/>
        <v>424105000</v>
      </c>
    </row>
    <row r="22" spans="1:15" x14ac:dyDescent="0.15">
      <c r="A22" s="1">
        <v>1990</v>
      </c>
      <c r="B22" s="3">
        <v>369570000</v>
      </c>
      <c r="C22" s="3">
        <v>11430000</v>
      </c>
      <c r="D22" s="3">
        <v>0</v>
      </c>
      <c r="E22" s="3">
        <v>11000000</v>
      </c>
      <c r="F22" s="3">
        <v>0</v>
      </c>
      <c r="G22" s="3">
        <v>0</v>
      </c>
      <c r="H22" s="3">
        <v>24739000</v>
      </c>
      <c r="I22" s="3">
        <v>5968000</v>
      </c>
      <c r="J22" s="3">
        <v>0</v>
      </c>
      <c r="K22" s="3">
        <f t="shared" ref="K22:M35" si="2">+B22+E22+H22</f>
        <v>405309000</v>
      </c>
      <c r="L22" s="3">
        <f t="shared" si="2"/>
        <v>17398000</v>
      </c>
      <c r="M22" s="3">
        <f t="shared" si="2"/>
        <v>0</v>
      </c>
      <c r="N22" s="3">
        <f t="shared" si="1"/>
        <v>422707000</v>
      </c>
    </row>
    <row r="23" spans="1:15" x14ac:dyDescent="0.15">
      <c r="A23" s="1">
        <v>1991</v>
      </c>
      <c r="B23" s="3">
        <v>385090000</v>
      </c>
      <c r="C23" s="3">
        <v>11910000</v>
      </c>
      <c r="D23" s="3">
        <v>0</v>
      </c>
      <c r="E23" s="3">
        <v>11000000</v>
      </c>
      <c r="F23" s="3">
        <v>0</v>
      </c>
      <c r="G23" s="3">
        <v>0</v>
      </c>
      <c r="H23" s="3">
        <v>24151000</v>
      </c>
      <c r="I23" s="3">
        <v>6588000</v>
      </c>
      <c r="J23" s="3">
        <v>0</v>
      </c>
      <c r="K23" s="3">
        <f t="shared" si="2"/>
        <v>420241000</v>
      </c>
      <c r="L23" s="3">
        <f t="shared" si="2"/>
        <v>18498000</v>
      </c>
      <c r="M23" s="3">
        <f t="shared" si="2"/>
        <v>0</v>
      </c>
      <c r="N23" s="3">
        <f t="shared" si="1"/>
        <v>438739000</v>
      </c>
    </row>
    <row r="24" spans="1:15" x14ac:dyDescent="0.15">
      <c r="A24" s="1">
        <v>1992</v>
      </c>
      <c r="B24" s="3">
        <v>424860000</v>
      </c>
      <c r="C24" s="3">
        <v>13140000</v>
      </c>
      <c r="D24" s="3">
        <v>0</v>
      </c>
      <c r="E24" s="3">
        <v>11800000</v>
      </c>
      <c r="F24" s="3">
        <v>0</v>
      </c>
      <c r="G24" s="3">
        <v>0</v>
      </c>
      <c r="H24" s="3">
        <v>9135000</v>
      </c>
      <c r="I24" s="3">
        <v>4223000</v>
      </c>
      <c r="J24" s="3">
        <v>0</v>
      </c>
      <c r="K24" s="3">
        <f t="shared" si="2"/>
        <v>445795000</v>
      </c>
      <c r="L24" s="3">
        <f t="shared" si="2"/>
        <v>17363000</v>
      </c>
      <c r="M24" s="3">
        <f t="shared" si="2"/>
        <v>0</v>
      </c>
      <c r="N24" s="3">
        <f t="shared" si="1"/>
        <v>463158000</v>
      </c>
      <c r="O24" s="1" t="s">
        <v>188</v>
      </c>
    </row>
    <row r="25" spans="1:15" x14ac:dyDescent="0.15">
      <c r="A25" s="1">
        <v>1993</v>
      </c>
      <c r="B25" s="3">
        <v>543673000</v>
      </c>
      <c r="C25" s="3">
        <v>9966000</v>
      </c>
      <c r="D25" s="3">
        <v>0</v>
      </c>
      <c r="E25" s="3">
        <v>11130000</v>
      </c>
      <c r="F25" s="3">
        <v>0</v>
      </c>
      <c r="G25" s="3">
        <v>0</v>
      </c>
      <c r="H25" s="3">
        <v>8185000</v>
      </c>
      <c r="I25" s="3">
        <v>4156000</v>
      </c>
      <c r="J25" s="3">
        <v>0</v>
      </c>
      <c r="K25" s="3">
        <f t="shared" si="2"/>
        <v>562988000</v>
      </c>
      <c r="L25" s="3">
        <f t="shared" si="2"/>
        <v>14122000</v>
      </c>
      <c r="M25" s="3">
        <f t="shared" si="2"/>
        <v>0</v>
      </c>
      <c r="N25" s="3">
        <f t="shared" si="1"/>
        <v>577110000</v>
      </c>
    </row>
    <row r="26" spans="1:15" x14ac:dyDescent="0.15">
      <c r="A26" s="1">
        <v>1994</v>
      </c>
      <c r="B26" s="3">
        <v>606849000</v>
      </c>
      <c r="C26" s="3">
        <v>12385000</v>
      </c>
      <c r="D26" s="3">
        <v>0</v>
      </c>
      <c r="E26" s="3">
        <v>12000000</v>
      </c>
      <c r="F26" s="3">
        <v>0</v>
      </c>
      <c r="G26" s="3">
        <v>0</v>
      </c>
      <c r="H26" s="3">
        <v>5363000</v>
      </c>
      <c r="I26" s="3">
        <v>3213000</v>
      </c>
      <c r="J26" s="3">
        <v>0</v>
      </c>
      <c r="K26" s="3">
        <f t="shared" si="2"/>
        <v>624212000</v>
      </c>
      <c r="L26" s="3">
        <f t="shared" si="2"/>
        <v>15598000</v>
      </c>
      <c r="M26" s="3">
        <f t="shared" si="2"/>
        <v>0</v>
      </c>
      <c r="N26" s="3">
        <f t="shared" si="1"/>
        <v>639810000</v>
      </c>
    </row>
    <row r="27" spans="1:15" x14ac:dyDescent="0.15">
      <c r="A27" s="1">
        <v>1995</v>
      </c>
      <c r="B27" s="3">
        <v>623505000</v>
      </c>
      <c r="C27" s="3">
        <v>9495000</v>
      </c>
      <c r="D27" s="3">
        <v>0</v>
      </c>
      <c r="E27" s="3">
        <f>636704000-B27</f>
        <v>13199000</v>
      </c>
      <c r="F27" s="3">
        <v>0</v>
      </c>
      <c r="G27" s="3">
        <v>0</v>
      </c>
      <c r="H27" s="3">
        <v>7159000</v>
      </c>
      <c r="I27" s="3">
        <v>3187000</v>
      </c>
      <c r="J27" s="3">
        <v>0</v>
      </c>
      <c r="K27" s="3">
        <f t="shared" si="2"/>
        <v>643863000</v>
      </c>
      <c r="L27" s="3">
        <f t="shared" si="2"/>
        <v>12682000</v>
      </c>
      <c r="M27" s="3">
        <f t="shared" si="2"/>
        <v>0</v>
      </c>
      <c r="N27" s="3">
        <f t="shared" si="1"/>
        <v>656545000</v>
      </c>
      <c r="O27" s="1" t="s">
        <v>203</v>
      </c>
    </row>
    <row r="28" spans="1:15" x14ac:dyDescent="0.15">
      <c r="A28" s="1">
        <v>1996</v>
      </c>
      <c r="B28" s="3">
        <v>615889000</v>
      </c>
      <c r="C28" s="3">
        <v>3695000</v>
      </c>
      <c r="D28" s="3">
        <v>0</v>
      </c>
      <c r="E28" s="3">
        <f>625711000-B28</f>
        <v>9822000</v>
      </c>
      <c r="F28" s="3">
        <v>0</v>
      </c>
      <c r="G28" s="3">
        <v>0</v>
      </c>
      <c r="H28" s="3">
        <v>4358000</v>
      </c>
      <c r="I28" s="3">
        <v>3192000</v>
      </c>
      <c r="J28" s="3">
        <v>0</v>
      </c>
      <c r="K28" s="3">
        <f t="shared" si="2"/>
        <v>630069000</v>
      </c>
      <c r="L28" s="3">
        <f t="shared" si="2"/>
        <v>6887000</v>
      </c>
      <c r="M28" s="3">
        <f t="shared" si="2"/>
        <v>0</v>
      </c>
      <c r="N28" s="3">
        <f t="shared" si="1"/>
        <v>636956000</v>
      </c>
    </row>
    <row r="29" spans="1:15" x14ac:dyDescent="0.15">
      <c r="A29" s="1">
        <v>1997</v>
      </c>
      <c r="B29" s="3">
        <v>619786000</v>
      </c>
      <c r="C29" s="3">
        <v>3471000</v>
      </c>
      <c r="D29" s="3">
        <v>0</v>
      </c>
      <c r="E29" s="3">
        <f>629940000-B29</f>
        <v>10154000</v>
      </c>
      <c r="F29" s="3">
        <v>0</v>
      </c>
      <c r="G29" s="3">
        <v>0</v>
      </c>
      <c r="H29" s="3">
        <v>3962000</v>
      </c>
      <c r="I29" s="3">
        <v>2665000</v>
      </c>
      <c r="J29" s="3">
        <v>0</v>
      </c>
      <c r="K29" s="3">
        <f t="shared" si="2"/>
        <v>633902000</v>
      </c>
      <c r="L29" s="3">
        <f t="shared" si="2"/>
        <v>6136000</v>
      </c>
      <c r="M29" s="3">
        <f t="shared" si="2"/>
        <v>0</v>
      </c>
      <c r="N29" s="3">
        <f t="shared" si="1"/>
        <v>640038000</v>
      </c>
    </row>
    <row r="30" spans="1:15" x14ac:dyDescent="0.15">
      <c r="A30" s="1">
        <v>1998</v>
      </c>
      <c r="B30" s="3">
        <f>321309090+305390910</f>
        <v>626700000</v>
      </c>
      <c r="C30" s="3">
        <v>3500000</v>
      </c>
      <c r="D30" s="3">
        <v>0</v>
      </c>
      <c r="E30" s="3">
        <f>636763000-B30</f>
        <v>10063000</v>
      </c>
      <c r="F30" s="3">
        <v>0</v>
      </c>
      <c r="G30" s="3">
        <v>0</v>
      </c>
      <c r="H30" s="3">
        <v>6206000</v>
      </c>
      <c r="I30" s="3">
        <v>2804000</v>
      </c>
      <c r="J30" s="3">
        <v>0</v>
      </c>
      <c r="K30" s="3">
        <f t="shared" si="2"/>
        <v>642969000</v>
      </c>
      <c r="L30" s="3">
        <f t="shared" si="2"/>
        <v>6304000</v>
      </c>
      <c r="M30" s="3">
        <f t="shared" si="2"/>
        <v>0</v>
      </c>
      <c r="N30" s="3">
        <f t="shared" si="1"/>
        <v>649273000</v>
      </c>
    </row>
    <row r="31" spans="1:15" x14ac:dyDescent="0.15">
      <c r="A31" s="1">
        <v>1999</v>
      </c>
      <c r="B31" s="3">
        <v>609049907</v>
      </c>
      <c r="C31" s="3">
        <v>3459000</v>
      </c>
      <c r="D31" s="3">
        <v>0</v>
      </c>
      <c r="E31" s="3">
        <f>619065000-B31</f>
        <v>10015093</v>
      </c>
      <c r="F31" s="3">
        <v>0</v>
      </c>
      <c r="G31" s="3">
        <v>0</v>
      </c>
      <c r="H31" s="3">
        <v>9181000</v>
      </c>
      <c r="I31" s="3">
        <v>2486000</v>
      </c>
      <c r="J31" s="3">
        <v>0</v>
      </c>
      <c r="K31" s="3">
        <f t="shared" si="2"/>
        <v>628246000</v>
      </c>
      <c r="L31" s="3">
        <f t="shared" si="2"/>
        <v>5945000</v>
      </c>
      <c r="M31" s="3">
        <f t="shared" si="2"/>
        <v>0</v>
      </c>
      <c r="N31" s="3">
        <f t="shared" si="1"/>
        <v>634191000</v>
      </c>
    </row>
    <row r="32" spans="1:15" x14ac:dyDescent="0.15">
      <c r="A32" s="1">
        <v>2000</v>
      </c>
      <c r="B32" s="3">
        <v>589159913</v>
      </c>
      <c r="C32" s="3">
        <v>2876000</v>
      </c>
      <c r="D32" s="3">
        <v>0</v>
      </c>
      <c r="E32" s="3">
        <f>599435000-B32</f>
        <v>10275087</v>
      </c>
      <c r="F32" s="3">
        <v>0</v>
      </c>
      <c r="G32" s="3">
        <v>0</v>
      </c>
      <c r="H32" s="3">
        <v>11732000</v>
      </c>
      <c r="I32" s="3">
        <v>2099000</v>
      </c>
      <c r="J32" s="3">
        <v>0</v>
      </c>
      <c r="K32" s="3">
        <f t="shared" si="2"/>
        <v>611167000</v>
      </c>
      <c r="L32" s="3">
        <f t="shared" si="2"/>
        <v>4975000</v>
      </c>
      <c r="M32" s="3">
        <f t="shared" si="2"/>
        <v>0</v>
      </c>
      <c r="N32" s="3">
        <f t="shared" si="1"/>
        <v>616142000</v>
      </c>
    </row>
    <row r="33" spans="1:15" x14ac:dyDescent="0.15">
      <c r="A33" s="1">
        <v>2001</v>
      </c>
      <c r="B33" s="3">
        <f>292994130+342705870</f>
        <v>635700000</v>
      </c>
      <c r="C33" s="3">
        <v>2932000</v>
      </c>
      <c r="D33" s="3">
        <v>0</v>
      </c>
      <c r="E33" s="3">
        <f>645090000-B33</f>
        <v>9390000</v>
      </c>
      <c r="F33" s="3">
        <v>0</v>
      </c>
      <c r="G33" s="3">
        <v>0</v>
      </c>
      <c r="H33" s="3">
        <v>14304000</v>
      </c>
      <c r="I33" s="3">
        <v>2008000</v>
      </c>
      <c r="J33" s="3">
        <v>0</v>
      </c>
      <c r="K33" s="3">
        <f t="shared" si="2"/>
        <v>659394000</v>
      </c>
      <c r="L33" s="3">
        <f t="shared" si="2"/>
        <v>4940000</v>
      </c>
      <c r="M33" s="3">
        <f t="shared" si="2"/>
        <v>0</v>
      </c>
      <c r="N33" s="3">
        <f t="shared" si="1"/>
        <v>664334000</v>
      </c>
    </row>
    <row r="34" spans="1:15" x14ac:dyDescent="0.15">
      <c r="A34" s="1">
        <v>2002</v>
      </c>
      <c r="B34" s="3">
        <v>674600000</v>
      </c>
      <c r="C34" s="3">
        <v>2700000</v>
      </c>
      <c r="D34" s="3">
        <v>0</v>
      </c>
      <c r="E34" s="3">
        <f>684342000-B34</f>
        <v>9742000</v>
      </c>
      <c r="F34" s="3">
        <v>0</v>
      </c>
      <c r="G34" s="3">
        <v>0</v>
      </c>
      <c r="H34" s="3">
        <v>15139000</v>
      </c>
      <c r="I34" s="3">
        <v>1955000</v>
      </c>
      <c r="J34" s="3">
        <v>0</v>
      </c>
      <c r="K34" s="3">
        <f t="shared" si="2"/>
        <v>699481000</v>
      </c>
      <c r="L34" s="3">
        <f t="shared" si="2"/>
        <v>4655000</v>
      </c>
      <c r="M34" s="3">
        <f t="shared" si="2"/>
        <v>0</v>
      </c>
      <c r="N34" s="3">
        <f t="shared" si="1"/>
        <v>704136000</v>
      </c>
    </row>
    <row r="35" spans="1:15" x14ac:dyDescent="0.15">
      <c r="A35" s="1">
        <v>2003</v>
      </c>
      <c r="B35" s="3">
        <v>724000000</v>
      </c>
      <c r="C35" s="3">
        <v>2800000</v>
      </c>
      <c r="D35" s="3">
        <v>0</v>
      </c>
      <c r="E35" s="3">
        <v>13074600</v>
      </c>
      <c r="F35" s="3">
        <v>0</v>
      </c>
      <c r="G35" s="3">
        <v>0</v>
      </c>
      <c r="H35" s="3">
        <v>18606476</v>
      </c>
      <c r="I35" s="3">
        <v>1903100</v>
      </c>
      <c r="J35" s="3">
        <v>0</v>
      </c>
      <c r="K35" s="3">
        <f t="shared" si="2"/>
        <v>755681076</v>
      </c>
      <c r="L35" s="3">
        <f t="shared" si="2"/>
        <v>4703100</v>
      </c>
      <c r="M35" s="3">
        <f t="shared" si="2"/>
        <v>0</v>
      </c>
      <c r="N35" s="3">
        <f t="shared" si="1"/>
        <v>760384176</v>
      </c>
    </row>
    <row r="36" spans="1:15" x14ac:dyDescent="0.15">
      <c r="A36" s="1">
        <v>2004</v>
      </c>
      <c r="B36" s="3">
        <v>843400000</v>
      </c>
      <c r="C36" s="3">
        <v>3000000</v>
      </c>
      <c r="D36" s="3">
        <v>0</v>
      </c>
      <c r="E36" s="3">
        <v>12742700</v>
      </c>
      <c r="F36" s="3">
        <v>0</v>
      </c>
      <c r="G36" s="3">
        <v>0</v>
      </c>
      <c r="H36" s="3">
        <v>19156097</v>
      </c>
      <c r="I36" s="3">
        <v>1887758</v>
      </c>
      <c r="J36" s="3">
        <v>0</v>
      </c>
      <c r="K36" s="3">
        <v>875298797</v>
      </c>
      <c r="L36" s="3">
        <v>4887758</v>
      </c>
      <c r="M36" s="3">
        <v>0</v>
      </c>
      <c r="N36" s="3">
        <v>880186555</v>
      </c>
    </row>
    <row r="37" spans="1:15" x14ac:dyDescent="0.15">
      <c r="A37" s="1">
        <v>2005</v>
      </c>
      <c r="B37" s="3">
        <v>873000000</v>
      </c>
      <c r="C37" s="3">
        <v>3300000</v>
      </c>
      <c r="D37" s="3">
        <v>0</v>
      </c>
      <c r="E37" s="3">
        <v>13017600</v>
      </c>
      <c r="F37" s="3">
        <v>0</v>
      </c>
      <c r="G37" s="3">
        <v>0</v>
      </c>
      <c r="H37" s="3">
        <v>19736511</v>
      </c>
      <c r="I37" s="3">
        <v>1509154</v>
      </c>
      <c r="J37" s="3">
        <v>0</v>
      </c>
      <c r="K37" s="3">
        <v>905754111</v>
      </c>
      <c r="L37" s="3">
        <v>4809154</v>
      </c>
      <c r="M37" s="3">
        <v>0</v>
      </c>
      <c r="N37" s="3">
        <v>910563265</v>
      </c>
    </row>
    <row r="38" spans="1:15" x14ac:dyDescent="0.15">
      <c r="A38" s="1">
        <v>2006</v>
      </c>
      <c r="B38" s="3">
        <v>862030000</v>
      </c>
      <c r="C38" s="3">
        <v>3320000</v>
      </c>
      <c r="D38" s="3">
        <v>0</v>
      </c>
      <c r="E38" s="3">
        <v>12446900</v>
      </c>
      <c r="F38" s="3">
        <v>0</v>
      </c>
      <c r="G38" s="3">
        <v>0</v>
      </c>
      <c r="H38" s="3">
        <v>20652207</v>
      </c>
      <c r="I38" s="3">
        <v>1321812</v>
      </c>
      <c r="J38" s="3">
        <v>0</v>
      </c>
      <c r="K38" s="3">
        <v>895129107</v>
      </c>
      <c r="L38" s="3">
        <v>4641812</v>
      </c>
      <c r="M38" s="3">
        <v>0</v>
      </c>
      <c r="N38" s="3">
        <v>899770919</v>
      </c>
    </row>
    <row r="39" spans="1:15" x14ac:dyDescent="0.15">
      <c r="A39" s="1">
        <v>2007</v>
      </c>
      <c r="B39" s="3">
        <v>827920000</v>
      </c>
      <c r="C39" s="3">
        <v>3270000</v>
      </c>
      <c r="D39" s="3">
        <v>0</v>
      </c>
      <c r="E39" s="3">
        <v>12504000</v>
      </c>
      <c r="F39" s="3">
        <v>0</v>
      </c>
      <c r="G39" s="3">
        <v>0</v>
      </c>
      <c r="H39" s="3">
        <v>21024491</v>
      </c>
      <c r="I39" s="3">
        <v>218844</v>
      </c>
      <c r="J39" s="3">
        <v>0</v>
      </c>
      <c r="K39" s="3">
        <v>861448491</v>
      </c>
      <c r="L39" s="3">
        <v>3488844</v>
      </c>
      <c r="M39" s="3">
        <v>0</v>
      </c>
      <c r="N39" s="3">
        <v>864937335</v>
      </c>
    </row>
    <row r="40" spans="1:15" x14ac:dyDescent="0.15">
      <c r="A40" s="1">
        <v>2008</v>
      </c>
      <c r="B40" s="3">
        <v>791890000</v>
      </c>
      <c r="C40" s="3">
        <v>2910000</v>
      </c>
      <c r="D40" s="3">
        <v>0</v>
      </c>
      <c r="E40" s="3">
        <v>12031600</v>
      </c>
      <c r="F40" s="3">
        <v>0</v>
      </c>
      <c r="G40" s="3">
        <v>0</v>
      </c>
      <c r="H40" s="3">
        <v>20252221</v>
      </c>
      <c r="I40" s="3">
        <v>284969</v>
      </c>
      <c r="J40" s="3">
        <v>0</v>
      </c>
      <c r="K40" s="3">
        <v>824173821</v>
      </c>
      <c r="L40" s="3">
        <v>3194969</v>
      </c>
      <c r="M40" s="3">
        <v>0</v>
      </c>
      <c r="N40" s="3">
        <v>827368790</v>
      </c>
    </row>
    <row r="41" spans="1:15" x14ac:dyDescent="0.15">
      <c r="A41" s="1">
        <v>2009</v>
      </c>
      <c r="B41" s="3">
        <v>810010000</v>
      </c>
      <c r="C41" s="3">
        <v>2990000</v>
      </c>
      <c r="D41" s="3">
        <v>0</v>
      </c>
      <c r="E41" s="3">
        <v>11028000</v>
      </c>
      <c r="F41" s="3">
        <v>0</v>
      </c>
      <c r="G41" s="3">
        <v>0</v>
      </c>
      <c r="H41" s="3">
        <v>29330279</v>
      </c>
      <c r="I41" s="3">
        <v>954759</v>
      </c>
      <c r="J41" s="3">
        <v>0</v>
      </c>
      <c r="K41" s="3">
        <v>850368279</v>
      </c>
      <c r="L41" s="3">
        <v>3944759</v>
      </c>
      <c r="M41" s="3">
        <v>0</v>
      </c>
      <c r="N41" s="3">
        <v>854313038</v>
      </c>
    </row>
    <row r="42" spans="1:15" x14ac:dyDescent="0.15">
      <c r="A42" s="1">
        <v>2010</v>
      </c>
      <c r="B42" s="3">
        <v>898570000</v>
      </c>
      <c r="C42" s="3">
        <v>2830000</v>
      </c>
      <c r="D42" s="3">
        <v>0</v>
      </c>
      <c r="E42" s="3">
        <v>11647000</v>
      </c>
      <c r="F42" s="3">
        <v>0</v>
      </c>
      <c r="G42" s="3">
        <v>0</v>
      </c>
      <c r="H42" s="3">
        <v>30988634</v>
      </c>
      <c r="I42" s="3">
        <v>875664</v>
      </c>
      <c r="J42" s="3">
        <v>0</v>
      </c>
      <c r="K42" s="3">
        <v>941205634</v>
      </c>
      <c r="L42" s="3">
        <v>3705664</v>
      </c>
      <c r="M42" s="3">
        <v>0</v>
      </c>
      <c r="N42" s="3">
        <v>944911298</v>
      </c>
    </row>
    <row r="43" spans="1:15" x14ac:dyDescent="0.15">
      <c r="A43" s="1">
        <v>2011</v>
      </c>
      <c r="B43" s="3">
        <v>855470000</v>
      </c>
      <c r="C43" s="3">
        <v>0</v>
      </c>
      <c r="D43" s="3">
        <v>0</v>
      </c>
      <c r="E43" s="3">
        <v>10568000</v>
      </c>
      <c r="F43" s="3">
        <v>0</v>
      </c>
      <c r="G43" s="3">
        <v>0</v>
      </c>
      <c r="H43" s="3">
        <v>30228214</v>
      </c>
      <c r="I43" s="3">
        <v>1014020</v>
      </c>
      <c r="J43" s="3">
        <v>0</v>
      </c>
      <c r="K43" s="3">
        <v>896266214</v>
      </c>
      <c r="L43" s="3">
        <v>1014020</v>
      </c>
      <c r="M43" s="3">
        <v>0</v>
      </c>
      <c r="N43" s="3">
        <v>897280234</v>
      </c>
      <c r="O43" s="1" t="s">
        <v>297</v>
      </c>
    </row>
    <row r="44" spans="1:15" x14ac:dyDescent="0.15">
      <c r="A44" s="1">
        <v>2012</v>
      </c>
      <c r="B44" s="3">
        <v>920100000</v>
      </c>
      <c r="C44" s="3">
        <v>0</v>
      </c>
      <c r="D44" s="3">
        <v>0</v>
      </c>
      <c r="E44" s="3">
        <v>12299000</v>
      </c>
      <c r="F44" s="3">
        <v>0</v>
      </c>
      <c r="G44" s="3">
        <v>0</v>
      </c>
      <c r="H44" s="3">
        <v>30989081</v>
      </c>
      <c r="I44" s="3">
        <v>1163322</v>
      </c>
      <c r="J44" s="3">
        <v>0</v>
      </c>
      <c r="K44" s="3">
        <v>963388081</v>
      </c>
      <c r="L44" s="3">
        <v>1163322</v>
      </c>
      <c r="M44" s="3">
        <v>0</v>
      </c>
      <c r="N44" s="3">
        <v>964551403</v>
      </c>
    </row>
    <row r="45" spans="1:15" x14ac:dyDescent="0.15">
      <c r="A45" s="1">
        <v>2013</v>
      </c>
      <c r="B45" s="3">
        <v>931072000</v>
      </c>
      <c r="C45" s="3">
        <v>0</v>
      </c>
      <c r="D45" s="3">
        <v>0</v>
      </c>
      <c r="E45" s="3">
        <v>10220000</v>
      </c>
      <c r="F45" s="3">
        <v>0</v>
      </c>
      <c r="G45" s="3">
        <v>0</v>
      </c>
      <c r="H45" s="3">
        <v>30512460</v>
      </c>
      <c r="I45" s="3">
        <v>1211000</v>
      </c>
      <c r="J45" s="3">
        <v>0</v>
      </c>
      <c r="K45" s="3">
        <v>971804460</v>
      </c>
      <c r="L45" s="3">
        <v>1211000</v>
      </c>
      <c r="M45" s="3">
        <v>0</v>
      </c>
      <c r="N45" s="3">
        <v>973015460</v>
      </c>
    </row>
    <row r="46" spans="1:15" x14ac:dyDescent="0.15">
      <c r="A46" s="1">
        <v>2014</v>
      </c>
      <c r="B46" s="3">
        <v>935569000</v>
      </c>
      <c r="C46" s="3">
        <v>0</v>
      </c>
      <c r="D46" s="3">
        <v>0</v>
      </c>
      <c r="E46" s="3">
        <v>12037400</v>
      </c>
      <c r="F46" s="3">
        <v>0</v>
      </c>
      <c r="G46" s="3">
        <v>0</v>
      </c>
      <c r="H46" s="3">
        <v>30440080</v>
      </c>
      <c r="I46" s="3">
        <v>0</v>
      </c>
      <c r="J46" s="3">
        <v>0</v>
      </c>
      <c r="K46" s="3">
        <v>978046480</v>
      </c>
      <c r="L46" s="3">
        <v>0</v>
      </c>
      <c r="M46" s="3">
        <v>0</v>
      </c>
      <c r="N46" s="3">
        <v>978046480</v>
      </c>
      <c r="O46" s="1" t="s">
        <v>298</v>
      </c>
    </row>
    <row r="47" spans="1:15" x14ac:dyDescent="0.15">
      <c r="A47" s="1">
        <v>2015</v>
      </c>
      <c r="B47" s="3">
        <v>975209000</v>
      </c>
      <c r="C47" s="3">
        <v>0</v>
      </c>
      <c r="D47" s="3">
        <v>0</v>
      </c>
      <c r="E47" s="3">
        <v>11947100</v>
      </c>
      <c r="F47" s="3">
        <v>0</v>
      </c>
      <c r="G47" s="3">
        <v>0</v>
      </c>
      <c r="H47" s="3">
        <v>33987522</v>
      </c>
      <c r="I47" s="3">
        <v>0</v>
      </c>
      <c r="J47" s="3">
        <v>0</v>
      </c>
      <c r="K47" s="3">
        <v>1021143622</v>
      </c>
      <c r="L47" s="3">
        <v>0</v>
      </c>
      <c r="M47" s="3">
        <v>0</v>
      </c>
      <c r="N47" s="3">
        <v>1021143622</v>
      </c>
      <c r="O47" s="1" t="s">
        <v>296</v>
      </c>
    </row>
    <row r="48" spans="1:15" x14ac:dyDescent="0.15">
      <c r="A48" s="1">
        <v>2016</v>
      </c>
      <c r="B48" s="3">
        <v>956370000</v>
      </c>
      <c r="C48" s="3">
        <v>0</v>
      </c>
      <c r="D48" s="3">
        <v>0</v>
      </c>
      <c r="E48" s="3">
        <v>11300200</v>
      </c>
      <c r="F48" s="3">
        <v>0</v>
      </c>
      <c r="G48" s="3">
        <v>0</v>
      </c>
      <c r="H48" s="3">
        <v>38451231</v>
      </c>
      <c r="I48" s="3">
        <v>0</v>
      </c>
      <c r="J48" s="3">
        <v>0</v>
      </c>
      <c r="K48" s="3">
        <v>1006121431</v>
      </c>
      <c r="L48" s="3">
        <v>0</v>
      </c>
      <c r="M48" s="3">
        <v>0</v>
      </c>
      <c r="N48" s="3">
        <v>1006121431</v>
      </c>
    </row>
  </sheetData>
  <phoneticPr fontId="0" type="noConversion"/>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625" style="1" customWidth="1"/>
    <col min="3" max="4" width="10.625" style="1"/>
    <col min="5" max="5" width="11.625" style="1" customWidth="1"/>
    <col min="6" max="10" width="10.625" style="1"/>
    <col min="11" max="11" width="12.25" style="1" customWidth="1"/>
    <col min="12" max="13" width="10.625" style="1"/>
    <col min="14" max="14" width="12.375" style="1" customWidth="1"/>
    <col min="15" max="16384" width="10.625" style="1"/>
  </cols>
  <sheetData>
    <row r="1" spans="1:15" x14ac:dyDescent="0.15">
      <c r="A1" s="1" t="s">
        <v>57</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846000</v>
      </c>
      <c r="C8" s="3">
        <v>0</v>
      </c>
      <c r="D8" s="3">
        <v>0</v>
      </c>
      <c r="E8" s="3">
        <v>0</v>
      </c>
      <c r="F8" s="3">
        <v>0</v>
      </c>
      <c r="G8" s="3">
        <v>0</v>
      </c>
      <c r="H8" s="3">
        <v>0</v>
      </c>
      <c r="I8" s="3">
        <v>0</v>
      </c>
      <c r="J8" s="3">
        <v>0</v>
      </c>
      <c r="K8" s="3">
        <f t="shared" si="0"/>
        <v>846000</v>
      </c>
      <c r="L8" s="3">
        <f t="shared" si="0"/>
        <v>0</v>
      </c>
      <c r="M8" s="3">
        <f t="shared" si="0"/>
        <v>0</v>
      </c>
      <c r="N8" s="3">
        <f t="shared" si="1"/>
        <v>846000</v>
      </c>
      <c r="O8" s="1" t="s">
        <v>90</v>
      </c>
    </row>
    <row r="9" spans="1:15" x14ac:dyDescent="0.15">
      <c r="A9" s="1">
        <v>1977</v>
      </c>
      <c r="B9" s="3">
        <v>1571000</v>
      </c>
      <c r="C9" s="3">
        <v>0</v>
      </c>
      <c r="D9" s="3">
        <v>0</v>
      </c>
      <c r="E9" s="3">
        <v>0</v>
      </c>
      <c r="F9" s="3">
        <v>0</v>
      </c>
      <c r="G9" s="3">
        <v>0</v>
      </c>
      <c r="H9" s="3">
        <v>0</v>
      </c>
      <c r="I9" s="3">
        <v>0</v>
      </c>
      <c r="J9" s="3">
        <v>0</v>
      </c>
      <c r="K9" s="3">
        <f t="shared" si="0"/>
        <v>1571000</v>
      </c>
      <c r="L9" s="3">
        <f t="shared" si="0"/>
        <v>0</v>
      </c>
      <c r="M9" s="3">
        <f t="shared" si="0"/>
        <v>0</v>
      </c>
      <c r="N9" s="3">
        <f t="shared" si="1"/>
        <v>1571000</v>
      </c>
    </row>
    <row r="10" spans="1:15" x14ac:dyDescent="0.15">
      <c r="A10" s="1">
        <v>1978</v>
      </c>
      <c r="B10" s="3">
        <v>2570000</v>
      </c>
      <c r="C10" s="3">
        <v>0</v>
      </c>
      <c r="D10" s="3">
        <v>0</v>
      </c>
      <c r="E10" s="3">
        <v>0</v>
      </c>
      <c r="F10" s="3">
        <v>0</v>
      </c>
      <c r="G10" s="3">
        <v>0</v>
      </c>
      <c r="H10" s="3">
        <v>0</v>
      </c>
      <c r="I10" s="3">
        <v>0</v>
      </c>
      <c r="J10" s="3">
        <v>0</v>
      </c>
      <c r="K10" s="3">
        <f t="shared" si="0"/>
        <v>2570000</v>
      </c>
      <c r="L10" s="3">
        <f t="shared" si="0"/>
        <v>0</v>
      </c>
      <c r="M10" s="3">
        <f t="shared" si="0"/>
        <v>0</v>
      </c>
      <c r="N10" s="3">
        <f t="shared" si="1"/>
        <v>2570000</v>
      </c>
    </row>
    <row r="11" spans="1:15" x14ac:dyDescent="0.15">
      <c r="A11" s="1">
        <v>1979</v>
      </c>
      <c r="B11" s="3">
        <v>2734000</v>
      </c>
      <c r="C11" s="3">
        <v>0</v>
      </c>
      <c r="D11" s="3">
        <v>0</v>
      </c>
      <c r="E11" s="3">
        <v>0</v>
      </c>
      <c r="F11" s="3">
        <v>0</v>
      </c>
      <c r="G11" s="3">
        <v>0</v>
      </c>
      <c r="H11" s="3">
        <v>0</v>
      </c>
      <c r="I11" s="3">
        <v>0</v>
      </c>
      <c r="J11" s="3">
        <v>0</v>
      </c>
      <c r="K11" s="3">
        <f t="shared" si="0"/>
        <v>2734000</v>
      </c>
      <c r="L11" s="3">
        <f t="shared" si="0"/>
        <v>0</v>
      </c>
      <c r="M11" s="3">
        <f t="shared" si="0"/>
        <v>0</v>
      </c>
      <c r="N11" s="3">
        <f t="shared" si="1"/>
        <v>2734000</v>
      </c>
    </row>
    <row r="12" spans="1:15" x14ac:dyDescent="0.15">
      <c r="A12" s="1">
        <v>1980</v>
      </c>
      <c r="B12" s="3">
        <v>3287000</v>
      </c>
      <c r="C12" s="3">
        <v>0</v>
      </c>
      <c r="D12" s="3">
        <v>0</v>
      </c>
      <c r="E12" s="3">
        <f>46000+171000</f>
        <v>217000</v>
      </c>
      <c r="F12" s="3">
        <v>0</v>
      </c>
      <c r="G12" s="3">
        <v>0</v>
      </c>
      <c r="H12" s="3">
        <v>10607000</v>
      </c>
      <c r="I12" s="3">
        <v>0</v>
      </c>
      <c r="J12" s="3">
        <v>0</v>
      </c>
      <c r="K12" s="3">
        <f t="shared" si="0"/>
        <v>14111000</v>
      </c>
      <c r="L12" s="3">
        <f t="shared" si="0"/>
        <v>0</v>
      </c>
      <c r="M12" s="3">
        <f t="shared" si="0"/>
        <v>0</v>
      </c>
      <c r="N12" s="3">
        <f t="shared" si="1"/>
        <v>14111000</v>
      </c>
      <c r="O12" s="1" t="s">
        <v>140</v>
      </c>
    </row>
    <row r="13" spans="1:15" x14ac:dyDescent="0.15">
      <c r="A13" s="1">
        <v>1981</v>
      </c>
      <c r="B13" s="3">
        <v>3376000</v>
      </c>
      <c r="C13" s="3">
        <v>0</v>
      </c>
      <c r="D13" s="3">
        <v>0</v>
      </c>
      <c r="E13" s="3">
        <f>44000+274000</f>
        <v>318000</v>
      </c>
      <c r="F13" s="3">
        <v>0</v>
      </c>
      <c r="G13" s="3">
        <v>0</v>
      </c>
      <c r="H13" s="3">
        <v>12677000</v>
      </c>
      <c r="I13" s="3">
        <v>0</v>
      </c>
      <c r="J13" s="3">
        <v>0</v>
      </c>
      <c r="K13" s="3">
        <f t="shared" si="0"/>
        <v>16371000</v>
      </c>
      <c r="L13" s="3">
        <f t="shared" si="0"/>
        <v>0</v>
      </c>
      <c r="M13" s="3">
        <f t="shared" si="0"/>
        <v>0</v>
      </c>
      <c r="N13" s="3">
        <f t="shared" si="1"/>
        <v>16371000</v>
      </c>
    </row>
    <row r="14" spans="1:15" x14ac:dyDescent="0.15">
      <c r="A14" s="1">
        <v>1982</v>
      </c>
      <c r="B14" s="3">
        <v>3299000</v>
      </c>
      <c r="C14" s="3">
        <v>0</v>
      </c>
      <c r="D14" s="3">
        <v>0</v>
      </c>
      <c r="E14" s="3">
        <v>0</v>
      </c>
      <c r="F14" s="3">
        <v>913000</v>
      </c>
      <c r="G14" s="3">
        <v>0</v>
      </c>
      <c r="H14" s="3">
        <v>13588000</v>
      </c>
      <c r="I14" s="3">
        <v>0</v>
      </c>
      <c r="J14" s="3">
        <v>0</v>
      </c>
      <c r="K14" s="3">
        <f t="shared" si="0"/>
        <v>16887000</v>
      </c>
      <c r="L14" s="3">
        <f t="shared" si="0"/>
        <v>913000</v>
      </c>
      <c r="M14" s="3">
        <f t="shared" si="0"/>
        <v>0</v>
      </c>
      <c r="N14" s="3">
        <f t="shared" si="1"/>
        <v>17800000</v>
      </c>
    </row>
    <row r="15" spans="1:15" x14ac:dyDescent="0.15">
      <c r="A15" s="1">
        <v>1983</v>
      </c>
      <c r="B15" s="3">
        <v>3198000</v>
      </c>
      <c r="C15" s="3">
        <v>0</v>
      </c>
      <c r="D15" s="3">
        <v>0</v>
      </c>
      <c r="E15" s="3">
        <v>0</v>
      </c>
      <c r="F15" s="3">
        <v>998000</v>
      </c>
      <c r="G15" s="3">
        <v>0</v>
      </c>
      <c r="H15" s="3">
        <v>15210000</v>
      </c>
      <c r="I15" s="3">
        <v>0</v>
      </c>
      <c r="J15" s="3">
        <v>0</v>
      </c>
      <c r="K15" s="3">
        <f t="shared" si="0"/>
        <v>18408000</v>
      </c>
      <c r="L15" s="3">
        <f t="shared" si="0"/>
        <v>998000</v>
      </c>
      <c r="M15" s="3">
        <f t="shared" si="0"/>
        <v>0</v>
      </c>
      <c r="N15" s="3">
        <f t="shared" si="1"/>
        <v>19406000</v>
      </c>
    </row>
    <row r="16" spans="1:15" x14ac:dyDescent="0.15">
      <c r="A16" s="1">
        <v>1984</v>
      </c>
      <c r="B16" s="3">
        <v>2935000</v>
      </c>
      <c r="C16" s="3">
        <v>0</v>
      </c>
      <c r="D16" s="3">
        <v>0</v>
      </c>
      <c r="E16" s="3">
        <f>1140000+97000</f>
        <v>1237000</v>
      </c>
      <c r="F16" s="3">
        <v>1058000</v>
      </c>
      <c r="G16" s="3">
        <v>0</v>
      </c>
      <c r="H16" s="3">
        <v>17458000</v>
      </c>
      <c r="I16" s="3">
        <v>0</v>
      </c>
      <c r="J16" s="3">
        <v>0</v>
      </c>
      <c r="K16" s="3">
        <f t="shared" si="0"/>
        <v>21630000</v>
      </c>
      <c r="L16" s="3">
        <f t="shared" si="0"/>
        <v>1058000</v>
      </c>
      <c r="M16" s="3">
        <f t="shared" si="0"/>
        <v>0</v>
      </c>
      <c r="N16" s="3">
        <f t="shared" si="1"/>
        <v>22688000</v>
      </c>
    </row>
    <row r="17" spans="1:15" x14ac:dyDescent="0.15">
      <c r="A17" s="1">
        <v>1985</v>
      </c>
      <c r="B17" s="3">
        <v>3266000</v>
      </c>
      <c r="C17" s="3">
        <v>0</v>
      </c>
      <c r="D17" s="3">
        <v>0</v>
      </c>
      <c r="E17" s="3">
        <f>1305000+97000</f>
        <v>1402000</v>
      </c>
      <c r="F17" s="3">
        <v>919000</v>
      </c>
      <c r="G17" s="3">
        <v>0</v>
      </c>
      <c r="H17" s="3">
        <v>18122000</v>
      </c>
      <c r="I17" s="3">
        <v>0</v>
      </c>
      <c r="J17" s="3">
        <v>0</v>
      </c>
      <c r="K17" s="3">
        <f t="shared" si="0"/>
        <v>22790000</v>
      </c>
      <c r="L17" s="3">
        <f t="shared" si="0"/>
        <v>919000</v>
      </c>
      <c r="M17" s="3">
        <f t="shared" si="0"/>
        <v>0</v>
      </c>
      <c r="N17" s="3">
        <f t="shared" si="1"/>
        <v>23709000</v>
      </c>
    </row>
    <row r="18" spans="1:15" x14ac:dyDescent="0.15">
      <c r="A18" s="1">
        <v>1986</v>
      </c>
      <c r="B18" s="3">
        <v>3266000</v>
      </c>
      <c r="C18" s="3">
        <v>0</v>
      </c>
      <c r="D18" s="3">
        <v>0</v>
      </c>
      <c r="E18" s="3">
        <f>1140000+99000</f>
        <v>1239000</v>
      </c>
      <c r="F18" s="3">
        <v>1164000</v>
      </c>
      <c r="G18" s="3">
        <v>0</v>
      </c>
      <c r="H18" s="3">
        <v>19829000</v>
      </c>
      <c r="I18" s="3">
        <v>0</v>
      </c>
      <c r="J18" s="3">
        <v>0</v>
      </c>
      <c r="K18" s="3">
        <f t="shared" si="0"/>
        <v>24334000</v>
      </c>
      <c r="L18" s="3">
        <f t="shared" si="0"/>
        <v>1164000</v>
      </c>
      <c r="M18" s="3">
        <f t="shared" si="0"/>
        <v>0</v>
      </c>
      <c r="N18" s="3">
        <f t="shared" si="1"/>
        <v>25498000</v>
      </c>
    </row>
    <row r="19" spans="1:15" x14ac:dyDescent="0.15">
      <c r="A19" s="1">
        <v>1987</v>
      </c>
      <c r="B19" s="3">
        <v>3157000</v>
      </c>
      <c r="C19" s="3">
        <v>0</v>
      </c>
      <c r="D19" s="3">
        <v>0</v>
      </c>
      <c r="E19" s="3">
        <f>1140000+100000</f>
        <v>1240000</v>
      </c>
      <c r="F19" s="3">
        <v>1218000</v>
      </c>
      <c r="G19" s="3">
        <v>0</v>
      </c>
      <c r="H19" s="3">
        <v>20929000</v>
      </c>
      <c r="I19" s="3">
        <v>0</v>
      </c>
      <c r="J19" s="3">
        <v>0</v>
      </c>
      <c r="K19" s="3">
        <f t="shared" si="0"/>
        <v>25326000</v>
      </c>
      <c r="L19" s="3">
        <f t="shared" si="0"/>
        <v>1218000</v>
      </c>
      <c r="M19" s="3">
        <f t="shared" si="0"/>
        <v>0</v>
      </c>
      <c r="N19" s="3">
        <f t="shared" si="1"/>
        <v>26544000</v>
      </c>
    </row>
    <row r="20" spans="1:15" x14ac:dyDescent="0.15">
      <c r="A20" s="1">
        <v>1988</v>
      </c>
      <c r="B20" s="3">
        <v>3299000</v>
      </c>
      <c r="C20" s="3">
        <v>0</v>
      </c>
      <c r="D20" s="3">
        <v>0</v>
      </c>
      <c r="E20" s="3">
        <f>1140000+120000</f>
        <v>1260000</v>
      </c>
      <c r="F20" s="3">
        <v>1365000</v>
      </c>
      <c r="G20" s="3">
        <v>0</v>
      </c>
      <c r="H20" s="3">
        <v>22038000</v>
      </c>
      <c r="I20" s="3">
        <v>0</v>
      </c>
      <c r="J20" s="3">
        <v>0</v>
      </c>
      <c r="K20" s="3">
        <f t="shared" si="0"/>
        <v>26597000</v>
      </c>
      <c r="L20" s="3">
        <f t="shared" si="0"/>
        <v>1365000</v>
      </c>
      <c r="M20" s="3">
        <f t="shared" si="0"/>
        <v>0</v>
      </c>
      <c r="N20" s="3">
        <f t="shared" si="1"/>
        <v>27962000</v>
      </c>
    </row>
    <row r="21" spans="1:15" x14ac:dyDescent="0.15">
      <c r="A21" s="1">
        <v>1989</v>
      </c>
      <c r="B21" s="3">
        <v>3229000</v>
      </c>
      <c r="C21" s="3">
        <v>0</v>
      </c>
      <c r="D21" s="3">
        <v>0</v>
      </c>
      <c r="E21" s="3">
        <f>1140000+120000</f>
        <v>1260000</v>
      </c>
      <c r="F21" s="3">
        <v>1500000</v>
      </c>
      <c r="G21" s="3">
        <v>0</v>
      </c>
      <c r="H21" s="3">
        <v>23297000</v>
      </c>
      <c r="I21" s="3">
        <v>0</v>
      </c>
      <c r="J21" s="3">
        <v>0</v>
      </c>
      <c r="K21" s="3">
        <f t="shared" si="0"/>
        <v>27786000</v>
      </c>
      <c r="L21" s="3">
        <f t="shared" si="0"/>
        <v>1500000</v>
      </c>
      <c r="M21" s="3">
        <f t="shared" si="0"/>
        <v>0</v>
      </c>
      <c r="N21" s="3">
        <f t="shared" si="1"/>
        <v>29286000</v>
      </c>
      <c r="O21" s="1" t="s">
        <v>175</v>
      </c>
    </row>
    <row r="22" spans="1:15" x14ac:dyDescent="0.15">
      <c r="A22" s="1">
        <v>1990</v>
      </c>
      <c r="B22" s="3">
        <v>3229000</v>
      </c>
      <c r="C22" s="3">
        <v>0</v>
      </c>
      <c r="D22" s="3">
        <v>0</v>
      </c>
      <c r="E22" s="3">
        <v>1260000</v>
      </c>
      <c r="F22" s="3">
        <v>1500000</v>
      </c>
      <c r="G22" s="3">
        <v>0</v>
      </c>
      <c r="H22" s="3">
        <v>23297000</v>
      </c>
      <c r="I22" s="3">
        <v>0</v>
      </c>
      <c r="J22" s="3">
        <v>0</v>
      </c>
      <c r="K22" s="3">
        <f t="shared" ref="K22:M35" si="2">+B22+E22+H22</f>
        <v>27786000</v>
      </c>
      <c r="L22" s="3">
        <f t="shared" si="2"/>
        <v>1500000</v>
      </c>
      <c r="M22" s="3">
        <f t="shared" si="2"/>
        <v>0</v>
      </c>
      <c r="N22" s="3">
        <f t="shared" si="1"/>
        <v>29286000</v>
      </c>
      <c r="O22" s="1" t="s">
        <v>181</v>
      </c>
    </row>
    <row r="23" spans="1:15" x14ac:dyDescent="0.15">
      <c r="A23" s="1">
        <v>1991</v>
      </c>
      <c r="B23" s="3">
        <v>2569000</v>
      </c>
      <c r="C23" s="3">
        <v>0</v>
      </c>
      <c r="D23" s="3">
        <v>0</v>
      </c>
      <c r="E23" s="3">
        <v>0</v>
      </c>
      <c r="F23" s="3">
        <v>1145000</v>
      </c>
      <c r="G23" s="3">
        <v>0</v>
      </c>
      <c r="H23" s="3">
        <v>24566000</v>
      </c>
      <c r="I23" s="3">
        <v>0</v>
      </c>
      <c r="J23" s="3">
        <v>0</v>
      </c>
      <c r="K23" s="3">
        <f t="shared" si="2"/>
        <v>27135000</v>
      </c>
      <c r="L23" s="3">
        <f t="shared" si="2"/>
        <v>1145000</v>
      </c>
      <c r="M23" s="3">
        <f t="shared" si="2"/>
        <v>0</v>
      </c>
      <c r="N23" s="3">
        <f t="shared" si="1"/>
        <v>28280000</v>
      </c>
    </row>
    <row r="24" spans="1:15" x14ac:dyDescent="0.15">
      <c r="A24" s="1">
        <v>1992</v>
      </c>
      <c r="B24" s="3">
        <v>2758000</v>
      </c>
      <c r="C24" s="3">
        <v>0</v>
      </c>
      <c r="D24" s="3">
        <v>0</v>
      </c>
      <c r="E24" s="3">
        <v>0</v>
      </c>
      <c r="F24" s="3">
        <v>1161000</v>
      </c>
      <c r="G24" s="3">
        <v>0</v>
      </c>
      <c r="H24" s="3">
        <v>24218000</v>
      </c>
      <c r="I24" s="3">
        <v>0</v>
      </c>
      <c r="J24" s="3">
        <v>0</v>
      </c>
      <c r="K24" s="3">
        <f t="shared" si="2"/>
        <v>26976000</v>
      </c>
      <c r="L24" s="3">
        <f t="shared" si="2"/>
        <v>1161000</v>
      </c>
      <c r="M24" s="3">
        <f t="shared" si="2"/>
        <v>0</v>
      </c>
      <c r="N24" s="3">
        <f t="shared" si="1"/>
        <v>28137000</v>
      </c>
    </row>
    <row r="25" spans="1:15" x14ac:dyDescent="0.15">
      <c r="A25" s="1">
        <v>1993</v>
      </c>
      <c r="B25" s="3">
        <v>3163000</v>
      </c>
      <c r="C25" s="3">
        <v>0</v>
      </c>
      <c r="D25" s="3">
        <v>0</v>
      </c>
      <c r="E25" s="3">
        <v>10784000</v>
      </c>
      <c r="F25" s="3">
        <v>1161000</v>
      </c>
      <c r="G25" s="3">
        <v>0</v>
      </c>
      <c r="H25" s="3">
        <v>24218000</v>
      </c>
      <c r="I25" s="3">
        <v>0</v>
      </c>
      <c r="J25" s="3">
        <v>0</v>
      </c>
      <c r="K25" s="3">
        <f t="shared" si="2"/>
        <v>38165000</v>
      </c>
      <c r="L25" s="3">
        <f t="shared" si="2"/>
        <v>1161000</v>
      </c>
      <c r="M25" s="3">
        <f t="shared" si="2"/>
        <v>0</v>
      </c>
      <c r="N25" s="3">
        <f t="shared" si="1"/>
        <v>39326000</v>
      </c>
      <c r="O25" s="1" t="s">
        <v>196</v>
      </c>
    </row>
    <row r="26" spans="1:15" x14ac:dyDescent="0.15">
      <c r="A26" s="1">
        <v>1994</v>
      </c>
      <c r="B26" s="3">
        <v>3162000</v>
      </c>
      <c r="C26" s="3">
        <v>0</v>
      </c>
      <c r="D26" s="3">
        <v>0</v>
      </c>
      <c r="E26" s="3">
        <v>11274000</v>
      </c>
      <c r="F26" s="3">
        <v>1150000</v>
      </c>
      <c r="G26" s="3">
        <v>0</v>
      </c>
      <c r="H26" s="3">
        <v>24783000</v>
      </c>
      <c r="I26" s="3">
        <v>0</v>
      </c>
      <c r="J26" s="3">
        <v>0</v>
      </c>
      <c r="K26" s="3">
        <f t="shared" si="2"/>
        <v>39219000</v>
      </c>
      <c r="L26" s="3">
        <f t="shared" si="2"/>
        <v>1150000</v>
      </c>
      <c r="M26" s="3">
        <f t="shared" si="2"/>
        <v>0</v>
      </c>
      <c r="N26" s="3">
        <f t="shared" si="1"/>
        <v>40369000</v>
      </c>
    </row>
    <row r="27" spans="1:15" x14ac:dyDescent="0.15">
      <c r="A27" s="1">
        <v>1995</v>
      </c>
      <c r="B27" s="3">
        <v>0</v>
      </c>
      <c r="C27" s="3">
        <v>0</v>
      </c>
      <c r="D27" s="3">
        <v>0</v>
      </c>
      <c r="E27" s="3">
        <v>13774000</v>
      </c>
      <c r="F27" s="3">
        <v>2900000</v>
      </c>
      <c r="G27" s="3">
        <v>0</v>
      </c>
      <c r="H27" s="3">
        <v>28940000</v>
      </c>
      <c r="I27" s="3">
        <v>770000</v>
      </c>
      <c r="J27" s="3">
        <v>0</v>
      </c>
      <c r="K27" s="3">
        <f t="shared" si="2"/>
        <v>42714000</v>
      </c>
      <c r="L27" s="3">
        <f t="shared" si="2"/>
        <v>3670000</v>
      </c>
      <c r="M27" s="3">
        <f t="shared" si="2"/>
        <v>0</v>
      </c>
      <c r="N27" s="3">
        <f t="shared" si="1"/>
        <v>46384000</v>
      </c>
      <c r="O27" s="1" t="s">
        <v>241</v>
      </c>
    </row>
    <row r="28" spans="1:15" x14ac:dyDescent="0.15">
      <c r="A28" s="1">
        <v>1996</v>
      </c>
      <c r="B28" s="3">
        <v>2918799</v>
      </c>
      <c r="C28" s="3">
        <v>0</v>
      </c>
      <c r="D28" s="3">
        <v>0</v>
      </c>
      <c r="E28" s="3">
        <f>16659000-B28</f>
        <v>13740201</v>
      </c>
      <c r="F28" s="3">
        <v>1251000</v>
      </c>
      <c r="G28" s="3">
        <v>0</v>
      </c>
      <c r="H28" s="3">
        <v>27309000</v>
      </c>
      <c r="I28" s="3">
        <v>2100000</v>
      </c>
      <c r="J28" s="3">
        <v>0</v>
      </c>
      <c r="K28" s="3">
        <f t="shared" si="2"/>
        <v>43968000</v>
      </c>
      <c r="L28" s="3">
        <f t="shared" si="2"/>
        <v>3351000</v>
      </c>
      <c r="M28" s="3">
        <f t="shared" si="2"/>
        <v>0</v>
      </c>
      <c r="N28" s="3">
        <f t="shared" si="1"/>
        <v>47319000</v>
      </c>
    </row>
    <row r="29" spans="1:15" x14ac:dyDescent="0.15">
      <c r="A29" s="1">
        <v>1997</v>
      </c>
      <c r="B29" s="3">
        <v>2255534</v>
      </c>
      <c r="C29" s="3">
        <v>0</v>
      </c>
      <c r="D29" s="3">
        <v>0</v>
      </c>
      <c r="E29" s="3">
        <v>15179538</v>
      </c>
      <c r="F29" s="3">
        <v>1430000</v>
      </c>
      <c r="G29" s="3">
        <v>0</v>
      </c>
      <c r="H29" s="3">
        <v>28813000</v>
      </c>
      <c r="I29" s="3">
        <v>2910000</v>
      </c>
      <c r="J29" s="3">
        <v>0</v>
      </c>
      <c r="K29" s="3">
        <f t="shared" si="2"/>
        <v>46248072</v>
      </c>
      <c r="L29" s="3">
        <f t="shared" si="2"/>
        <v>4340000</v>
      </c>
      <c r="M29" s="3">
        <f t="shared" si="2"/>
        <v>0</v>
      </c>
      <c r="N29" s="3">
        <f t="shared" si="1"/>
        <v>50588072</v>
      </c>
    </row>
    <row r="30" spans="1:15" x14ac:dyDescent="0.15">
      <c r="A30" s="1">
        <v>1998</v>
      </c>
      <c r="B30" s="3">
        <f>1818132+729565</f>
        <v>2547697</v>
      </c>
      <c r="C30" s="3">
        <v>0</v>
      </c>
      <c r="D30" s="3">
        <v>0</v>
      </c>
      <c r="E30" s="3">
        <f>37094000-B30</f>
        <v>34546303</v>
      </c>
      <c r="F30" s="3">
        <v>1879000</v>
      </c>
      <c r="G30" s="3">
        <v>0</v>
      </c>
      <c r="H30" s="3">
        <v>46974000</v>
      </c>
      <c r="I30" s="3">
        <v>19284000</v>
      </c>
      <c r="J30" s="3">
        <v>0</v>
      </c>
      <c r="K30" s="3">
        <f t="shared" si="2"/>
        <v>84068000</v>
      </c>
      <c r="L30" s="3">
        <f t="shared" si="2"/>
        <v>21163000</v>
      </c>
      <c r="M30" s="3">
        <f t="shared" si="2"/>
        <v>0</v>
      </c>
      <c r="N30" s="3">
        <f t="shared" si="1"/>
        <v>105231000</v>
      </c>
      <c r="O30" s="1" t="s">
        <v>226</v>
      </c>
    </row>
    <row r="31" spans="1:15" x14ac:dyDescent="0.15">
      <c r="A31" s="1">
        <v>1999</v>
      </c>
      <c r="B31" s="3">
        <v>2098133</v>
      </c>
      <c r="C31" s="3">
        <v>0</v>
      </c>
      <c r="D31" s="3">
        <v>0</v>
      </c>
      <c r="E31" s="3">
        <f>41579000-B31</f>
        <v>39480867</v>
      </c>
      <c r="F31" s="3">
        <v>1886000</v>
      </c>
      <c r="G31" s="3">
        <v>0</v>
      </c>
      <c r="H31" s="3">
        <v>53307000</v>
      </c>
      <c r="I31" s="3">
        <v>21899000</v>
      </c>
      <c r="J31" s="3">
        <v>0</v>
      </c>
      <c r="K31" s="3">
        <f t="shared" si="2"/>
        <v>94886000</v>
      </c>
      <c r="L31" s="3">
        <f t="shared" si="2"/>
        <v>23785000</v>
      </c>
      <c r="M31" s="3">
        <f t="shared" si="2"/>
        <v>0</v>
      </c>
      <c r="N31" s="3">
        <f t="shared" si="1"/>
        <v>118671000</v>
      </c>
    </row>
    <row r="32" spans="1:15" x14ac:dyDescent="0.15">
      <c r="A32" s="1">
        <v>2000</v>
      </c>
      <c r="B32" s="3">
        <v>2103591</v>
      </c>
      <c r="C32" s="3">
        <v>0</v>
      </c>
      <c r="D32" s="3">
        <v>0</v>
      </c>
      <c r="E32" s="3">
        <f>50572000-B32</f>
        <v>48468409</v>
      </c>
      <c r="F32" s="3">
        <v>1959000</v>
      </c>
      <c r="G32" s="3">
        <v>0</v>
      </c>
      <c r="H32" s="3">
        <v>58432000</v>
      </c>
      <c r="I32" s="3">
        <v>23958000</v>
      </c>
      <c r="J32" s="3">
        <v>0</v>
      </c>
      <c r="K32" s="3">
        <f t="shared" si="2"/>
        <v>109004000</v>
      </c>
      <c r="L32" s="3">
        <f t="shared" si="2"/>
        <v>25917000</v>
      </c>
      <c r="M32" s="3">
        <f t="shared" si="2"/>
        <v>0</v>
      </c>
      <c r="N32" s="3">
        <f t="shared" si="1"/>
        <v>134921000</v>
      </c>
      <c r="O32" s="1" t="s">
        <v>237</v>
      </c>
    </row>
    <row r="33" spans="1:15" x14ac:dyDescent="0.15">
      <c r="A33" s="1">
        <v>2001</v>
      </c>
      <c r="B33" s="3">
        <v>0</v>
      </c>
      <c r="C33" s="3">
        <v>0</v>
      </c>
      <c r="D33" s="3">
        <v>0</v>
      </c>
      <c r="E33" s="3">
        <v>58769000</v>
      </c>
      <c r="F33" s="3">
        <v>2119000</v>
      </c>
      <c r="G33" s="3">
        <v>0</v>
      </c>
      <c r="H33" s="3">
        <v>62384000</v>
      </c>
      <c r="I33" s="3">
        <v>25925000</v>
      </c>
      <c r="J33" s="3">
        <v>0</v>
      </c>
      <c r="K33" s="3">
        <f t="shared" si="2"/>
        <v>121153000</v>
      </c>
      <c r="L33" s="3">
        <f t="shared" si="2"/>
        <v>28044000</v>
      </c>
      <c r="M33" s="3">
        <f t="shared" si="2"/>
        <v>0</v>
      </c>
      <c r="N33" s="3">
        <f t="shared" si="1"/>
        <v>149197000</v>
      </c>
      <c r="O33" s="1" t="s">
        <v>241</v>
      </c>
    </row>
    <row r="34" spans="1:15" x14ac:dyDescent="0.15">
      <c r="A34" s="1">
        <v>2002</v>
      </c>
      <c r="B34" s="3">
        <v>2839046</v>
      </c>
      <c r="C34" s="3">
        <v>0</v>
      </c>
      <c r="D34" s="3">
        <v>0</v>
      </c>
      <c r="E34" s="3">
        <f>71897000-B34</f>
        <v>69057954</v>
      </c>
      <c r="F34" s="3">
        <v>2273000</v>
      </c>
      <c r="G34" s="3">
        <v>0</v>
      </c>
      <c r="H34" s="3">
        <v>62299000</v>
      </c>
      <c r="I34" s="3">
        <v>29452000</v>
      </c>
      <c r="J34" s="3">
        <v>0</v>
      </c>
      <c r="K34" s="3">
        <f t="shared" si="2"/>
        <v>134196000</v>
      </c>
      <c r="L34" s="3">
        <f t="shared" si="2"/>
        <v>31725000</v>
      </c>
      <c r="M34" s="3">
        <f t="shared" si="2"/>
        <v>0</v>
      </c>
      <c r="N34" s="3">
        <f t="shared" si="1"/>
        <v>165921000</v>
      </c>
    </row>
    <row r="35" spans="1:15" x14ac:dyDescent="0.15">
      <c r="A35" s="1">
        <v>2003</v>
      </c>
      <c r="B35" s="3">
        <v>3032044</v>
      </c>
      <c r="C35" s="3">
        <v>0</v>
      </c>
      <c r="D35" s="3">
        <v>0</v>
      </c>
      <c r="E35" s="3">
        <v>73312060</v>
      </c>
      <c r="F35" s="3">
        <v>1988932</v>
      </c>
      <c r="G35" s="3">
        <v>6045714</v>
      </c>
      <c r="H35" s="3">
        <v>45272192</v>
      </c>
      <c r="I35" s="3">
        <v>0</v>
      </c>
      <c r="J35" s="3">
        <v>14544733</v>
      </c>
      <c r="K35" s="3">
        <f t="shared" si="2"/>
        <v>121616296</v>
      </c>
      <c r="L35" s="3">
        <f t="shared" si="2"/>
        <v>1988932</v>
      </c>
      <c r="M35" s="3">
        <f t="shared" si="2"/>
        <v>20590447</v>
      </c>
      <c r="N35" s="3">
        <f t="shared" si="1"/>
        <v>144195675</v>
      </c>
    </row>
    <row r="36" spans="1:15" x14ac:dyDescent="0.15">
      <c r="A36" s="1">
        <v>2004</v>
      </c>
      <c r="B36" s="3">
        <v>76224734</v>
      </c>
      <c r="C36" s="3">
        <v>0</v>
      </c>
      <c r="D36" s="3">
        <v>0</v>
      </c>
      <c r="E36" s="3">
        <v>30986479</v>
      </c>
      <c r="F36" s="3">
        <v>3248488</v>
      </c>
      <c r="G36" s="3">
        <v>0</v>
      </c>
      <c r="H36" s="3">
        <v>49392653</v>
      </c>
      <c r="I36" s="3">
        <v>716774</v>
      </c>
      <c r="J36" s="3">
        <v>0</v>
      </c>
      <c r="K36" s="3">
        <v>156603866</v>
      </c>
      <c r="L36" s="3">
        <v>3965262</v>
      </c>
      <c r="M36" s="3">
        <v>0</v>
      </c>
      <c r="N36" s="3">
        <v>160569129</v>
      </c>
      <c r="O36" s="1" t="s">
        <v>299</v>
      </c>
    </row>
    <row r="37" spans="1:15" x14ac:dyDescent="0.15">
      <c r="A37" s="1">
        <v>2005</v>
      </c>
      <c r="B37" s="3">
        <v>95108927</v>
      </c>
      <c r="C37" s="3">
        <v>0</v>
      </c>
      <c r="D37" s="3">
        <v>0</v>
      </c>
      <c r="E37" s="3">
        <v>10477401</v>
      </c>
      <c r="F37" s="3">
        <v>2579682</v>
      </c>
      <c r="G37" s="3">
        <v>22322846</v>
      </c>
      <c r="H37" s="3">
        <v>50469519</v>
      </c>
      <c r="I37" s="3">
        <v>895140</v>
      </c>
      <c r="J37" s="3">
        <v>0</v>
      </c>
      <c r="K37" s="3">
        <v>156055847</v>
      </c>
      <c r="L37" s="3">
        <v>3474822</v>
      </c>
      <c r="M37" s="3">
        <v>22322846</v>
      </c>
      <c r="N37" s="3">
        <v>181853515</v>
      </c>
      <c r="O37" s="1" t="s">
        <v>300</v>
      </c>
    </row>
    <row r="38" spans="1:15" x14ac:dyDescent="0.15">
      <c r="A38" s="1">
        <v>2006</v>
      </c>
      <c r="B38" s="3">
        <v>110373407</v>
      </c>
      <c r="C38" s="3">
        <v>0</v>
      </c>
      <c r="D38" s="3">
        <v>0</v>
      </c>
      <c r="E38" s="3">
        <v>27814192</v>
      </c>
      <c r="F38" s="3">
        <v>361527</v>
      </c>
      <c r="G38" s="3">
        <v>4443985</v>
      </c>
      <c r="H38" s="3">
        <v>53830599</v>
      </c>
      <c r="I38" s="3">
        <v>0</v>
      </c>
      <c r="J38" s="3">
        <v>0</v>
      </c>
      <c r="K38" s="3">
        <v>192018198</v>
      </c>
      <c r="L38" s="3">
        <v>361527</v>
      </c>
      <c r="M38" s="3">
        <v>4443985</v>
      </c>
      <c r="N38" s="3">
        <v>196823710</v>
      </c>
    </row>
    <row r="39" spans="1:15" x14ac:dyDescent="0.15">
      <c r="A39" s="1">
        <v>2007</v>
      </c>
      <c r="B39" s="3">
        <v>132445080</v>
      </c>
      <c r="C39" s="3">
        <v>0</v>
      </c>
      <c r="D39" s="3">
        <v>0</v>
      </c>
      <c r="E39" s="3">
        <v>31204692</v>
      </c>
      <c r="F39" s="3">
        <v>2368372</v>
      </c>
      <c r="G39" s="3">
        <v>4109026</v>
      </c>
      <c r="H39" s="3">
        <v>57982336</v>
      </c>
      <c r="I39" s="3">
        <v>1105100</v>
      </c>
      <c r="J39" s="3">
        <v>0</v>
      </c>
      <c r="K39" s="3">
        <v>221632108</v>
      </c>
      <c r="L39" s="3">
        <v>3473472</v>
      </c>
      <c r="M39" s="3">
        <v>4109026</v>
      </c>
      <c r="N39" s="3">
        <v>229214606</v>
      </c>
    </row>
    <row r="40" spans="1:15" x14ac:dyDescent="0.15">
      <c r="A40" s="1">
        <v>2008</v>
      </c>
      <c r="B40" s="3">
        <v>155753856</v>
      </c>
      <c r="C40" s="3">
        <v>0</v>
      </c>
      <c r="D40" s="3">
        <v>0</v>
      </c>
      <c r="E40" s="3">
        <v>69637347</v>
      </c>
      <c r="F40" s="3">
        <v>1541706</v>
      </c>
      <c r="G40" s="3">
        <v>2991222</v>
      </c>
      <c r="H40" s="3">
        <v>61381967</v>
      </c>
      <c r="I40" s="3">
        <v>1180900</v>
      </c>
      <c r="J40" s="3">
        <v>0</v>
      </c>
      <c r="K40" s="3">
        <v>286773170</v>
      </c>
      <c r="L40" s="3">
        <v>2722606</v>
      </c>
      <c r="M40" s="3">
        <v>2991222</v>
      </c>
      <c r="N40" s="3">
        <v>292486998</v>
      </c>
    </row>
    <row r="41" spans="1:15" x14ac:dyDescent="0.15">
      <c r="A41" s="1">
        <v>2009</v>
      </c>
      <c r="B41" s="3">
        <v>192681189</v>
      </c>
      <c r="C41" s="3">
        <v>0</v>
      </c>
      <c r="D41" s="3">
        <v>0</v>
      </c>
      <c r="E41" s="3">
        <v>118404043</v>
      </c>
      <c r="F41" s="3">
        <v>1062105</v>
      </c>
      <c r="G41" s="3">
        <v>6887631</v>
      </c>
      <c r="H41" s="3">
        <v>65613795</v>
      </c>
      <c r="I41" s="3">
        <v>854900</v>
      </c>
      <c r="J41" s="3">
        <v>0</v>
      </c>
      <c r="K41" s="3">
        <v>376699027</v>
      </c>
      <c r="L41" s="3">
        <v>1917005</v>
      </c>
      <c r="M41" s="3">
        <v>6887631</v>
      </c>
      <c r="N41" s="3">
        <v>385503663</v>
      </c>
    </row>
    <row r="42" spans="1:15" x14ac:dyDescent="0.15">
      <c r="A42" s="1">
        <v>2010</v>
      </c>
      <c r="B42" s="3">
        <v>198253045</v>
      </c>
      <c r="C42" s="3">
        <v>0</v>
      </c>
      <c r="D42" s="3">
        <v>0</v>
      </c>
      <c r="E42" s="3">
        <v>121618092</v>
      </c>
      <c r="F42" s="3">
        <v>438980</v>
      </c>
      <c r="G42" s="3">
        <v>0</v>
      </c>
      <c r="H42" s="3">
        <v>62255257</v>
      </c>
      <c r="I42" s="3">
        <v>537550</v>
      </c>
      <c r="J42" s="3">
        <v>0</v>
      </c>
      <c r="K42" s="3">
        <v>382126394</v>
      </c>
      <c r="L42" s="3">
        <v>976530</v>
      </c>
      <c r="M42" s="3">
        <v>0</v>
      </c>
      <c r="N42" s="3">
        <v>383102924</v>
      </c>
      <c r="O42" s="1" t="s">
        <v>301</v>
      </c>
    </row>
    <row r="43" spans="1:15" x14ac:dyDescent="0.15">
      <c r="A43" s="1">
        <v>2011</v>
      </c>
      <c r="B43" s="3">
        <v>229484580</v>
      </c>
      <c r="C43" s="3">
        <v>0</v>
      </c>
      <c r="D43" s="3">
        <v>0</v>
      </c>
      <c r="E43" s="3">
        <v>82419865</v>
      </c>
      <c r="F43" s="3">
        <v>390380</v>
      </c>
      <c r="G43" s="3">
        <v>0</v>
      </c>
      <c r="H43" s="3">
        <v>66461297</v>
      </c>
      <c r="I43" s="3">
        <v>250200</v>
      </c>
      <c r="J43" s="3">
        <v>0</v>
      </c>
      <c r="K43" s="3">
        <v>378365742</v>
      </c>
      <c r="L43" s="3">
        <v>640580</v>
      </c>
      <c r="M43" s="3">
        <v>0</v>
      </c>
      <c r="N43" s="3">
        <v>379006322</v>
      </c>
    </row>
    <row r="44" spans="1:15" x14ac:dyDescent="0.15">
      <c r="A44" s="1">
        <v>2012</v>
      </c>
      <c r="B44" s="3">
        <v>181077075</v>
      </c>
      <c r="C44" s="3">
        <v>0</v>
      </c>
      <c r="D44" s="3">
        <v>0</v>
      </c>
      <c r="E44" s="3">
        <v>86558466</v>
      </c>
      <c r="F44" s="3">
        <v>474624</v>
      </c>
      <c r="G44" s="3">
        <v>0</v>
      </c>
      <c r="H44" s="3">
        <v>59635270</v>
      </c>
      <c r="I44" s="3">
        <v>0</v>
      </c>
      <c r="J44" s="3">
        <v>0</v>
      </c>
      <c r="K44" s="3">
        <v>327270811</v>
      </c>
      <c r="L44" s="3">
        <v>474624</v>
      </c>
      <c r="M44" s="3">
        <v>0</v>
      </c>
      <c r="N44" s="3">
        <v>327745435</v>
      </c>
    </row>
    <row r="45" spans="1:15" x14ac:dyDescent="0.15">
      <c r="A45" s="1">
        <v>2013</v>
      </c>
      <c r="B45" s="3">
        <v>240387857</v>
      </c>
      <c r="C45" s="3">
        <v>0</v>
      </c>
      <c r="D45" s="3">
        <v>0</v>
      </c>
      <c r="E45" s="3">
        <v>92070710</v>
      </c>
      <c r="F45" s="3">
        <v>393685</v>
      </c>
      <c r="G45" s="3">
        <v>0</v>
      </c>
      <c r="H45" s="3">
        <v>8142917</v>
      </c>
      <c r="I45" s="3">
        <v>228344</v>
      </c>
      <c r="J45" s="3">
        <v>0</v>
      </c>
      <c r="K45" s="3">
        <v>340601484</v>
      </c>
      <c r="L45" s="3">
        <v>622029</v>
      </c>
      <c r="M45" s="3">
        <v>0</v>
      </c>
      <c r="N45" s="3">
        <v>341223513</v>
      </c>
    </row>
    <row r="46" spans="1:15" x14ac:dyDescent="0.15">
      <c r="A46" s="1">
        <v>2014</v>
      </c>
      <c r="B46" s="3">
        <v>225816744</v>
      </c>
      <c r="C46" s="3">
        <v>0</v>
      </c>
      <c r="D46" s="3">
        <v>0</v>
      </c>
      <c r="E46" s="3">
        <v>100332248</v>
      </c>
      <c r="F46" s="3">
        <v>391700</v>
      </c>
      <c r="G46" s="3">
        <v>0</v>
      </c>
      <c r="H46" s="3">
        <v>6961669</v>
      </c>
      <c r="I46" s="3">
        <v>244452</v>
      </c>
      <c r="J46" s="3">
        <v>0</v>
      </c>
      <c r="K46" s="3">
        <v>333110661</v>
      </c>
      <c r="L46" s="3">
        <v>636152</v>
      </c>
      <c r="M46" s="3">
        <v>0</v>
      </c>
      <c r="N46" s="3">
        <v>333746813</v>
      </c>
    </row>
    <row r="47" spans="1:15" x14ac:dyDescent="0.15">
      <c r="A47" s="1">
        <v>2015</v>
      </c>
      <c r="B47" s="3">
        <v>220755489</v>
      </c>
      <c r="C47" s="3">
        <v>0</v>
      </c>
      <c r="D47" s="3">
        <v>0</v>
      </c>
      <c r="E47" s="3">
        <v>78156965</v>
      </c>
      <c r="F47" s="3">
        <v>394700</v>
      </c>
      <c r="G47" s="3">
        <v>0</v>
      </c>
      <c r="H47" s="3">
        <v>5760674</v>
      </c>
      <c r="I47" s="3">
        <v>201181</v>
      </c>
      <c r="J47" s="3">
        <v>0</v>
      </c>
      <c r="K47" s="3">
        <v>304673128</v>
      </c>
      <c r="L47" s="3">
        <v>595881</v>
      </c>
      <c r="M47" s="3">
        <v>0</v>
      </c>
      <c r="N47" s="3">
        <v>305269009</v>
      </c>
      <c r="O47" s="1" t="s">
        <v>302</v>
      </c>
    </row>
    <row r="48" spans="1:15" x14ac:dyDescent="0.15">
      <c r="A48" s="1">
        <v>2016</v>
      </c>
      <c r="B48" s="3">
        <v>229189692</v>
      </c>
      <c r="C48" s="3">
        <v>0</v>
      </c>
      <c r="D48" s="3">
        <v>0</v>
      </c>
      <c r="E48" s="3">
        <v>83419829</v>
      </c>
      <c r="F48" s="3">
        <v>389800</v>
      </c>
      <c r="G48" s="3">
        <v>0</v>
      </c>
      <c r="H48" s="3">
        <v>5177689</v>
      </c>
      <c r="I48" s="3">
        <v>258948</v>
      </c>
      <c r="J48" s="3">
        <v>0</v>
      </c>
      <c r="K48" s="3">
        <v>317787210</v>
      </c>
      <c r="L48" s="3">
        <v>648748</v>
      </c>
      <c r="M48" s="3">
        <v>0</v>
      </c>
      <c r="N48" s="3">
        <v>318435958</v>
      </c>
    </row>
  </sheetData>
  <phoneticPr fontId="0"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58</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144708</v>
      </c>
      <c r="C6" s="3">
        <v>0</v>
      </c>
      <c r="D6" s="3">
        <v>0</v>
      </c>
      <c r="E6" s="3">
        <v>0</v>
      </c>
      <c r="F6" s="3">
        <v>0</v>
      </c>
      <c r="G6" s="3">
        <v>0</v>
      </c>
      <c r="H6" s="3">
        <v>0</v>
      </c>
      <c r="I6" s="3">
        <v>0</v>
      </c>
      <c r="J6" s="3">
        <v>0</v>
      </c>
      <c r="K6" s="3">
        <f t="shared" ref="K6:M21" si="0">+B6+E6+H6</f>
        <v>144708</v>
      </c>
      <c r="L6" s="3">
        <f t="shared" si="0"/>
        <v>0</v>
      </c>
      <c r="M6" s="3">
        <f t="shared" si="0"/>
        <v>0</v>
      </c>
      <c r="N6" s="3">
        <f t="shared" ref="N6:N35" si="1">+M6+L6+K6</f>
        <v>144708</v>
      </c>
      <c r="O6" s="1" t="s">
        <v>59</v>
      </c>
    </row>
    <row r="7" spans="1:15" x14ac:dyDescent="0.15">
      <c r="A7" s="1">
        <v>1975</v>
      </c>
      <c r="B7" s="3">
        <v>248000</v>
      </c>
      <c r="C7" s="3">
        <v>0</v>
      </c>
      <c r="D7" s="3">
        <v>0</v>
      </c>
      <c r="E7" s="3">
        <v>0</v>
      </c>
      <c r="F7" s="3">
        <v>0</v>
      </c>
      <c r="G7" s="3">
        <v>0</v>
      </c>
      <c r="H7" s="3">
        <v>0</v>
      </c>
      <c r="I7" s="3">
        <v>0</v>
      </c>
      <c r="J7" s="3">
        <v>0</v>
      </c>
      <c r="K7" s="3">
        <f t="shared" si="0"/>
        <v>248000</v>
      </c>
      <c r="L7" s="3">
        <f t="shared" si="0"/>
        <v>0</v>
      </c>
      <c r="M7" s="3">
        <f t="shared" si="0"/>
        <v>0</v>
      </c>
      <c r="N7" s="3">
        <f t="shared" si="1"/>
        <v>248000</v>
      </c>
    </row>
    <row r="8" spans="1:15" x14ac:dyDescent="0.15">
      <c r="A8" s="1">
        <v>1976</v>
      </c>
      <c r="B8" s="3">
        <v>234000</v>
      </c>
      <c r="C8" s="3">
        <v>0</v>
      </c>
      <c r="D8" s="3">
        <v>0</v>
      </c>
      <c r="E8" s="3">
        <v>0</v>
      </c>
      <c r="F8" s="3">
        <v>0</v>
      </c>
      <c r="G8" s="3">
        <v>0</v>
      </c>
      <c r="H8" s="3">
        <v>0</v>
      </c>
      <c r="I8" s="3">
        <v>0</v>
      </c>
      <c r="J8" s="3">
        <v>0</v>
      </c>
      <c r="K8" s="3">
        <f t="shared" si="0"/>
        <v>234000</v>
      </c>
      <c r="L8" s="3">
        <f t="shared" si="0"/>
        <v>0</v>
      </c>
      <c r="M8" s="3">
        <f t="shared" si="0"/>
        <v>0</v>
      </c>
      <c r="N8" s="3">
        <f t="shared" si="1"/>
        <v>234000</v>
      </c>
      <c r="O8" s="1" t="s">
        <v>101</v>
      </c>
    </row>
    <row r="9" spans="1:15" x14ac:dyDescent="0.15">
      <c r="A9" s="1">
        <v>1977</v>
      </c>
      <c r="B9" s="3">
        <v>279000</v>
      </c>
      <c r="C9" s="3">
        <v>0</v>
      </c>
      <c r="D9" s="3">
        <v>0</v>
      </c>
      <c r="E9" s="3">
        <v>0</v>
      </c>
      <c r="F9" s="3">
        <v>0</v>
      </c>
      <c r="G9" s="3">
        <v>0</v>
      </c>
      <c r="H9" s="3">
        <v>0</v>
      </c>
      <c r="I9" s="3">
        <v>0</v>
      </c>
      <c r="J9" s="3">
        <v>0</v>
      </c>
      <c r="K9" s="3">
        <f t="shared" si="0"/>
        <v>279000</v>
      </c>
      <c r="L9" s="3">
        <f t="shared" si="0"/>
        <v>0</v>
      </c>
      <c r="M9" s="3">
        <f t="shared" si="0"/>
        <v>0</v>
      </c>
      <c r="N9" s="3">
        <f t="shared" si="1"/>
        <v>279000</v>
      </c>
    </row>
    <row r="10" spans="1:15" x14ac:dyDescent="0.15">
      <c r="A10" s="1">
        <v>1978</v>
      </c>
      <c r="B10" s="3">
        <v>339000</v>
      </c>
      <c r="C10" s="3">
        <v>0</v>
      </c>
      <c r="D10" s="3">
        <v>0</v>
      </c>
      <c r="E10" s="3">
        <v>0</v>
      </c>
      <c r="F10" s="3">
        <v>0</v>
      </c>
      <c r="G10" s="3">
        <v>0</v>
      </c>
      <c r="H10" s="3">
        <v>0</v>
      </c>
      <c r="I10" s="3">
        <v>0</v>
      </c>
      <c r="J10" s="3">
        <v>0</v>
      </c>
      <c r="K10" s="3">
        <f t="shared" si="0"/>
        <v>339000</v>
      </c>
      <c r="L10" s="3">
        <f t="shared" si="0"/>
        <v>0</v>
      </c>
      <c r="M10" s="3">
        <f t="shared" si="0"/>
        <v>0</v>
      </c>
      <c r="N10" s="3">
        <f t="shared" si="1"/>
        <v>339000</v>
      </c>
    </row>
    <row r="11" spans="1:15" x14ac:dyDescent="0.15">
      <c r="A11" s="1">
        <v>1979</v>
      </c>
      <c r="B11" s="3">
        <v>327000</v>
      </c>
      <c r="C11" s="3">
        <v>0</v>
      </c>
      <c r="D11" s="3">
        <v>0</v>
      </c>
      <c r="E11" s="3">
        <v>0</v>
      </c>
      <c r="F11" s="3">
        <v>0</v>
      </c>
      <c r="G11" s="3">
        <v>0</v>
      </c>
      <c r="H11" s="3">
        <v>0</v>
      </c>
      <c r="I11" s="3">
        <v>0</v>
      </c>
      <c r="J11" s="3">
        <v>0</v>
      </c>
      <c r="K11" s="3">
        <f t="shared" si="0"/>
        <v>327000</v>
      </c>
      <c r="L11" s="3">
        <f t="shared" si="0"/>
        <v>0</v>
      </c>
      <c r="M11" s="3">
        <f t="shared" si="0"/>
        <v>0</v>
      </c>
      <c r="N11" s="3">
        <f t="shared" si="1"/>
        <v>327000</v>
      </c>
    </row>
    <row r="12" spans="1:15" x14ac:dyDescent="0.15">
      <c r="A12" s="1">
        <v>1980</v>
      </c>
      <c r="B12" s="3">
        <v>402000</v>
      </c>
      <c r="C12" s="3">
        <v>0</v>
      </c>
      <c r="D12" s="3">
        <v>0</v>
      </c>
      <c r="E12" s="3">
        <v>94000</v>
      </c>
      <c r="F12" s="3">
        <v>0</v>
      </c>
      <c r="G12" s="3">
        <v>0</v>
      </c>
      <c r="H12" s="3">
        <v>0</v>
      </c>
      <c r="I12" s="3">
        <v>0</v>
      </c>
      <c r="J12" s="3">
        <v>0</v>
      </c>
      <c r="K12" s="3">
        <f t="shared" si="0"/>
        <v>496000</v>
      </c>
      <c r="L12" s="3">
        <f t="shared" si="0"/>
        <v>0</v>
      </c>
      <c r="M12" s="3">
        <f t="shared" si="0"/>
        <v>0</v>
      </c>
      <c r="N12" s="3">
        <f t="shared" si="1"/>
        <v>496000</v>
      </c>
      <c r="O12" s="1" t="s">
        <v>168</v>
      </c>
    </row>
    <row r="13" spans="1:15" x14ac:dyDescent="0.15">
      <c r="A13" s="1">
        <v>1981</v>
      </c>
      <c r="B13" s="3">
        <v>479000</v>
      </c>
      <c r="C13" s="3">
        <v>0</v>
      </c>
      <c r="D13" s="3">
        <v>0</v>
      </c>
      <c r="E13" s="3">
        <v>106000</v>
      </c>
      <c r="F13" s="3">
        <v>0</v>
      </c>
      <c r="G13" s="3">
        <v>0</v>
      </c>
      <c r="H13" s="3">
        <v>0</v>
      </c>
      <c r="I13" s="3">
        <v>0</v>
      </c>
      <c r="J13" s="3">
        <v>0</v>
      </c>
      <c r="K13" s="3">
        <f t="shared" si="0"/>
        <v>585000</v>
      </c>
      <c r="L13" s="3">
        <f t="shared" si="0"/>
        <v>0</v>
      </c>
      <c r="M13" s="3">
        <f t="shared" si="0"/>
        <v>0</v>
      </c>
      <c r="N13" s="3">
        <f t="shared" si="1"/>
        <v>585000</v>
      </c>
    </row>
    <row r="14" spans="1:15" x14ac:dyDescent="0.15">
      <c r="A14" s="1">
        <v>1982</v>
      </c>
      <c r="B14" s="3">
        <v>483000</v>
      </c>
      <c r="C14" s="3">
        <v>0</v>
      </c>
      <c r="D14" s="3">
        <v>0</v>
      </c>
      <c r="E14" s="3">
        <v>189000</v>
      </c>
      <c r="F14" s="3">
        <v>0</v>
      </c>
      <c r="G14" s="3">
        <v>0</v>
      </c>
      <c r="H14" s="3">
        <v>0</v>
      </c>
      <c r="I14" s="3">
        <v>0</v>
      </c>
      <c r="J14" s="3">
        <v>0</v>
      </c>
      <c r="K14" s="3">
        <f t="shared" si="0"/>
        <v>672000</v>
      </c>
      <c r="L14" s="3">
        <f t="shared" si="0"/>
        <v>0</v>
      </c>
      <c r="M14" s="3">
        <f t="shared" si="0"/>
        <v>0</v>
      </c>
      <c r="N14" s="3">
        <f t="shared" si="1"/>
        <v>672000</v>
      </c>
    </row>
    <row r="15" spans="1:15" x14ac:dyDescent="0.15">
      <c r="A15" s="1">
        <v>1983</v>
      </c>
      <c r="B15" s="3">
        <v>509000</v>
      </c>
      <c r="C15" s="3">
        <v>0</v>
      </c>
      <c r="D15" s="3">
        <v>0</v>
      </c>
      <c r="E15" s="3">
        <v>211000</v>
      </c>
      <c r="F15" s="3">
        <v>0</v>
      </c>
      <c r="G15" s="3">
        <v>0</v>
      </c>
      <c r="H15" s="3">
        <v>0</v>
      </c>
      <c r="I15" s="3">
        <v>0</v>
      </c>
      <c r="J15" s="3">
        <v>0</v>
      </c>
      <c r="K15" s="3">
        <f t="shared" si="0"/>
        <v>720000</v>
      </c>
      <c r="L15" s="3">
        <f t="shared" si="0"/>
        <v>0</v>
      </c>
      <c r="M15" s="3">
        <f t="shared" si="0"/>
        <v>0</v>
      </c>
      <c r="N15" s="3">
        <f t="shared" si="1"/>
        <v>720000</v>
      </c>
    </row>
    <row r="16" spans="1:15" x14ac:dyDescent="0.15">
      <c r="A16" s="1">
        <v>1984</v>
      </c>
      <c r="B16" s="3">
        <v>453000</v>
      </c>
      <c r="C16" s="3">
        <v>0</v>
      </c>
      <c r="D16" s="3">
        <v>0</v>
      </c>
      <c r="E16" s="3">
        <v>212000</v>
      </c>
      <c r="F16" s="3">
        <v>0</v>
      </c>
      <c r="G16" s="3">
        <v>0</v>
      </c>
      <c r="H16" s="3">
        <v>0</v>
      </c>
      <c r="I16" s="3">
        <v>0</v>
      </c>
      <c r="J16" s="3">
        <v>0</v>
      </c>
      <c r="K16" s="3">
        <f t="shared" si="0"/>
        <v>665000</v>
      </c>
      <c r="L16" s="3">
        <f t="shared" si="0"/>
        <v>0</v>
      </c>
      <c r="M16" s="3">
        <f t="shared" si="0"/>
        <v>0</v>
      </c>
      <c r="N16" s="3">
        <f t="shared" si="1"/>
        <v>665000</v>
      </c>
    </row>
    <row r="17" spans="1:15" x14ac:dyDescent="0.15">
      <c r="A17" s="1">
        <v>1985</v>
      </c>
      <c r="B17" s="3">
        <v>504000</v>
      </c>
      <c r="C17" s="3">
        <v>0</v>
      </c>
      <c r="D17" s="3">
        <v>0</v>
      </c>
      <c r="E17" s="3">
        <v>209000</v>
      </c>
      <c r="F17" s="3">
        <v>0</v>
      </c>
      <c r="G17" s="3">
        <v>0</v>
      </c>
      <c r="H17" s="3">
        <v>0</v>
      </c>
      <c r="I17" s="3">
        <v>0</v>
      </c>
      <c r="J17" s="3">
        <v>0</v>
      </c>
      <c r="K17" s="3">
        <f t="shared" si="0"/>
        <v>713000</v>
      </c>
      <c r="L17" s="3">
        <f t="shared" si="0"/>
        <v>0</v>
      </c>
      <c r="M17" s="3">
        <f t="shared" si="0"/>
        <v>0</v>
      </c>
      <c r="N17" s="3">
        <f t="shared" si="1"/>
        <v>713000</v>
      </c>
    </row>
    <row r="18" spans="1:15" x14ac:dyDescent="0.15">
      <c r="A18" s="1">
        <v>1986</v>
      </c>
      <c r="B18" s="3">
        <v>546000</v>
      </c>
      <c r="C18" s="3">
        <v>0</v>
      </c>
      <c r="D18" s="3">
        <v>0</v>
      </c>
      <c r="E18" s="3">
        <v>256000</v>
      </c>
      <c r="F18" s="3">
        <v>0</v>
      </c>
      <c r="G18" s="3">
        <v>0</v>
      </c>
      <c r="H18" s="3">
        <v>0</v>
      </c>
      <c r="I18" s="3">
        <v>0</v>
      </c>
      <c r="J18" s="3">
        <v>0</v>
      </c>
      <c r="K18" s="3">
        <f t="shared" si="0"/>
        <v>802000</v>
      </c>
      <c r="L18" s="3">
        <f t="shared" si="0"/>
        <v>0</v>
      </c>
      <c r="M18" s="3">
        <f t="shared" si="0"/>
        <v>0</v>
      </c>
      <c r="N18" s="3">
        <f t="shared" si="1"/>
        <v>802000</v>
      </c>
    </row>
    <row r="19" spans="1:15" x14ac:dyDescent="0.15">
      <c r="A19" s="1">
        <v>1987</v>
      </c>
      <c r="B19" s="3">
        <v>504000</v>
      </c>
      <c r="C19" s="3">
        <v>0</v>
      </c>
      <c r="D19" s="3">
        <v>0</v>
      </c>
      <c r="E19" s="3">
        <v>244000</v>
      </c>
      <c r="F19" s="3">
        <v>0</v>
      </c>
      <c r="G19" s="3">
        <v>0</v>
      </c>
      <c r="H19" s="3">
        <v>0</v>
      </c>
      <c r="I19" s="3">
        <v>0</v>
      </c>
      <c r="J19" s="3">
        <v>0</v>
      </c>
      <c r="K19" s="3">
        <f t="shared" si="0"/>
        <v>748000</v>
      </c>
      <c r="L19" s="3">
        <f t="shared" si="0"/>
        <v>0</v>
      </c>
      <c r="M19" s="3">
        <f t="shared" si="0"/>
        <v>0</v>
      </c>
      <c r="N19" s="3">
        <f t="shared" si="1"/>
        <v>748000</v>
      </c>
    </row>
    <row r="20" spans="1:15" x14ac:dyDescent="0.15">
      <c r="A20" s="1">
        <v>1988</v>
      </c>
      <c r="B20" s="3">
        <v>540000</v>
      </c>
      <c r="C20" s="3">
        <v>0</v>
      </c>
      <c r="D20" s="3">
        <v>0</v>
      </c>
      <c r="E20" s="3">
        <v>0</v>
      </c>
      <c r="F20" s="3">
        <v>0</v>
      </c>
      <c r="G20" s="3">
        <v>0</v>
      </c>
      <c r="H20" s="3">
        <v>50000</v>
      </c>
      <c r="I20" s="3">
        <v>0</v>
      </c>
      <c r="J20" s="3">
        <v>0</v>
      </c>
      <c r="K20" s="3">
        <f t="shared" si="0"/>
        <v>590000</v>
      </c>
      <c r="L20" s="3">
        <f t="shared" si="0"/>
        <v>0</v>
      </c>
      <c r="M20" s="3">
        <f t="shared" si="0"/>
        <v>0</v>
      </c>
      <c r="N20" s="3">
        <f t="shared" si="1"/>
        <v>590000</v>
      </c>
      <c r="O20" s="1" t="s">
        <v>171</v>
      </c>
    </row>
    <row r="21" spans="1:15" x14ac:dyDescent="0.15">
      <c r="A21" s="1">
        <v>1989</v>
      </c>
      <c r="B21" s="3">
        <v>1007000</v>
      </c>
      <c r="C21" s="3">
        <v>0</v>
      </c>
      <c r="D21" s="3">
        <v>0</v>
      </c>
      <c r="E21" s="3">
        <v>0</v>
      </c>
      <c r="F21" s="3">
        <v>0</v>
      </c>
      <c r="G21" s="3">
        <v>0</v>
      </c>
      <c r="H21" s="3">
        <v>111000</v>
      </c>
      <c r="I21" s="3">
        <v>0</v>
      </c>
      <c r="J21" s="3">
        <v>0</v>
      </c>
      <c r="K21" s="3">
        <f t="shared" si="0"/>
        <v>1118000</v>
      </c>
      <c r="L21" s="3">
        <f t="shared" si="0"/>
        <v>0</v>
      </c>
      <c r="M21" s="3">
        <f t="shared" si="0"/>
        <v>0</v>
      </c>
      <c r="N21" s="3">
        <f t="shared" si="1"/>
        <v>1118000</v>
      </c>
      <c r="O21" s="1" t="s">
        <v>176</v>
      </c>
    </row>
    <row r="22" spans="1:15" x14ac:dyDescent="0.15">
      <c r="A22" s="1">
        <v>1990</v>
      </c>
      <c r="B22" s="3">
        <v>1540000</v>
      </c>
      <c r="C22" s="3">
        <v>0</v>
      </c>
      <c r="D22" s="3">
        <v>0</v>
      </c>
      <c r="E22" s="3">
        <v>0</v>
      </c>
      <c r="F22" s="3">
        <v>0</v>
      </c>
      <c r="G22" s="3">
        <v>0</v>
      </c>
      <c r="H22" s="3">
        <v>82000</v>
      </c>
      <c r="I22" s="3">
        <v>0</v>
      </c>
      <c r="J22" s="3">
        <v>0</v>
      </c>
      <c r="K22" s="3">
        <f t="shared" ref="K22:M35" si="2">+B22+E22+H22</f>
        <v>1622000</v>
      </c>
      <c r="L22" s="3">
        <f t="shared" si="2"/>
        <v>0</v>
      </c>
      <c r="M22" s="3">
        <f t="shared" si="2"/>
        <v>0</v>
      </c>
      <c r="N22" s="3">
        <f t="shared" si="1"/>
        <v>1622000</v>
      </c>
    </row>
    <row r="23" spans="1:15" x14ac:dyDescent="0.15">
      <c r="A23" s="1">
        <v>1991</v>
      </c>
      <c r="B23" s="3">
        <v>1200000</v>
      </c>
      <c r="C23" s="3">
        <v>0</v>
      </c>
      <c r="D23" s="3">
        <v>0</v>
      </c>
      <c r="E23" s="3">
        <v>0</v>
      </c>
      <c r="F23" s="3">
        <v>0</v>
      </c>
      <c r="G23" s="3">
        <v>0</v>
      </c>
      <c r="H23" s="3">
        <v>292000</v>
      </c>
      <c r="I23" s="3">
        <v>0</v>
      </c>
      <c r="J23" s="3">
        <v>0</v>
      </c>
      <c r="K23" s="3">
        <f t="shared" si="2"/>
        <v>1492000</v>
      </c>
      <c r="L23" s="3">
        <f t="shared" si="2"/>
        <v>0</v>
      </c>
      <c r="M23" s="3">
        <f t="shared" si="2"/>
        <v>0</v>
      </c>
      <c r="N23" s="3">
        <f t="shared" si="1"/>
        <v>1492000</v>
      </c>
    </row>
    <row r="24" spans="1:15" x14ac:dyDescent="0.15">
      <c r="A24" s="1">
        <v>1992</v>
      </c>
      <c r="B24" s="3">
        <v>1600000</v>
      </c>
      <c r="C24" s="3">
        <v>0</v>
      </c>
      <c r="D24" s="3">
        <v>0</v>
      </c>
      <c r="E24" s="3">
        <v>0</v>
      </c>
      <c r="F24" s="3">
        <v>0</v>
      </c>
      <c r="G24" s="3">
        <v>0</v>
      </c>
      <c r="H24" s="3">
        <v>324000</v>
      </c>
      <c r="I24" s="3">
        <v>0</v>
      </c>
      <c r="J24" s="3">
        <v>0</v>
      </c>
      <c r="K24" s="3">
        <f t="shared" si="2"/>
        <v>1924000</v>
      </c>
      <c r="L24" s="3">
        <f t="shared" si="2"/>
        <v>0</v>
      </c>
      <c r="M24" s="3">
        <f t="shared" si="2"/>
        <v>0</v>
      </c>
      <c r="N24" s="3">
        <f t="shared" si="1"/>
        <v>1924000</v>
      </c>
    </row>
    <row r="25" spans="1:15" x14ac:dyDescent="0.15">
      <c r="A25" s="1">
        <v>1993</v>
      </c>
      <c r="B25" s="3">
        <v>2162000</v>
      </c>
      <c r="C25" s="3">
        <v>0</v>
      </c>
      <c r="D25" s="3">
        <v>0</v>
      </c>
      <c r="E25" s="3">
        <v>0</v>
      </c>
      <c r="F25" s="3">
        <v>0</v>
      </c>
      <c r="G25" s="3">
        <v>0</v>
      </c>
      <c r="H25" s="3">
        <v>297000</v>
      </c>
      <c r="I25" s="3">
        <v>0</v>
      </c>
      <c r="J25" s="3">
        <v>0</v>
      </c>
      <c r="K25" s="3">
        <f t="shared" si="2"/>
        <v>2459000</v>
      </c>
      <c r="L25" s="3">
        <f t="shared" si="2"/>
        <v>0</v>
      </c>
      <c r="M25" s="3">
        <f t="shared" si="2"/>
        <v>0</v>
      </c>
      <c r="N25" s="3">
        <f t="shared" si="1"/>
        <v>2459000</v>
      </c>
    </row>
    <row r="26" spans="1:15" x14ac:dyDescent="0.15">
      <c r="A26" s="1">
        <v>1994</v>
      </c>
      <c r="B26" s="3">
        <v>2036000</v>
      </c>
      <c r="C26" s="3">
        <v>0</v>
      </c>
      <c r="D26" s="3">
        <v>0</v>
      </c>
      <c r="E26" s="3">
        <v>0</v>
      </c>
      <c r="F26" s="3">
        <v>0</v>
      </c>
      <c r="G26" s="3">
        <v>0</v>
      </c>
      <c r="H26" s="3">
        <v>299000</v>
      </c>
      <c r="I26" s="3">
        <v>0</v>
      </c>
      <c r="J26" s="3">
        <v>0</v>
      </c>
      <c r="K26" s="3">
        <f t="shared" si="2"/>
        <v>2335000</v>
      </c>
      <c r="L26" s="3">
        <f t="shared" si="2"/>
        <v>0</v>
      </c>
      <c r="M26" s="3">
        <f t="shared" si="2"/>
        <v>0</v>
      </c>
      <c r="N26" s="3">
        <f t="shared" si="1"/>
        <v>2335000</v>
      </c>
    </row>
    <row r="27" spans="1:15" x14ac:dyDescent="0.15">
      <c r="A27" s="1">
        <v>1995</v>
      </c>
      <c r="B27" s="3">
        <v>1996452</v>
      </c>
      <c r="C27" s="3">
        <v>0</v>
      </c>
      <c r="D27" s="3">
        <v>0</v>
      </c>
      <c r="E27" s="3">
        <v>0</v>
      </c>
      <c r="F27" s="3">
        <v>0</v>
      </c>
      <c r="G27" s="3">
        <v>0</v>
      </c>
      <c r="H27" s="3">
        <v>316000</v>
      </c>
      <c r="I27" s="3">
        <v>0</v>
      </c>
      <c r="J27" s="3">
        <v>0</v>
      </c>
      <c r="K27" s="3">
        <f t="shared" si="2"/>
        <v>2312452</v>
      </c>
      <c r="L27" s="3">
        <f t="shared" si="2"/>
        <v>0</v>
      </c>
      <c r="M27" s="3">
        <f t="shared" si="2"/>
        <v>0</v>
      </c>
      <c r="N27" s="3">
        <f t="shared" si="1"/>
        <v>2312452</v>
      </c>
    </row>
    <row r="28" spans="1:15" x14ac:dyDescent="0.15">
      <c r="A28" s="1">
        <v>1996</v>
      </c>
      <c r="B28" s="3">
        <v>1898000</v>
      </c>
      <c r="C28" s="3">
        <v>0</v>
      </c>
      <c r="D28" s="3">
        <v>0</v>
      </c>
      <c r="E28" s="3">
        <v>0</v>
      </c>
      <c r="F28" s="3">
        <v>0</v>
      </c>
      <c r="G28" s="3">
        <v>0</v>
      </c>
      <c r="H28" s="3">
        <v>289000</v>
      </c>
      <c r="I28" s="3">
        <v>0</v>
      </c>
      <c r="J28" s="3">
        <v>0</v>
      </c>
      <c r="K28" s="3">
        <f t="shared" si="2"/>
        <v>2187000</v>
      </c>
      <c r="L28" s="3">
        <f t="shared" si="2"/>
        <v>0</v>
      </c>
      <c r="M28" s="3">
        <f t="shared" si="2"/>
        <v>0</v>
      </c>
      <c r="N28" s="3">
        <f t="shared" si="1"/>
        <v>2187000</v>
      </c>
    </row>
    <row r="29" spans="1:15" x14ac:dyDescent="0.15">
      <c r="A29" s="1">
        <v>1997</v>
      </c>
      <c r="B29" s="3">
        <v>2202324</v>
      </c>
      <c r="C29" s="3">
        <v>0</v>
      </c>
      <c r="D29" s="3">
        <v>0</v>
      </c>
      <c r="E29" s="3">
        <v>0</v>
      </c>
      <c r="F29" s="3">
        <v>0</v>
      </c>
      <c r="G29" s="3">
        <v>0</v>
      </c>
      <c r="H29" s="3">
        <v>252000</v>
      </c>
      <c r="I29" s="3">
        <v>0</v>
      </c>
      <c r="J29" s="3">
        <v>0</v>
      </c>
      <c r="K29" s="3">
        <f t="shared" si="2"/>
        <v>2454324</v>
      </c>
      <c r="L29" s="3">
        <f t="shared" si="2"/>
        <v>0</v>
      </c>
      <c r="M29" s="3">
        <f t="shared" si="2"/>
        <v>0</v>
      </c>
      <c r="N29" s="3">
        <f t="shared" si="1"/>
        <v>2454324</v>
      </c>
    </row>
    <row r="30" spans="1:15" x14ac:dyDescent="0.15">
      <c r="A30" s="1">
        <v>1998</v>
      </c>
      <c r="B30" s="3">
        <f>1623773+442096</f>
        <v>2065869</v>
      </c>
      <c r="C30" s="3">
        <v>0</v>
      </c>
      <c r="D30" s="3">
        <v>0</v>
      </c>
      <c r="E30" s="3">
        <v>0</v>
      </c>
      <c r="F30" s="3">
        <v>0</v>
      </c>
      <c r="G30" s="3">
        <v>0</v>
      </c>
      <c r="H30" s="3">
        <v>307000</v>
      </c>
      <c r="I30" s="3">
        <v>0</v>
      </c>
      <c r="J30" s="3">
        <v>0</v>
      </c>
      <c r="K30" s="3">
        <f t="shared" si="2"/>
        <v>2372869</v>
      </c>
      <c r="L30" s="3">
        <f t="shared" si="2"/>
        <v>0</v>
      </c>
      <c r="M30" s="3">
        <f t="shared" si="2"/>
        <v>0</v>
      </c>
      <c r="N30" s="3">
        <f t="shared" si="1"/>
        <v>2372869</v>
      </c>
    </row>
    <row r="31" spans="1:15" x14ac:dyDescent="0.15">
      <c r="A31" s="1">
        <v>1999</v>
      </c>
      <c r="B31" s="3">
        <v>2015700</v>
      </c>
      <c r="C31" s="3">
        <v>0</v>
      </c>
      <c r="D31" s="3">
        <v>0</v>
      </c>
      <c r="E31" s="3">
        <v>0</v>
      </c>
      <c r="F31" s="3">
        <v>0</v>
      </c>
      <c r="G31" s="3">
        <v>0</v>
      </c>
      <c r="H31" s="3">
        <v>306000</v>
      </c>
      <c r="I31" s="3">
        <v>0</v>
      </c>
      <c r="J31" s="3">
        <v>0</v>
      </c>
      <c r="K31" s="3">
        <f t="shared" si="2"/>
        <v>2321700</v>
      </c>
      <c r="L31" s="3">
        <f t="shared" si="2"/>
        <v>0</v>
      </c>
      <c r="M31" s="3">
        <f t="shared" si="2"/>
        <v>0</v>
      </c>
      <c r="N31" s="3">
        <f t="shared" si="1"/>
        <v>2321700</v>
      </c>
    </row>
    <row r="32" spans="1:15" x14ac:dyDescent="0.15">
      <c r="A32" s="1">
        <v>2000</v>
      </c>
      <c r="B32" s="3">
        <v>2076199</v>
      </c>
      <c r="C32" s="3">
        <v>0</v>
      </c>
      <c r="D32" s="3">
        <v>0</v>
      </c>
      <c r="E32" s="3">
        <v>0</v>
      </c>
      <c r="F32" s="3">
        <v>0</v>
      </c>
      <c r="G32" s="3">
        <v>0</v>
      </c>
      <c r="H32" s="3">
        <v>355000</v>
      </c>
      <c r="I32" s="3">
        <v>0</v>
      </c>
      <c r="J32" s="3">
        <v>0</v>
      </c>
      <c r="K32" s="3">
        <f t="shared" si="2"/>
        <v>2431199</v>
      </c>
      <c r="L32" s="3">
        <f t="shared" si="2"/>
        <v>0</v>
      </c>
      <c r="M32" s="3">
        <f t="shared" si="2"/>
        <v>0</v>
      </c>
      <c r="N32" s="3">
        <f t="shared" si="1"/>
        <v>2431199</v>
      </c>
    </row>
    <row r="33" spans="1:15" x14ac:dyDescent="0.15">
      <c r="A33" s="1">
        <v>2001</v>
      </c>
      <c r="B33" s="3">
        <f>661730+117693</f>
        <v>779423</v>
      </c>
      <c r="C33" s="3">
        <v>0</v>
      </c>
      <c r="D33" s="3">
        <v>0</v>
      </c>
      <c r="E33" s="3">
        <v>0</v>
      </c>
      <c r="F33" s="3">
        <v>0</v>
      </c>
      <c r="G33" s="3">
        <v>0</v>
      </c>
      <c r="H33" s="3">
        <v>373000</v>
      </c>
      <c r="I33" s="3">
        <v>0</v>
      </c>
      <c r="J33" s="3">
        <v>0</v>
      </c>
      <c r="K33" s="3">
        <f t="shared" si="2"/>
        <v>1152423</v>
      </c>
      <c r="L33" s="3">
        <f t="shared" si="2"/>
        <v>0</v>
      </c>
      <c r="M33" s="3">
        <f t="shared" si="2"/>
        <v>0</v>
      </c>
      <c r="N33" s="3">
        <f t="shared" si="1"/>
        <v>1152423</v>
      </c>
    </row>
    <row r="34" spans="1:15" x14ac:dyDescent="0.15">
      <c r="A34" s="1">
        <v>2002</v>
      </c>
      <c r="B34" s="3">
        <v>1402032</v>
      </c>
      <c r="C34" s="3">
        <v>0</v>
      </c>
      <c r="D34" s="3">
        <v>0</v>
      </c>
      <c r="E34" s="3">
        <v>0</v>
      </c>
      <c r="F34" s="3">
        <v>0</v>
      </c>
      <c r="G34" s="3">
        <v>0</v>
      </c>
      <c r="H34" s="3">
        <v>374000</v>
      </c>
      <c r="I34" s="3">
        <v>0</v>
      </c>
      <c r="J34" s="3">
        <v>0</v>
      </c>
      <c r="K34" s="3">
        <f t="shared" si="2"/>
        <v>1776032</v>
      </c>
      <c r="L34" s="3">
        <f t="shared" si="2"/>
        <v>0</v>
      </c>
      <c r="M34" s="3">
        <f t="shared" si="2"/>
        <v>0</v>
      </c>
      <c r="N34" s="3">
        <f t="shared" si="1"/>
        <v>1776032</v>
      </c>
    </row>
    <row r="35" spans="1:15" x14ac:dyDescent="0.15">
      <c r="A35" s="1">
        <v>2003</v>
      </c>
      <c r="B35" s="3">
        <v>1396514</v>
      </c>
      <c r="C35" s="3">
        <v>0</v>
      </c>
      <c r="D35" s="3">
        <v>0</v>
      </c>
      <c r="E35" s="3">
        <v>0</v>
      </c>
      <c r="F35" s="3">
        <v>0</v>
      </c>
      <c r="G35" s="3">
        <v>0</v>
      </c>
      <c r="H35" s="3">
        <v>397006</v>
      </c>
      <c r="I35" s="3">
        <v>0</v>
      </c>
      <c r="J35" s="3">
        <v>42479</v>
      </c>
      <c r="K35" s="3">
        <f t="shared" si="2"/>
        <v>1793520</v>
      </c>
      <c r="L35" s="3">
        <f t="shared" si="2"/>
        <v>0</v>
      </c>
      <c r="M35" s="3">
        <f t="shared" si="2"/>
        <v>42479</v>
      </c>
      <c r="N35" s="3">
        <f t="shared" si="1"/>
        <v>1835999</v>
      </c>
    </row>
    <row r="36" spans="1:15" x14ac:dyDescent="0.15">
      <c r="A36" s="1">
        <v>2004</v>
      </c>
      <c r="B36" s="3">
        <v>1345996</v>
      </c>
      <c r="C36" s="3">
        <v>0</v>
      </c>
      <c r="D36" s="3">
        <v>0</v>
      </c>
      <c r="E36" s="3">
        <v>0</v>
      </c>
      <c r="F36" s="3">
        <v>0</v>
      </c>
      <c r="G36" s="3">
        <v>0</v>
      </c>
      <c r="H36" s="3">
        <v>409770</v>
      </c>
      <c r="I36" s="3">
        <v>0</v>
      </c>
      <c r="J36" s="3">
        <v>0</v>
      </c>
      <c r="K36" s="3">
        <v>1755766</v>
      </c>
      <c r="L36" s="3">
        <v>0</v>
      </c>
      <c r="M36" s="3">
        <v>0</v>
      </c>
      <c r="N36" s="3">
        <v>1755766</v>
      </c>
    </row>
    <row r="37" spans="1:15" x14ac:dyDescent="0.15">
      <c r="A37" s="1">
        <v>2005</v>
      </c>
      <c r="B37" s="3">
        <v>1407352</v>
      </c>
      <c r="C37" s="3">
        <v>0</v>
      </c>
      <c r="D37" s="3">
        <v>0</v>
      </c>
      <c r="E37" s="3">
        <v>0</v>
      </c>
      <c r="F37" s="3">
        <v>0</v>
      </c>
      <c r="G37" s="3">
        <v>0</v>
      </c>
      <c r="H37" s="3">
        <v>398928</v>
      </c>
      <c r="I37" s="3">
        <v>0</v>
      </c>
      <c r="J37" s="3">
        <v>0</v>
      </c>
      <c r="K37" s="3">
        <v>1806280</v>
      </c>
      <c r="L37" s="3">
        <v>0</v>
      </c>
      <c r="M37" s="3">
        <v>0</v>
      </c>
      <c r="N37" s="3">
        <v>1806280</v>
      </c>
    </row>
    <row r="38" spans="1:15" x14ac:dyDescent="0.15">
      <c r="A38" s="1">
        <v>2006</v>
      </c>
      <c r="B38" s="3">
        <v>1492241</v>
      </c>
      <c r="C38" s="3">
        <v>0</v>
      </c>
      <c r="D38" s="3">
        <v>0</v>
      </c>
      <c r="E38" s="3">
        <v>0</v>
      </c>
      <c r="F38" s="3">
        <v>0</v>
      </c>
      <c r="G38" s="3">
        <v>0</v>
      </c>
      <c r="H38" s="3">
        <v>371490</v>
      </c>
      <c r="I38" s="3">
        <v>0</v>
      </c>
      <c r="J38" s="3">
        <v>0</v>
      </c>
      <c r="K38" s="3">
        <v>1863731</v>
      </c>
      <c r="L38" s="3">
        <v>0</v>
      </c>
      <c r="M38" s="3">
        <v>0</v>
      </c>
      <c r="N38" s="3">
        <v>1863731</v>
      </c>
    </row>
    <row r="39" spans="1:15" x14ac:dyDescent="0.15">
      <c r="A39" s="1">
        <v>2007</v>
      </c>
      <c r="B39" s="3">
        <v>1885638</v>
      </c>
      <c r="C39" s="3">
        <v>0</v>
      </c>
      <c r="D39" s="3">
        <v>0</v>
      </c>
      <c r="E39" s="3">
        <v>0</v>
      </c>
      <c r="F39" s="3">
        <v>0</v>
      </c>
      <c r="G39" s="3">
        <v>0</v>
      </c>
      <c r="H39" s="3">
        <v>352564</v>
      </c>
      <c r="I39" s="3">
        <v>0</v>
      </c>
      <c r="J39" s="3">
        <v>0</v>
      </c>
      <c r="K39" s="3">
        <v>2238202</v>
      </c>
      <c r="L39" s="3">
        <v>0</v>
      </c>
      <c r="M39" s="3">
        <v>0</v>
      </c>
      <c r="N39" s="3">
        <v>2238202</v>
      </c>
    </row>
    <row r="40" spans="1:15" x14ac:dyDescent="0.15">
      <c r="A40" s="1">
        <v>2008</v>
      </c>
      <c r="B40" s="3">
        <v>3189665</v>
      </c>
      <c r="C40" s="3">
        <v>0</v>
      </c>
      <c r="D40" s="3">
        <v>0</v>
      </c>
      <c r="E40" s="3">
        <v>0</v>
      </c>
      <c r="F40" s="3">
        <v>0</v>
      </c>
      <c r="G40" s="3">
        <v>0</v>
      </c>
      <c r="H40" s="3">
        <v>588438</v>
      </c>
      <c r="I40" s="3">
        <v>0</v>
      </c>
      <c r="J40" s="3">
        <v>0</v>
      </c>
      <c r="K40" s="3">
        <v>3778103</v>
      </c>
      <c r="L40" s="3">
        <v>0</v>
      </c>
      <c r="M40" s="3">
        <v>0</v>
      </c>
      <c r="N40" s="3">
        <v>3778103</v>
      </c>
    </row>
    <row r="41" spans="1:15" x14ac:dyDescent="0.15">
      <c r="A41" s="1">
        <v>2009</v>
      </c>
      <c r="B41" s="3">
        <v>2883244</v>
      </c>
      <c r="C41" s="3">
        <v>0</v>
      </c>
      <c r="D41" s="3">
        <v>0</v>
      </c>
      <c r="E41" s="3">
        <v>0</v>
      </c>
      <c r="F41" s="3">
        <v>0</v>
      </c>
      <c r="G41" s="3">
        <v>0</v>
      </c>
      <c r="H41" s="3">
        <v>731904</v>
      </c>
      <c r="I41" s="3">
        <v>0</v>
      </c>
      <c r="J41" s="3">
        <v>0</v>
      </c>
      <c r="K41" s="3">
        <v>3615148</v>
      </c>
      <c r="L41" s="3">
        <v>0</v>
      </c>
      <c r="M41" s="3">
        <v>0</v>
      </c>
      <c r="N41" s="3">
        <v>3615148</v>
      </c>
    </row>
    <row r="42" spans="1:15" x14ac:dyDescent="0.15">
      <c r="A42" s="1">
        <v>2010</v>
      </c>
      <c r="B42" s="3">
        <v>8519795</v>
      </c>
      <c r="C42" s="3">
        <v>0</v>
      </c>
      <c r="D42" s="3">
        <v>0</v>
      </c>
      <c r="E42" s="3">
        <v>0</v>
      </c>
      <c r="F42" s="3">
        <v>0</v>
      </c>
      <c r="G42" s="3">
        <v>0</v>
      </c>
      <c r="H42" s="3">
        <v>926369</v>
      </c>
      <c r="I42" s="3">
        <v>0</v>
      </c>
      <c r="J42" s="3">
        <v>0</v>
      </c>
      <c r="K42" s="3">
        <v>9446164</v>
      </c>
      <c r="L42" s="3">
        <v>0</v>
      </c>
      <c r="M42" s="3">
        <v>0</v>
      </c>
      <c r="N42" s="3">
        <v>9446164</v>
      </c>
      <c r="O42" s="1" t="s">
        <v>303</v>
      </c>
    </row>
    <row r="43" spans="1:15" x14ac:dyDescent="0.15">
      <c r="A43" s="1">
        <v>2011</v>
      </c>
      <c r="B43" s="3">
        <v>9193228</v>
      </c>
      <c r="C43" s="3">
        <v>0</v>
      </c>
      <c r="D43" s="3">
        <v>0</v>
      </c>
      <c r="E43" s="3">
        <v>0</v>
      </c>
      <c r="F43" s="3">
        <v>0</v>
      </c>
      <c r="G43" s="3">
        <v>0</v>
      </c>
      <c r="H43" s="3">
        <v>3005206</v>
      </c>
      <c r="I43" s="3">
        <v>0</v>
      </c>
      <c r="J43" s="3">
        <v>0</v>
      </c>
      <c r="K43" s="3">
        <v>12198434</v>
      </c>
      <c r="L43" s="3">
        <v>0</v>
      </c>
      <c r="M43" s="3">
        <v>0</v>
      </c>
      <c r="N43" s="3">
        <v>12198434</v>
      </c>
      <c r="O43" s="1" t="s">
        <v>304</v>
      </c>
    </row>
    <row r="44" spans="1:15" x14ac:dyDescent="0.15">
      <c r="A44" s="1">
        <v>2012</v>
      </c>
      <c r="B44" s="3">
        <v>9425085</v>
      </c>
      <c r="C44" s="3">
        <v>0</v>
      </c>
      <c r="D44" s="3">
        <v>0</v>
      </c>
      <c r="E44" s="3">
        <v>0</v>
      </c>
      <c r="F44" s="3">
        <v>0</v>
      </c>
      <c r="G44" s="3">
        <v>0</v>
      </c>
      <c r="H44" s="3">
        <v>4015735</v>
      </c>
      <c r="I44" s="3">
        <v>0</v>
      </c>
      <c r="J44" s="3">
        <v>0</v>
      </c>
      <c r="K44" s="3">
        <v>13440820</v>
      </c>
      <c r="L44" s="3">
        <v>0</v>
      </c>
      <c r="M44" s="3">
        <v>0</v>
      </c>
      <c r="N44" s="3">
        <v>13440820</v>
      </c>
    </row>
    <row r="45" spans="1:15" x14ac:dyDescent="0.15">
      <c r="A45" s="1">
        <v>2013</v>
      </c>
      <c r="B45" s="3">
        <v>10627303</v>
      </c>
      <c r="C45" s="3">
        <v>0</v>
      </c>
      <c r="D45" s="3">
        <v>0</v>
      </c>
      <c r="E45" s="3">
        <v>264000</v>
      </c>
      <c r="F45" s="3">
        <v>13800</v>
      </c>
      <c r="G45" s="3">
        <v>0</v>
      </c>
      <c r="H45" s="3">
        <v>5237730</v>
      </c>
      <c r="I45" s="3">
        <v>1864335</v>
      </c>
      <c r="J45" s="3">
        <v>0</v>
      </c>
      <c r="K45" s="3">
        <v>16129033</v>
      </c>
      <c r="L45" s="3">
        <v>1878135</v>
      </c>
      <c r="M45" s="3">
        <v>0</v>
      </c>
      <c r="N45" s="3">
        <v>18007168</v>
      </c>
      <c r="O45" s="1" t="s">
        <v>305</v>
      </c>
    </row>
    <row r="46" spans="1:15" x14ac:dyDescent="0.15">
      <c r="A46" s="1">
        <v>2014</v>
      </c>
      <c r="B46" s="3">
        <v>9630809</v>
      </c>
      <c r="C46" s="3">
        <v>0</v>
      </c>
      <c r="D46" s="3">
        <v>0</v>
      </c>
      <c r="E46" s="3">
        <v>310200</v>
      </c>
      <c r="F46" s="3">
        <v>0</v>
      </c>
      <c r="G46" s="3">
        <v>0</v>
      </c>
      <c r="H46" s="3">
        <v>6522120</v>
      </c>
      <c r="I46" s="3">
        <v>1923093</v>
      </c>
      <c r="J46" s="3">
        <v>0</v>
      </c>
      <c r="K46" s="3">
        <v>16463129</v>
      </c>
      <c r="L46" s="3">
        <v>1923093</v>
      </c>
      <c r="M46" s="3">
        <v>0</v>
      </c>
      <c r="N46" s="3">
        <v>18386222</v>
      </c>
    </row>
    <row r="47" spans="1:15" x14ac:dyDescent="0.15">
      <c r="A47" s="1">
        <v>2015</v>
      </c>
      <c r="B47" s="3">
        <v>8790219</v>
      </c>
      <c r="C47" s="3">
        <v>0</v>
      </c>
      <c r="D47" s="3">
        <v>0</v>
      </c>
      <c r="E47" s="3">
        <v>356526</v>
      </c>
      <c r="F47" s="3">
        <v>0</v>
      </c>
      <c r="G47" s="3">
        <v>0</v>
      </c>
      <c r="H47" s="3">
        <v>6814074</v>
      </c>
      <c r="I47" s="3">
        <v>1930397</v>
      </c>
      <c r="J47" s="3">
        <v>0</v>
      </c>
      <c r="K47" s="3">
        <v>15960819</v>
      </c>
      <c r="L47" s="3">
        <v>1930397</v>
      </c>
      <c r="M47" s="3">
        <v>0</v>
      </c>
      <c r="N47" s="3">
        <v>17891216</v>
      </c>
    </row>
    <row r="48" spans="1:15" x14ac:dyDescent="0.15">
      <c r="A48" s="1">
        <v>2016</v>
      </c>
      <c r="B48" s="3">
        <v>11146714</v>
      </c>
      <c r="C48" s="3">
        <v>0</v>
      </c>
      <c r="D48" s="3">
        <v>0</v>
      </c>
      <c r="E48" s="3">
        <v>286860</v>
      </c>
      <c r="F48" s="3">
        <v>45764</v>
      </c>
      <c r="G48" s="3">
        <v>0</v>
      </c>
      <c r="H48" s="3">
        <v>7264583</v>
      </c>
      <c r="I48" s="3">
        <v>1955793</v>
      </c>
      <c r="J48" s="3">
        <v>0</v>
      </c>
      <c r="K48" s="3">
        <v>18698157</v>
      </c>
      <c r="L48" s="3">
        <v>2001557</v>
      </c>
      <c r="M48" s="3">
        <v>0</v>
      </c>
      <c r="N48" s="3">
        <v>20699714</v>
      </c>
    </row>
  </sheetData>
  <phoneticPr fontId="0" type="noConversion"/>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625" style="1" customWidth="1"/>
    <col min="3" max="4" width="10.625" style="1"/>
    <col min="5" max="5" width="12.375" style="1" customWidth="1"/>
    <col min="6" max="10" width="10.625" style="1"/>
    <col min="11" max="11" width="11.625" style="1" customWidth="1"/>
    <col min="12" max="13" width="10.625" style="1"/>
    <col min="14" max="14" width="12.125" style="1" customWidth="1"/>
    <col min="15" max="16384" width="10.625" style="1"/>
  </cols>
  <sheetData>
    <row r="1" spans="1:15" x14ac:dyDescent="0.15">
      <c r="A1" s="1" t="s">
        <v>60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16700000</v>
      </c>
      <c r="C6" s="3">
        <v>0</v>
      </c>
      <c r="D6" s="3">
        <v>0</v>
      </c>
      <c r="E6" s="3">
        <v>0</v>
      </c>
      <c r="F6" s="3">
        <v>0</v>
      </c>
      <c r="G6" s="3">
        <v>0</v>
      </c>
      <c r="H6" s="3">
        <v>0</v>
      </c>
      <c r="I6" s="3">
        <v>0</v>
      </c>
      <c r="J6" s="3">
        <v>0</v>
      </c>
      <c r="K6" s="3">
        <f t="shared" ref="K6:M21" si="0">+B6+E6+H6</f>
        <v>16700000</v>
      </c>
      <c r="L6" s="3">
        <f t="shared" si="0"/>
        <v>0</v>
      </c>
      <c r="M6" s="3">
        <f t="shared" si="0"/>
        <v>0</v>
      </c>
      <c r="N6" s="3">
        <f t="shared" ref="N6:N35" si="1">+M6+L6+K6</f>
        <v>16700000</v>
      </c>
      <c r="O6" s="1" t="s">
        <v>61</v>
      </c>
    </row>
    <row r="7" spans="1:15" x14ac:dyDescent="0.15">
      <c r="A7" s="1">
        <v>1975</v>
      </c>
      <c r="B7" s="3">
        <v>18964000</v>
      </c>
      <c r="C7" s="3">
        <v>0</v>
      </c>
      <c r="D7" s="3">
        <v>0</v>
      </c>
      <c r="E7" s="3">
        <v>0</v>
      </c>
      <c r="F7" s="3">
        <v>0</v>
      </c>
      <c r="G7" s="3">
        <v>0</v>
      </c>
      <c r="H7" s="3">
        <v>0</v>
      </c>
      <c r="I7" s="3">
        <v>0</v>
      </c>
      <c r="J7" s="3">
        <v>0</v>
      </c>
      <c r="K7" s="3">
        <f t="shared" si="0"/>
        <v>18964000</v>
      </c>
      <c r="L7" s="3">
        <f t="shared" si="0"/>
        <v>0</v>
      </c>
      <c r="M7" s="3">
        <f t="shared" si="0"/>
        <v>0</v>
      </c>
      <c r="N7" s="3">
        <f t="shared" si="1"/>
        <v>18964000</v>
      </c>
    </row>
    <row r="8" spans="1:15" x14ac:dyDescent="0.15">
      <c r="A8" s="1">
        <v>1976</v>
      </c>
      <c r="B8" s="3">
        <v>19896000</v>
      </c>
      <c r="C8" s="3">
        <v>0</v>
      </c>
      <c r="D8" s="3">
        <v>0</v>
      </c>
      <c r="E8" s="3">
        <v>0</v>
      </c>
      <c r="F8" s="3">
        <v>0</v>
      </c>
      <c r="G8" s="3">
        <v>0</v>
      </c>
      <c r="H8" s="3">
        <v>0</v>
      </c>
      <c r="I8" s="3">
        <v>0</v>
      </c>
      <c r="J8" s="3">
        <v>0</v>
      </c>
      <c r="K8" s="3">
        <f t="shared" si="0"/>
        <v>19896000</v>
      </c>
      <c r="L8" s="3">
        <f t="shared" si="0"/>
        <v>0</v>
      </c>
      <c r="M8" s="3">
        <f t="shared" si="0"/>
        <v>0</v>
      </c>
      <c r="N8" s="3">
        <f t="shared" si="1"/>
        <v>19896000</v>
      </c>
    </row>
    <row r="9" spans="1:15" x14ac:dyDescent="0.15">
      <c r="A9" s="1">
        <v>1977</v>
      </c>
      <c r="B9" s="3">
        <v>25000000</v>
      </c>
      <c r="C9" s="3">
        <v>0</v>
      </c>
      <c r="D9" s="3">
        <v>0</v>
      </c>
      <c r="E9" s="3">
        <v>0</v>
      </c>
      <c r="F9" s="3">
        <v>0</v>
      </c>
      <c r="G9" s="3">
        <v>0</v>
      </c>
      <c r="H9" s="3">
        <v>0</v>
      </c>
      <c r="I9" s="3">
        <v>0</v>
      </c>
      <c r="J9" s="3">
        <v>0</v>
      </c>
      <c r="K9" s="3">
        <f t="shared" si="0"/>
        <v>25000000</v>
      </c>
      <c r="L9" s="3">
        <f t="shared" si="0"/>
        <v>0</v>
      </c>
      <c r="M9" s="3">
        <f t="shared" si="0"/>
        <v>0</v>
      </c>
      <c r="N9" s="3">
        <f t="shared" si="1"/>
        <v>25000000</v>
      </c>
    </row>
    <row r="10" spans="1:15" x14ac:dyDescent="0.15">
      <c r="A10" s="1">
        <v>1978</v>
      </c>
      <c r="B10" s="3">
        <v>23638000</v>
      </c>
      <c r="C10" s="3">
        <v>0</v>
      </c>
      <c r="D10" s="3">
        <v>0</v>
      </c>
      <c r="E10" s="3">
        <v>0</v>
      </c>
      <c r="F10" s="3">
        <v>0</v>
      </c>
      <c r="G10" s="3">
        <v>0</v>
      </c>
      <c r="H10" s="3">
        <v>0</v>
      </c>
      <c r="I10" s="3">
        <v>0</v>
      </c>
      <c r="J10" s="3">
        <v>0</v>
      </c>
      <c r="K10" s="3">
        <f t="shared" si="0"/>
        <v>23638000</v>
      </c>
      <c r="L10" s="3">
        <f t="shared" si="0"/>
        <v>0</v>
      </c>
      <c r="M10" s="3">
        <f t="shared" si="0"/>
        <v>0</v>
      </c>
      <c r="N10" s="3">
        <f t="shared" si="1"/>
        <v>23638000</v>
      </c>
    </row>
    <row r="11" spans="1:15" x14ac:dyDescent="0.15">
      <c r="A11" s="1">
        <v>1979</v>
      </c>
      <c r="B11" s="3">
        <v>25925000</v>
      </c>
      <c r="C11" s="3">
        <v>0</v>
      </c>
      <c r="D11" s="3">
        <v>0</v>
      </c>
      <c r="E11" s="3">
        <v>0</v>
      </c>
      <c r="F11" s="3">
        <v>0</v>
      </c>
      <c r="G11" s="3">
        <v>0</v>
      </c>
      <c r="H11" s="3">
        <v>0</v>
      </c>
      <c r="I11" s="3">
        <v>0</v>
      </c>
      <c r="J11" s="3">
        <v>0</v>
      </c>
      <c r="K11" s="3">
        <f t="shared" si="0"/>
        <v>25925000</v>
      </c>
      <c r="L11" s="3">
        <f t="shared" si="0"/>
        <v>0</v>
      </c>
      <c r="M11" s="3">
        <f t="shared" si="0"/>
        <v>0</v>
      </c>
      <c r="N11" s="3">
        <f t="shared" si="1"/>
        <v>25925000</v>
      </c>
    </row>
    <row r="12" spans="1:15" x14ac:dyDescent="0.15">
      <c r="A12" s="1">
        <v>1980</v>
      </c>
      <c r="B12" s="3">
        <v>28100000</v>
      </c>
      <c r="C12" s="3">
        <v>0</v>
      </c>
      <c r="D12" s="3">
        <v>0</v>
      </c>
      <c r="E12" s="3">
        <v>0</v>
      </c>
      <c r="F12" s="3">
        <v>0</v>
      </c>
      <c r="G12" s="3">
        <v>0</v>
      </c>
      <c r="H12" s="3">
        <v>0</v>
      </c>
      <c r="I12" s="3">
        <v>0</v>
      </c>
      <c r="J12" s="3">
        <v>0</v>
      </c>
      <c r="K12" s="3">
        <f t="shared" si="0"/>
        <v>28100000</v>
      </c>
      <c r="L12" s="3">
        <f t="shared" si="0"/>
        <v>0</v>
      </c>
      <c r="M12" s="3">
        <f t="shared" si="0"/>
        <v>0</v>
      </c>
      <c r="N12" s="3">
        <f t="shared" si="1"/>
        <v>28100000</v>
      </c>
    </row>
    <row r="13" spans="1:15" x14ac:dyDescent="0.15">
      <c r="A13" s="1">
        <v>1981</v>
      </c>
      <c r="B13" s="3">
        <v>27402000</v>
      </c>
      <c r="C13" s="3">
        <v>0</v>
      </c>
      <c r="D13" s="3">
        <v>0</v>
      </c>
      <c r="E13" s="3">
        <v>0</v>
      </c>
      <c r="F13" s="3">
        <v>0</v>
      </c>
      <c r="G13" s="3">
        <v>0</v>
      </c>
      <c r="H13" s="3">
        <v>0</v>
      </c>
      <c r="I13" s="3">
        <v>0</v>
      </c>
      <c r="J13" s="3">
        <v>0</v>
      </c>
      <c r="K13" s="3">
        <f t="shared" si="0"/>
        <v>27402000</v>
      </c>
      <c r="L13" s="3">
        <f t="shared" si="0"/>
        <v>0</v>
      </c>
      <c r="M13" s="3">
        <f t="shared" si="0"/>
        <v>0</v>
      </c>
      <c r="N13" s="3">
        <f t="shared" si="1"/>
        <v>27402000</v>
      </c>
    </row>
    <row r="14" spans="1:15" x14ac:dyDescent="0.15">
      <c r="A14" s="1">
        <v>1982</v>
      </c>
      <c r="B14" s="3">
        <v>31864000</v>
      </c>
      <c r="C14" s="3">
        <v>0</v>
      </c>
      <c r="D14" s="3">
        <v>0</v>
      </c>
      <c r="E14" s="3">
        <v>0</v>
      </c>
      <c r="F14" s="3">
        <v>0</v>
      </c>
      <c r="G14" s="3">
        <v>0</v>
      </c>
      <c r="H14" s="3">
        <v>0</v>
      </c>
      <c r="I14" s="3">
        <v>0</v>
      </c>
      <c r="J14" s="3">
        <v>0</v>
      </c>
      <c r="K14" s="3">
        <f t="shared" si="0"/>
        <v>31864000</v>
      </c>
      <c r="L14" s="3">
        <f t="shared" si="0"/>
        <v>0</v>
      </c>
      <c r="M14" s="3">
        <f t="shared" si="0"/>
        <v>0</v>
      </c>
      <c r="N14" s="3">
        <f t="shared" si="1"/>
        <v>31864000</v>
      </c>
    </row>
    <row r="15" spans="1:15" x14ac:dyDescent="0.15">
      <c r="A15" s="1">
        <v>1983</v>
      </c>
      <c r="B15" s="3">
        <v>33856000</v>
      </c>
      <c r="C15" s="3">
        <v>0</v>
      </c>
      <c r="D15" s="3">
        <v>0</v>
      </c>
      <c r="E15" s="3">
        <v>0</v>
      </c>
      <c r="F15" s="3">
        <v>0</v>
      </c>
      <c r="G15" s="3">
        <v>0</v>
      </c>
      <c r="H15" s="3">
        <v>0</v>
      </c>
      <c r="I15" s="3">
        <v>0</v>
      </c>
      <c r="J15" s="3">
        <v>0</v>
      </c>
      <c r="K15" s="3">
        <f t="shared" si="0"/>
        <v>33856000</v>
      </c>
      <c r="L15" s="3">
        <f t="shared" si="0"/>
        <v>0</v>
      </c>
      <c r="M15" s="3">
        <f t="shared" si="0"/>
        <v>0</v>
      </c>
      <c r="N15" s="3">
        <f t="shared" si="1"/>
        <v>33856000</v>
      </c>
    </row>
    <row r="16" spans="1:15" x14ac:dyDescent="0.15">
      <c r="A16" s="1">
        <v>1984</v>
      </c>
      <c r="B16" s="3">
        <v>40000000</v>
      </c>
      <c r="C16" s="3">
        <v>0</v>
      </c>
      <c r="D16" s="3">
        <v>0</v>
      </c>
      <c r="E16" s="3">
        <v>0</v>
      </c>
      <c r="F16" s="3">
        <v>0</v>
      </c>
      <c r="G16" s="3">
        <v>0</v>
      </c>
      <c r="H16" s="3">
        <v>5250000</v>
      </c>
      <c r="I16" s="3">
        <v>0</v>
      </c>
      <c r="J16" s="3">
        <v>0</v>
      </c>
      <c r="K16" s="3">
        <f t="shared" si="0"/>
        <v>45250000</v>
      </c>
      <c r="L16" s="3">
        <f t="shared" si="0"/>
        <v>0</v>
      </c>
      <c r="M16" s="3">
        <f t="shared" si="0"/>
        <v>0</v>
      </c>
      <c r="N16" s="3">
        <f t="shared" si="1"/>
        <v>45250000</v>
      </c>
    </row>
    <row r="17" spans="1:15" x14ac:dyDescent="0.15">
      <c r="A17" s="1">
        <v>1985</v>
      </c>
      <c r="B17" s="3">
        <v>45205000</v>
      </c>
      <c r="C17" s="3">
        <v>0</v>
      </c>
      <c r="D17" s="3">
        <v>0</v>
      </c>
      <c r="E17" s="3">
        <v>0</v>
      </c>
      <c r="F17" s="3">
        <v>0</v>
      </c>
      <c r="G17" s="3">
        <v>0</v>
      </c>
      <c r="H17" s="3">
        <v>10094000</v>
      </c>
      <c r="I17" s="3">
        <v>200000</v>
      </c>
      <c r="J17" s="3">
        <v>0</v>
      </c>
      <c r="K17" s="3">
        <f t="shared" si="0"/>
        <v>55299000</v>
      </c>
      <c r="L17" s="3">
        <f t="shared" si="0"/>
        <v>200000</v>
      </c>
      <c r="M17" s="3">
        <f t="shared" si="0"/>
        <v>0</v>
      </c>
      <c r="N17" s="3">
        <f t="shared" si="1"/>
        <v>55499000</v>
      </c>
    </row>
    <row r="18" spans="1:15" x14ac:dyDescent="0.15">
      <c r="A18" s="1">
        <v>1986</v>
      </c>
      <c r="B18" s="3">
        <v>47210000</v>
      </c>
      <c r="C18" s="3">
        <v>0</v>
      </c>
      <c r="D18" s="3">
        <v>0</v>
      </c>
      <c r="E18" s="3">
        <v>0</v>
      </c>
      <c r="F18" s="3">
        <v>0</v>
      </c>
      <c r="G18" s="3">
        <v>0</v>
      </c>
      <c r="H18" s="3">
        <v>12221000</v>
      </c>
      <c r="I18" s="3">
        <v>0</v>
      </c>
      <c r="J18" s="3">
        <v>0</v>
      </c>
      <c r="K18" s="3">
        <f t="shared" si="0"/>
        <v>59431000</v>
      </c>
      <c r="L18" s="3">
        <f t="shared" si="0"/>
        <v>0</v>
      </c>
      <c r="M18" s="3">
        <f t="shared" si="0"/>
        <v>0</v>
      </c>
      <c r="N18" s="3">
        <f t="shared" si="1"/>
        <v>59431000</v>
      </c>
    </row>
    <row r="19" spans="1:15" x14ac:dyDescent="0.15">
      <c r="A19" s="1">
        <v>1987</v>
      </c>
      <c r="B19" s="3">
        <v>48500000</v>
      </c>
      <c r="C19" s="3">
        <v>0</v>
      </c>
      <c r="D19" s="3">
        <v>0</v>
      </c>
      <c r="E19" s="3">
        <v>0</v>
      </c>
      <c r="F19" s="3">
        <v>0</v>
      </c>
      <c r="G19" s="3">
        <v>0</v>
      </c>
      <c r="H19" s="3">
        <v>18739000</v>
      </c>
      <c r="I19" s="3">
        <v>108000</v>
      </c>
      <c r="J19" s="3">
        <v>0</v>
      </c>
      <c r="K19" s="3">
        <f t="shared" si="0"/>
        <v>67239000</v>
      </c>
      <c r="L19" s="3">
        <f t="shared" si="0"/>
        <v>108000</v>
      </c>
      <c r="M19" s="3">
        <f t="shared" si="0"/>
        <v>0</v>
      </c>
      <c r="N19" s="3">
        <f t="shared" si="1"/>
        <v>67347000</v>
      </c>
    </row>
    <row r="20" spans="1:15" x14ac:dyDescent="0.15">
      <c r="A20" s="1">
        <v>1988</v>
      </c>
      <c r="B20" s="3">
        <v>49400000</v>
      </c>
      <c r="C20" s="3">
        <v>0</v>
      </c>
      <c r="D20" s="3">
        <v>0</v>
      </c>
      <c r="E20" s="3">
        <v>0</v>
      </c>
      <c r="F20" s="3">
        <v>0</v>
      </c>
      <c r="G20" s="3">
        <v>0</v>
      </c>
      <c r="H20" s="3">
        <v>20638000</v>
      </c>
      <c r="I20" s="3">
        <v>203000</v>
      </c>
      <c r="J20" s="3">
        <v>0</v>
      </c>
      <c r="K20" s="3">
        <f t="shared" si="0"/>
        <v>70038000</v>
      </c>
      <c r="L20" s="3">
        <f t="shared" si="0"/>
        <v>203000</v>
      </c>
      <c r="M20" s="3">
        <f t="shared" si="0"/>
        <v>0</v>
      </c>
      <c r="N20" s="3">
        <f t="shared" si="1"/>
        <v>70241000</v>
      </c>
    </row>
    <row r="21" spans="1:15" x14ac:dyDescent="0.15">
      <c r="A21" s="1">
        <v>1989</v>
      </c>
      <c r="B21" s="3">
        <v>51400000</v>
      </c>
      <c r="C21" s="3">
        <v>0</v>
      </c>
      <c r="D21" s="3">
        <v>0</v>
      </c>
      <c r="E21" s="3">
        <v>0</v>
      </c>
      <c r="F21" s="3">
        <v>0</v>
      </c>
      <c r="G21" s="3">
        <v>0</v>
      </c>
      <c r="H21" s="3">
        <v>21049000</v>
      </c>
      <c r="I21" s="3">
        <v>413000</v>
      </c>
      <c r="J21" s="3">
        <v>0</v>
      </c>
      <c r="K21" s="3">
        <f t="shared" si="0"/>
        <v>72449000</v>
      </c>
      <c r="L21" s="3">
        <f t="shared" si="0"/>
        <v>413000</v>
      </c>
      <c r="M21" s="3">
        <f t="shared" si="0"/>
        <v>0</v>
      </c>
      <c r="N21" s="3">
        <f t="shared" si="1"/>
        <v>72862000</v>
      </c>
    </row>
    <row r="22" spans="1:15" x14ac:dyDescent="0.15">
      <c r="A22" s="1">
        <v>1990</v>
      </c>
      <c r="B22" s="3">
        <v>50700000</v>
      </c>
      <c r="C22" s="3">
        <v>0</v>
      </c>
      <c r="D22" s="3">
        <v>0</v>
      </c>
      <c r="E22" s="3">
        <v>0</v>
      </c>
      <c r="F22" s="3">
        <v>0</v>
      </c>
      <c r="G22" s="3">
        <v>0</v>
      </c>
      <c r="H22" s="3">
        <v>25605000</v>
      </c>
      <c r="I22" s="3">
        <v>378000</v>
      </c>
      <c r="J22" s="3">
        <v>0</v>
      </c>
      <c r="K22" s="3">
        <f t="shared" ref="K22:M35" si="2">+B22+E22+H22</f>
        <v>76305000</v>
      </c>
      <c r="L22" s="3">
        <f t="shared" si="2"/>
        <v>378000</v>
      </c>
      <c r="M22" s="3">
        <f t="shared" si="2"/>
        <v>0</v>
      </c>
      <c r="N22" s="3">
        <f t="shared" si="1"/>
        <v>76683000</v>
      </c>
    </row>
    <row r="23" spans="1:15" x14ac:dyDescent="0.15">
      <c r="A23" s="1">
        <v>1991</v>
      </c>
      <c r="B23" s="3">
        <v>52770000</v>
      </c>
      <c r="C23" s="3">
        <v>0</v>
      </c>
      <c r="D23" s="3">
        <v>0</v>
      </c>
      <c r="E23" s="3">
        <v>0</v>
      </c>
      <c r="F23" s="3">
        <v>0</v>
      </c>
      <c r="G23" s="3">
        <v>0</v>
      </c>
      <c r="H23" s="3">
        <v>26830000</v>
      </c>
      <c r="I23" s="3">
        <v>441000</v>
      </c>
      <c r="J23" s="3">
        <v>0</v>
      </c>
      <c r="K23" s="3">
        <f t="shared" si="2"/>
        <v>79600000</v>
      </c>
      <c r="L23" s="3">
        <f t="shared" si="2"/>
        <v>441000</v>
      </c>
      <c r="M23" s="3">
        <f t="shared" si="2"/>
        <v>0</v>
      </c>
      <c r="N23" s="3">
        <f t="shared" si="1"/>
        <v>80041000</v>
      </c>
    </row>
    <row r="24" spans="1:15" x14ac:dyDescent="0.15">
      <c r="A24" s="1">
        <v>1992</v>
      </c>
      <c r="B24" s="3">
        <v>61000000</v>
      </c>
      <c r="C24" s="3">
        <v>0</v>
      </c>
      <c r="D24" s="3">
        <v>0</v>
      </c>
      <c r="E24" s="3">
        <v>0</v>
      </c>
      <c r="F24" s="3">
        <v>0</v>
      </c>
      <c r="G24" s="3">
        <v>0</v>
      </c>
      <c r="H24" s="3">
        <v>24227000</v>
      </c>
      <c r="I24" s="3">
        <v>441000</v>
      </c>
      <c r="J24" s="3">
        <v>0</v>
      </c>
      <c r="K24" s="3">
        <f t="shared" si="2"/>
        <v>85227000</v>
      </c>
      <c r="L24" s="3">
        <f t="shared" si="2"/>
        <v>441000</v>
      </c>
      <c r="M24" s="3">
        <f t="shared" si="2"/>
        <v>0</v>
      </c>
      <c r="N24" s="3">
        <f t="shared" si="1"/>
        <v>85668000</v>
      </c>
    </row>
    <row r="25" spans="1:15" x14ac:dyDescent="0.15">
      <c r="A25" s="1">
        <v>1993</v>
      </c>
      <c r="B25" s="3">
        <v>66000000</v>
      </c>
      <c r="C25" s="3">
        <v>0</v>
      </c>
      <c r="D25" s="3">
        <v>0</v>
      </c>
      <c r="E25" s="3">
        <v>0</v>
      </c>
      <c r="F25" s="3">
        <v>0</v>
      </c>
      <c r="G25" s="3">
        <v>0</v>
      </c>
      <c r="H25" s="3">
        <v>27680000</v>
      </c>
      <c r="I25" s="3">
        <v>451000</v>
      </c>
      <c r="J25" s="3">
        <v>0</v>
      </c>
      <c r="K25" s="3">
        <f t="shared" si="2"/>
        <v>93680000</v>
      </c>
      <c r="L25" s="3">
        <f t="shared" si="2"/>
        <v>451000</v>
      </c>
      <c r="M25" s="3">
        <f t="shared" si="2"/>
        <v>0</v>
      </c>
      <c r="N25" s="3">
        <f t="shared" si="1"/>
        <v>94131000</v>
      </c>
    </row>
    <row r="26" spans="1:15" x14ac:dyDescent="0.15">
      <c r="A26" s="1">
        <v>1994</v>
      </c>
      <c r="B26" s="3">
        <v>74000000</v>
      </c>
      <c r="C26" s="3">
        <v>0</v>
      </c>
      <c r="D26" s="3">
        <v>0</v>
      </c>
      <c r="E26" s="3">
        <v>3940000</v>
      </c>
      <c r="F26" s="3">
        <v>0</v>
      </c>
      <c r="G26" s="3">
        <v>0</v>
      </c>
      <c r="H26" s="3">
        <v>28927000</v>
      </c>
      <c r="I26" s="3">
        <v>424000</v>
      </c>
      <c r="J26" s="3">
        <v>0</v>
      </c>
      <c r="K26" s="3">
        <f t="shared" si="2"/>
        <v>106867000</v>
      </c>
      <c r="L26" s="3">
        <f t="shared" si="2"/>
        <v>424000</v>
      </c>
      <c r="M26" s="3">
        <f t="shared" si="2"/>
        <v>0</v>
      </c>
      <c r="N26" s="3">
        <f t="shared" si="1"/>
        <v>107291000</v>
      </c>
    </row>
    <row r="27" spans="1:15" x14ac:dyDescent="0.15">
      <c r="A27" s="1">
        <v>1995</v>
      </c>
      <c r="B27" s="3">
        <v>80888223</v>
      </c>
      <c r="C27" s="3">
        <v>0</v>
      </c>
      <c r="D27" s="3">
        <v>0</v>
      </c>
      <c r="E27" s="3">
        <f>91225000-B27</f>
        <v>10336777</v>
      </c>
      <c r="F27" s="3">
        <v>0</v>
      </c>
      <c r="G27" s="3">
        <v>0</v>
      </c>
      <c r="H27" s="3">
        <v>32907000</v>
      </c>
      <c r="I27" s="3">
        <v>383000</v>
      </c>
      <c r="J27" s="3">
        <v>0</v>
      </c>
      <c r="K27" s="3">
        <f t="shared" si="2"/>
        <v>124132000</v>
      </c>
      <c r="L27" s="3">
        <f t="shared" si="2"/>
        <v>383000</v>
      </c>
      <c r="M27" s="3">
        <f t="shared" si="2"/>
        <v>0</v>
      </c>
      <c r="N27" s="3">
        <f t="shared" si="1"/>
        <v>124515000</v>
      </c>
    </row>
    <row r="28" spans="1:15" x14ac:dyDescent="0.15">
      <c r="A28" s="1">
        <v>1996</v>
      </c>
      <c r="B28" s="3">
        <v>77971129</v>
      </c>
      <c r="C28" s="3">
        <v>0</v>
      </c>
      <c r="D28" s="3">
        <v>0</v>
      </c>
      <c r="E28" s="3">
        <f>86053000-B28</f>
        <v>8081871</v>
      </c>
      <c r="F28" s="3">
        <v>0</v>
      </c>
      <c r="G28" s="3">
        <v>0</v>
      </c>
      <c r="H28" s="3">
        <v>34914000</v>
      </c>
      <c r="I28" s="3">
        <v>396000</v>
      </c>
      <c r="J28" s="3">
        <v>0</v>
      </c>
      <c r="K28" s="3">
        <f t="shared" si="2"/>
        <v>120967000</v>
      </c>
      <c r="L28" s="3">
        <f t="shared" si="2"/>
        <v>396000</v>
      </c>
      <c r="M28" s="3">
        <f t="shared" si="2"/>
        <v>0</v>
      </c>
      <c r="N28" s="3">
        <f t="shared" si="1"/>
        <v>121363000</v>
      </c>
    </row>
    <row r="29" spans="1:15" x14ac:dyDescent="0.15">
      <c r="A29" s="1">
        <v>1997</v>
      </c>
      <c r="B29" s="3">
        <v>74549639</v>
      </c>
      <c r="C29" s="3">
        <v>0</v>
      </c>
      <c r="D29" s="3">
        <v>0</v>
      </c>
      <c r="E29" s="3">
        <f>86770000-B29</f>
        <v>12220361</v>
      </c>
      <c r="F29" s="3">
        <v>0</v>
      </c>
      <c r="G29" s="3">
        <v>0</v>
      </c>
      <c r="H29" s="3">
        <v>41882000</v>
      </c>
      <c r="I29" s="3">
        <v>369000</v>
      </c>
      <c r="J29" s="3">
        <v>0</v>
      </c>
      <c r="K29" s="3">
        <f t="shared" si="2"/>
        <v>128652000</v>
      </c>
      <c r="L29" s="3">
        <f t="shared" si="2"/>
        <v>369000</v>
      </c>
      <c r="M29" s="3">
        <f t="shared" si="2"/>
        <v>0</v>
      </c>
      <c r="N29" s="3">
        <f t="shared" si="1"/>
        <v>129021000</v>
      </c>
      <c r="O29" s="1" t="s">
        <v>216</v>
      </c>
    </row>
    <row r="30" spans="1:15" x14ac:dyDescent="0.15">
      <c r="A30" s="1">
        <v>1998</v>
      </c>
      <c r="B30" s="3">
        <f>45743763+34307822+1633706</f>
        <v>81685291</v>
      </c>
      <c r="C30" s="3">
        <v>0</v>
      </c>
      <c r="D30" s="3">
        <v>0</v>
      </c>
      <c r="E30" s="3">
        <f>92948000-B30</f>
        <v>11262709</v>
      </c>
      <c r="F30" s="3">
        <v>0</v>
      </c>
      <c r="G30" s="3">
        <v>0</v>
      </c>
      <c r="H30" s="3">
        <v>46401000</v>
      </c>
      <c r="I30" s="3">
        <v>332000</v>
      </c>
      <c r="J30" s="3">
        <v>0</v>
      </c>
      <c r="K30" s="3">
        <f t="shared" si="2"/>
        <v>139349000</v>
      </c>
      <c r="L30" s="3">
        <f t="shared" si="2"/>
        <v>332000</v>
      </c>
      <c r="M30" s="3">
        <f t="shared" si="2"/>
        <v>0</v>
      </c>
      <c r="N30" s="3">
        <f t="shared" si="1"/>
        <v>139681000</v>
      </c>
    </row>
    <row r="31" spans="1:15" x14ac:dyDescent="0.15">
      <c r="A31" s="1">
        <v>1999</v>
      </c>
      <c r="B31" s="3">
        <v>75445772</v>
      </c>
      <c r="C31" s="3">
        <v>0</v>
      </c>
      <c r="D31" s="3">
        <v>0</v>
      </c>
      <c r="E31" s="3">
        <f>93122000-B31</f>
        <v>17676228</v>
      </c>
      <c r="F31" s="3">
        <v>0</v>
      </c>
      <c r="G31" s="3">
        <v>0</v>
      </c>
      <c r="H31" s="3">
        <v>51524000</v>
      </c>
      <c r="I31" s="3">
        <v>296000</v>
      </c>
      <c r="J31" s="3">
        <v>0</v>
      </c>
      <c r="K31" s="3">
        <f t="shared" si="2"/>
        <v>144646000</v>
      </c>
      <c r="L31" s="3">
        <f t="shared" si="2"/>
        <v>296000</v>
      </c>
      <c r="M31" s="3">
        <f t="shared" si="2"/>
        <v>0</v>
      </c>
      <c r="N31" s="3">
        <f t="shared" si="1"/>
        <v>144942000</v>
      </c>
    </row>
    <row r="32" spans="1:15" x14ac:dyDescent="0.15">
      <c r="A32" s="1">
        <v>2000</v>
      </c>
      <c r="B32" s="3">
        <v>79019289</v>
      </c>
      <c r="C32" s="3">
        <v>0</v>
      </c>
      <c r="D32" s="3">
        <v>0</v>
      </c>
      <c r="E32" s="3">
        <v>16462580</v>
      </c>
      <c r="F32" s="3">
        <v>0</v>
      </c>
      <c r="G32" s="3">
        <v>0</v>
      </c>
      <c r="H32" s="3">
        <v>68512000</v>
      </c>
      <c r="I32" s="3">
        <v>303000</v>
      </c>
      <c r="J32" s="3">
        <v>0</v>
      </c>
      <c r="K32" s="3">
        <f t="shared" si="2"/>
        <v>163993869</v>
      </c>
      <c r="L32" s="3">
        <f t="shared" si="2"/>
        <v>303000</v>
      </c>
      <c r="M32" s="3">
        <f t="shared" si="2"/>
        <v>0</v>
      </c>
      <c r="N32" s="3">
        <f t="shared" si="1"/>
        <v>164296869</v>
      </c>
    </row>
    <row r="33" spans="1:15" x14ac:dyDescent="0.15">
      <c r="A33" s="1">
        <v>2001</v>
      </c>
      <c r="B33" s="3">
        <f>46083796+35434816+2729643</f>
        <v>84248255</v>
      </c>
      <c r="C33" s="3">
        <v>0</v>
      </c>
      <c r="D33" s="3">
        <v>0</v>
      </c>
      <c r="E33" s="3">
        <v>14358471</v>
      </c>
      <c r="F33" s="3">
        <v>0</v>
      </c>
      <c r="G33" s="3">
        <v>0</v>
      </c>
      <c r="H33" s="3">
        <v>75261000</v>
      </c>
      <c r="I33" s="3">
        <v>309000</v>
      </c>
      <c r="J33" s="3">
        <v>0</v>
      </c>
      <c r="K33" s="3">
        <f t="shared" si="2"/>
        <v>173867726</v>
      </c>
      <c r="L33" s="3">
        <f t="shared" si="2"/>
        <v>309000</v>
      </c>
      <c r="M33" s="3">
        <f t="shared" si="2"/>
        <v>0</v>
      </c>
      <c r="N33" s="3">
        <f t="shared" si="1"/>
        <v>174176726</v>
      </c>
    </row>
    <row r="34" spans="1:15" x14ac:dyDescent="0.15">
      <c r="A34" s="1">
        <v>2002</v>
      </c>
      <c r="B34" s="3">
        <v>98397658</v>
      </c>
      <c r="C34" s="3">
        <v>0</v>
      </c>
      <c r="D34" s="3">
        <v>0</v>
      </c>
      <c r="E34" s="3">
        <v>13886061</v>
      </c>
      <c r="F34" s="3">
        <v>0</v>
      </c>
      <c r="G34" s="3">
        <v>0</v>
      </c>
      <c r="H34" s="3">
        <v>81775000</v>
      </c>
      <c r="I34" s="3">
        <v>325000</v>
      </c>
      <c r="J34" s="3">
        <v>0</v>
      </c>
      <c r="K34" s="3">
        <f t="shared" si="2"/>
        <v>194058719</v>
      </c>
      <c r="L34" s="3">
        <f t="shared" si="2"/>
        <v>325000</v>
      </c>
      <c r="M34" s="3">
        <f t="shared" si="2"/>
        <v>0</v>
      </c>
      <c r="N34" s="3">
        <f t="shared" si="1"/>
        <v>194383719</v>
      </c>
    </row>
    <row r="35" spans="1:15" x14ac:dyDescent="0.15">
      <c r="A35" s="1">
        <v>2003</v>
      </c>
      <c r="B35" s="3">
        <v>116988404</v>
      </c>
      <c r="C35" s="3">
        <v>0</v>
      </c>
      <c r="D35" s="3">
        <v>0</v>
      </c>
      <c r="E35" s="3">
        <v>15304879</v>
      </c>
      <c r="F35" s="3">
        <v>0</v>
      </c>
      <c r="G35" s="3">
        <v>0</v>
      </c>
      <c r="H35" s="3">
        <v>65433108</v>
      </c>
      <c r="I35" s="3">
        <v>319375</v>
      </c>
      <c r="J35" s="3">
        <v>12400000</v>
      </c>
      <c r="K35" s="3">
        <f t="shared" si="2"/>
        <v>197726391</v>
      </c>
      <c r="L35" s="3">
        <f t="shared" si="2"/>
        <v>319375</v>
      </c>
      <c r="M35" s="3">
        <f t="shared" si="2"/>
        <v>12400000</v>
      </c>
      <c r="N35" s="3">
        <f t="shared" si="1"/>
        <v>210445766</v>
      </c>
    </row>
    <row r="36" spans="1:15" x14ac:dyDescent="0.15">
      <c r="A36" s="1">
        <v>2004</v>
      </c>
      <c r="B36" s="3">
        <v>7895764</v>
      </c>
      <c r="C36" s="3">
        <v>0</v>
      </c>
      <c r="D36" s="3">
        <v>0</v>
      </c>
      <c r="E36" s="3">
        <v>136880958</v>
      </c>
      <c r="F36" s="3">
        <v>0</v>
      </c>
      <c r="G36" s="3">
        <v>0</v>
      </c>
      <c r="H36" s="3">
        <v>56010509</v>
      </c>
      <c r="I36" s="3">
        <v>314999</v>
      </c>
      <c r="J36" s="3">
        <v>0</v>
      </c>
      <c r="K36" s="3">
        <v>200787231</v>
      </c>
      <c r="L36" s="3">
        <v>314999</v>
      </c>
      <c r="M36" s="3">
        <v>0</v>
      </c>
      <c r="N36" s="3">
        <v>201102230</v>
      </c>
      <c r="O36" s="1" t="s">
        <v>260</v>
      </c>
    </row>
    <row r="37" spans="1:15" x14ac:dyDescent="0.15">
      <c r="A37" s="1">
        <v>2005</v>
      </c>
      <c r="B37" s="3">
        <v>145325012</v>
      </c>
      <c r="C37" s="3">
        <v>0</v>
      </c>
      <c r="D37" s="3">
        <v>0</v>
      </c>
      <c r="E37" s="3">
        <v>14224080</v>
      </c>
      <c r="F37" s="3">
        <v>0</v>
      </c>
      <c r="G37" s="3">
        <v>0</v>
      </c>
      <c r="H37" s="3">
        <v>79184944</v>
      </c>
      <c r="I37" s="3">
        <v>306832</v>
      </c>
      <c r="J37" s="3">
        <v>0</v>
      </c>
      <c r="K37" s="3">
        <v>238734036</v>
      </c>
      <c r="L37" s="3">
        <v>306832</v>
      </c>
      <c r="M37" s="3">
        <v>0</v>
      </c>
      <c r="N37" s="3">
        <v>239040868</v>
      </c>
      <c r="O37" s="1" t="s">
        <v>306</v>
      </c>
    </row>
    <row r="38" spans="1:15" x14ac:dyDescent="0.15">
      <c r="A38" s="1">
        <v>2006</v>
      </c>
      <c r="B38" s="3">
        <v>147256301</v>
      </c>
      <c r="C38" s="3">
        <v>0</v>
      </c>
      <c r="D38" s="3">
        <v>0</v>
      </c>
      <c r="E38" s="3">
        <v>12294700</v>
      </c>
      <c r="F38" s="3">
        <v>0</v>
      </c>
      <c r="G38" s="3">
        <v>0</v>
      </c>
      <c r="H38" s="3">
        <v>61859642</v>
      </c>
      <c r="I38" s="3">
        <v>0</v>
      </c>
      <c r="J38" s="3">
        <v>0</v>
      </c>
      <c r="K38" s="3">
        <v>221410643</v>
      </c>
      <c r="L38" s="3">
        <v>0</v>
      </c>
      <c r="M38" s="3">
        <v>0</v>
      </c>
      <c r="N38" s="3">
        <v>221410643</v>
      </c>
    </row>
    <row r="39" spans="1:15" x14ac:dyDescent="0.15">
      <c r="A39" s="1">
        <v>2007</v>
      </c>
      <c r="B39" s="3">
        <v>49482372</v>
      </c>
      <c r="C39" s="3">
        <v>0</v>
      </c>
      <c r="D39" s="3">
        <v>0</v>
      </c>
      <c r="E39" s="3">
        <v>128077010</v>
      </c>
      <c r="F39" s="3">
        <v>0</v>
      </c>
      <c r="G39" s="3">
        <v>0</v>
      </c>
      <c r="H39" s="3">
        <v>78033940</v>
      </c>
      <c r="I39" s="3">
        <v>345916</v>
      </c>
      <c r="J39" s="3">
        <v>0</v>
      </c>
      <c r="K39" s="3">
        <v>255593322</v>
      </c>
      <c r="L39" s="3">
        <v>345916</v>
      </c>
      <c r="M39" s="3">
        <v>0</v>
      </c>
      <c r="N39" s="3">
        <v>255939238</v>
      </c>
      <c r="O39" s="1" t="s">
        <v>260</v>
      </c>
    </row>
    <row r="40" spans="1:15" x14ac:dyDescent="0.15">
      <c r="A40" s="1">
        <v>2008</v>
      </c>
      <c r="B40" s="3">
        <v>104821858</v>
      </c>
      <c r="C40" s="3">
        <v>0</v>
      </c>
      <c r="D40" s="3">
        <v>0</v>
      </c>
      <c r="E40" s="3">
        <v>87116947</v>
      </c>
      <c r="F40" s="3">
        <v>0</v>
      </c>
      <c r="G40" s="3">
        <v>0</v>
      </c>
      <c r="H40" s="3">
        <v>62845912</v>
      </c>
      <c r="I40" s="3">
        <v>322928</v>
      </c>
      <c r="J40" s="3">
        <v>0</v>
      </c>
      <c r="K40" s="3">
        <v>254784717</v>
      </c>
      <c r="L40" s="3">
        <v>322928</v>
      </c>
      <c r="M40" s="3">
        <v>0</v>
      </c>
      <c r="N40" s="3">
        <v>255107645</v>
      </c>
      <c r="O40" s="1" t="s">
        <v>307</v>
      </c>
    </row>
    <row r="41" spans="1:15" x14ac:dyDescent="0.15">
      <c r="A41" s="1">
        <v>2009</v>
      </c>
      <c r="B41" s="3">
        <v>157446201</v>
      </c>
      <c r="C41" s="3">
        <v>0</v>
      </c>
      <c r="D41" s="3">
        <v>0</v>
      </c>
      <c r="E41" s="3">
        <v>67439861</v>
      </c>
      <c r="F41" s="3">
        <v>0</v>
      </c>
      <c r="G41" s="3">
        <v>0</v>
      </c>
      <c r="H41" s="3">
        <v>59012649</v>
      </c>
      <c r="I41" s="3">
        <v>312281</v>
      </c>
      <c r="J41" s="3">
        <v>0</v>
      </c>
      <c r="K41" s="3">
        <v>283898711</v>
      </c>
      <c r="L41" s="3">
        <v>312281</v>
      </c>
      <c r="M41" s="3">
        <v>0</v>
      </c>
      <c r="N41" s="3">
        <v>284210992</v>
      </c>
    </row>
    <row r="42" spans="1:15" x14ac:dyDescent="0.15">
      <c r="A42" s="1">
        <v>2010</v>
      </c>
      <c r="B42" s="3">
        <v>76301177</v>
      </c>
      <c r="C42" s="3">
        <v>0</v>
      </c>
      <c r="D42" s="3">
        <v>0</v>
      </c>
      <c r="E42" s="3">
        <v>0</v>
      </c>
      <c r="F42" s="3">
        <v>0</v>
      </c>
      <c r="G42" s="3">
        <v>0</v>
      </c>
      <c r="H42" s="3">
        <v>31878539</v>
      </c>
      <c r="I42" s="3">
        <v>118933</v>
      </c>
      <c r="J42" s="3">
        <v>0</v>
      </c>
      <c r="K42" s="3">
        <v>108179716</v>
      </c>
      <c r="L42" s="3">
        <v>118933</v>
      </c>
      <c r="M42" s="3">
        <v>0</v>
      </c>
      <c r="N42" s="3">
        <v>108298649</v>
      </c>
      <c r="O42" s="1" t="s">
        <v>308</v>
      </c>
    </row>
    <row r="43" spans="1:15" x14ac:dyDescent="0.15">
      <c r="A43" s="1">
        <v>2011</v>
      </c>
      <c r="B43" s="3">
        <v>73999400</v>
      </c>
      <c r="C43" s="3">
        <v>0</v>
      </c>
      <c r="D43" s="3">
        <v>0</v>
      </c>
      <c r="E43" s="3">
        <v>0</v>
      </c>
      <c r="F43" s="3">
        <v>0</v>
      </c>
      <c r="G43" s="3">
        <v>0</v>
      </c>
      <c r="H43" s="3">
        <v>35732085</v>
      </c>
      <c r="I43" s="3">
        <v>0</v>
      </c>
      <c r="J43" s="3">
        <v>0</v>
      </c>
      <c r="K43" s="3">
        <v>109731485</v>
      </c>
      <c r="L43" s="3">
        <v>0</v>
      </c>
      <c r="M43" s="3">
        <v>0</v>
      </c>
      <c r="N43" s="3">
        <v>109731485</v>
      </c>
    </row>
    <row r="44" spans="1:15" x14ac:dyDescent="0.15">
      <c r="A44" s="1">
        <v>2012</v>
      </c>
      <c r="B44" s="3">
        <v>74930555</v>
      </c>
      <c r="C44" s="3">
        <v>0</v>
      </c>
      <c r="D44" s="3">
        <v>0</v>
      </c>
      <c r="E44" s="3">
        <v>0</v>
      </c>
      <c r="F44" s="3">
        <v>0</v>
      </c>
      <c r="G44" s="3">
        <v>0</v>
      </c>
      <c r="H44" s="3">
        <v>33858922</v>
      </c>
      <c r="I44" s="3">
        <v>0</v>
      </c>
      <c r="J44" s="3">
        <v>0</v>
      </c>
      <c r="K44" s="3">
        <v>108789477</v>
      </c>
      <c r="L44" s="3">
        <v>0</v>
      </c>
      <c r="M44" s="3">
        <v>0</v>
      </c>
      <c r="N44" s="3">
        <v>108789477</v>
      </c>
    </row>
    <row r="45" spans="1:15" x14ac:dyDescent="0.15">
      <c r="A45" s="1">
        <v>2013</v>
      </c>
      <c r="B45" s="3">
        <v>86048204</v>
      </c>
      <c r="C45" s="3">
        <v>0</v>
      </c>
      <c r="D45" s="3">
        <v>0</v>
      </c>
      <c r="E45" s="3">
        <v>0</v>
      </c>
      <c r="F45" s="3">
        <v>0</v>
      </c>
      <c r="G45" s="3">
        <v>0</v>
      </c>
      <c r="H45" s="3">
        <v>35350002</v>
      </c>
      <c r="I45" s="3">
        <v>1000</v>
      </c>
      <c r="J45" s="3">
        <v>0</v>
      </c>
      <c r="K45" s="3">
        <v>121398206</v>
      </c>
      <c r="L45" s="3">
        <v>1000</v>
      </c>
      <c r="M45" s="3">
        <v>0</v>
      </c>
      <c r="N45" s="3">
        <v>121399206</v>
      </c>
    </row>
    <row r="46" spans="1:15" x14ac:dyDescent="0.15">
      <c r="A46" s="1">
        <v>2014</v>
      </c>
      <c r="B46" s="3">
        <v>80855553</v>
      </c>
      <c r="C46" s="3">
        <v>0</v>
      </c>
      <c r="D46" s="3">
        <v>0</v>
      </c>
      <c r="E46" s="3">
        <v>0</v>
      </c>
      <c r="F46" s="3">
        <v>0</v>
      </c>
      <c r="G46" s="3">
        <v>0</v>
      </c>
      <c r="H46" s="3">
        <v>38538480</v>
      </c>
      <c r="I46" s="3">
        <v>0</v>
      </c>
      <c r="J46" s="3">
        <v>0</v>
      </c>
      <c r="K46" s="3">
        <v>119394033</v>
      </c>
      <c r="L46" s="3">
        <v>0</v>
      </c>
      <c r="M46" s="3">
        <v>0</v>
      </c>
      <c r="N46" s="3">
        <v>119394033</v>
      </c>
    </row>
    <row r="47" spans="1:15" x14ac:dyDescent="0.15">
      <c r="A47" s="1">
        <v>2015</v>
      </c>
      <c r="B47" s="3">
        <v>89035728</v>
      </c>
      <c r="C47" s="3">
        <v>0</v>
      </c>
      <c r="D47" s="3">
        <v>0</v>
      </c>
      <c r="E47" s="3">
        <v>0</v>
      </c>
      <c r="F47" s="3">
        <v>0</v>
      </c>
      <c r="G47" s="3">
        <v>0</v>
      </c>
      <c r="H47" s="3">
        <v>37761079</v>
      </c>
      <c r="I47" s="3">
        <v>0</v>
      </c>
      <c r="J47" s="3">
        <v>0</v>
      </c>
      <c r="K47" s="3">
        <v>126796807</v>
      </c>
      <c r="L47" s="3">
        <v>0</v>
      </c>
      <c r="M47" s="3">
        <v>0</v>
      </c>
      <c r="N47" s="3">
        <v>126796807</v>
      </c>
    </row>
    <row r="48" spans="1:15" x14ac:dyDescent="0.15">
      <c r="A48" s="1">
        <v>2016</v>
      </c>
      <c r="B48" s="3">
        <v>93472188</v>
      </c>
      <c r="C48" s="3">
        <v>0</v>
      </c>
      <c r="D48" s="3">
        <v>0</v>
      </c>
      <c r="E48" s="3">
        <v>0</v>
      </c>
      <c r="F48" s="3">
        <v>0</v>
      </c>
      <c r="G48" s="3">
        <v>0</v>
      </c>
      <c r="H48" s="3">
        <v>37477034</v>
      </c>
      <c r="I48" s="3">
        <v>0</v>
      </c>
      <c r="J48" s="3">
        <v>0</v>
      </c>
      <c r="K48" s="3">
        <v>130949222</v>
      </c>
      <c r="L48" s="3">
        <v>0</v>
      </c>
      <c r="M48" s="3">
        <v>0</v>
      </c>
      <c r="N48" s="3">
        <v>130949222</v>
      </c>
    </row>
  </sheetData>
  <phoneticPr fontId="0" type="noConversion"/>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62</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491000</v>
      </c>
      <c r="C7" s="3">
        <v>0</v>
      </c>
      <c r="D7" s="3">
        <v>0</v>
      </c>
      <c r="E7" s="3">
        <v>0</v>
      </c>
      <c r="F7" s="3">
        <v>0</v>
      </c>
      <c r="G7" s="3">
        <v>0</v>
      </c>
      <c r="H7" s="3">
        <v>0</v>
      </c>
      <c r="I7" s="3">
        <v>0</v>
      </c>
      <c r="J7" s="3">
        <v>0</v>
      </c>
      <c r="K7" s="3">
        <f t="shared" si="0"/>
        <v>491000</v>
      </c>
      <c r="L7" s="3">
        <f t="shared" si="0"/>
        <v>0</v>
      </c>
      <c r="M7" s="3">
        <f t="shared" si="0"/>
        <v>0</v>
      </c>
      <c r="N7" s="3">
        <f t="shared" si="1"/>
        <v>491000</v>
      </c>
      <c r="O7" s="1" t="s">
        <v>92</v>
      </c>
    </row>
    <row r="8" spans="1:15" x14ac:dyDescent="0.15">
      <c r="A8" s="1">
        <v>1976</v>
      </c>
      <c r="B8" s="3">
        <v>532000</v>
      </c>
      <c r="C8" s="3">
        <v>0</v>
      </c>
      <c r="D8" s="3">
        <v>0</v>
      </c>
      <c r="E8" s="3">
        <v>0</v>
      </c>
      <c r="F8" s="3">
        <v>0</v>
      </c>
      <c r="G8" s="3">
        <v>0</v>
      </c>
      <c r="H8" s="3">
        <v>0</v>
      </c>
      <c r="I8" s="3">
        <v>0</v>
      </c>
      <c r="J8" s="3">
        <v>0</v>
      </c>
      <c r="K8" s="3">
        <f t="shared" si="0"/>
        <v>532000</v>
      </c>
      <c r="L8" s="3">
        <f t="shared" si="0"/>
        <v>0</v>
      </c>
      <c r="M8" s="3">
        <f t="shared" si="0"/>
        <v>0</v>
      </c>
      <c r="N8" s="3">
        <f t="shared" si="1"/>
        <v>532000</v>
      </c>
    </row>
    <row r="9" spans="1:15" x14ac:dyDescent="0.15">
      <c r="A9" s="1">
        <v>1977</v>
      </c>
      <c r="B9" s="3">
        <v>1256000</v>
      </c>
      <c r="C9" s="3">
        <v>0</v>
      </c>
      <c r="D9" s="3">
        <v>0</v>
      </c>
      <c r="E9" s="3">
        <v>0</v>
      </c>
      <c r="F9" s="3">
        <v>0</v>
      </c>
      <c r="G9" s="3">
        <v>0</v>
      </c>
      <c r="H9" s="3">
        <v>0</v>
      </c>
      <c r="I9" s="3">
        <v>0</v>
      </c>
      <c r="J9" s="3">
        <v>0</v>
      </c>
      <c r="K9" s="3">
        <f t="shared" si="0"/>
        <v>1256000</v>
      </c>
      <c r="L9" s="3">
        <f t="shared" si="0"/>
        <v>0</v>
      </c>
      <c r="M9" s="3">
        <f t="shared" si="0"/>
        <v>0</v>
      </c>
      <c r="N9" s="3">
        <f t="shared" si="1"/>
        <v>1256000</v>
      </c>
    </row>
    <row r="10" spans="1:15" x14ac:dyDescent="0.15">
      <c r="A10" s="1">
        <v>1978</v>
      </c>
      <c r="B10" s="3">
        <v>1672000</v>
      </c>
      <c r="C10" s="3">
        <v>0</v>
      </c>
      <c r="D10" s="3">
        <v>0</v>
      </c>
      <c r="E10" s="3">
        <v>0</v>
      </c>
      <c r="F10" s="3">
        <v>0</v>
      </c>
      <c r="G10" s="3">
        <v>0</v>
      </c>
      <c r="H10" s="3">
        <v>0</v>
      </c>
      <c r="I10" s="3">
        <v>0</v>
      </c>
      <c r="J10" s="3">
        <v>0</v>
      </c>
      <c r="K10" s="3">
        <f t="shared" si="0"/>
        <v>1672000</v>
      </c>
      <c r="L10" s="3">
        <f t="shared" si="0"/>
        <v>0</v>
      </c>
      <c r="M10" s="3">
        <f t="shared" si="0"/>
        <v>0</v>
      </c>
      <c r="N10" s="3">
        <f t="shared" si="1"/>
        <v>1672000</v>
      </c>
    </row>
    <row r="11" spans="1:15" x14ac:dyDescent="0.15">
      <c r="A11" s="1">
        <v>1979</v>
      </c>
      <c r="B11" s="3">
        <v>1846000</v>
      </c>
      <c r="C11" s="3">
        <v>0</v>
      </c>
      <c r="D11" s="3">
        <v>0</v>
      </c>
      <c r="E11" s="3">
        <v>0</v>
      </c>
      <c r="F11" s="3">
        <v>0</v>
      </c>
      <c r="G11" s="3">
        <v>0</v>
      </c>
      <c r="H11" s="3">
        <v>0</v>
      </c>
      <c r="I11" s="3">
        <v>0</v>
      </c>
      <c r="J11" s="3">
        <v>0</v>
      </c>
      <c r="K11" s="3">
        <f t="shared" si="0"/>
        <v>1846000</v>
      </c>
      <c r="L11" s="3">
        <f t="shared" si="0"/>
        <v>0</v>
      </c>
      <c r="M11" s="3">
        <f t="shared" si="0"/>
        <v>0</v>
      </c>
      <c r="N11" s="3">
        <f t="shared" si="1"/>
        <v>1846000</v>
      </c>
    </row>
    <row r="12" spans="1:15" x14ac:dyDescent="0.15">
      <c r="A12" s="1">
        <v>1980</v>
      </c>
      <c r="B12" s="3">
        <v>2265000</v>
      </c>
      <c r="C12" s="3">
        <v>0</v>
      </c>
      <c r="D12" s="3">
        <v>0</v>
      </c>
      <c r="E12" s="3">
        <v>0</v>
      </c>
      <c r="F12" s="3">
        <v>0</v>
      </c>
      <c r="G12" s="3">
        <v>0</v>
      </c>
      <c r="H12" s="3">
        <v>0</v>
      </c>
      <c r="I12" s="3">
        <v>0</v>
      </c>
      <c r="J12" s="3">
        <v>0</v>
      </c>
      <c r="K12" s="3">
        <f t="shared" si="0"/>
        <v>2265000</v>
      </c>
      <c r="L12" s="3">
        <f t="shared" si="0"/>
        <v>0</v>
      </c>
      <c r="M12" s="3">
        <f t="shared" si="0"/>
        <v>0</v>
      </c>
      <c r="N12" s="3">
        <f t="shared" si="1"/>
        <v>2265000</v>
      </c>
    </row>
    <row r="13" spans="1:15" x14ac:dyDescent="0.15">
      <c r="A13" s="1">
        <v>1981</v>
      </c>
      <c r="B13" s="3">
        <v>2041000</v>
      </c>
      <c r="C13" s="3">
        <v>0</v>
      </c>
      <c r="D13" s="3">
        <v>0</v>
      </c>
      <c r="E13" s="3">
        <v>0</v>
      </c>
      <c r="F13" s="3">
        <v>0</v>
      </c>
      <c r="G13" s="3">
        <v>0</v>
      </c>
      <c r="H13" s="3">
        <v>0</v>
      </c>
      <c r="I13" s="3">
        <v>0</v>
      </c>
      <c r="J13" s="3">
        <v>0</v>
      </c>
      <c r="K13" s="3">
        <f t="shared" si="0"/>
        <v>2041000</v>
      </c>
      <c r="L13" s="3">
        <f t="shared" si="0"/>
        <v>0</v>
      </c>
      <c r="M13" s="3">
        <f t="shared" si="0"/>
        <v>0</v>
      </c>
      <c r="N13" s="3">
        <f t="shared" si="1"/>
        <v>2041000</v>
      </c>
    </row>
    <row r="14" spans="1:15" x14ac:dyDescent="0.15">
      <c r="A14" s="1">
        <v>1982</v>
      </c>
      <c r="B14" s="3">
        <v>2265000</v>
      </c>
      <c r="C14" s="3">
        <v>0</v>
      </c>
      <c r="D14" s="3">
        <v>0</v>
      </c>
      <c r="E14" s="3">
        <v>0</v>
      </c>
      <c r="F14" s="3">
        <v>155000</v>
      </c>
      <c r="G14" s="3">
        <v>0</v>
      </c>
      <c r="H14" s="3">
        <v>2247000</v>
      </c>
      <c r="I14" s="3">
        <v>289000</v>
      </c>
      <c r="J14" s="3">
        <v>0</v>
      </c>
      <c r="K14" s="3">
        <f t="shared" si="0"/>
        <v>4512000</v>
      </c>
      <c r="L14" s="3">
        <f t="shared" si="0"/>
        <v>444000</v>
      </c>
      <c r="M14" s="3">
        <f t="shared" si="0"/>
        <v>0</v>
      </c>
      <c r="N14" s="3">
        <f t="shared" si="1"/>
        <v>4956000</v>
      </c>
    </row>
    <row r="15" spans="1:15" x14ac:dyDescent="0.15">
      <c r="A15" s="1">
        <v>1983</v>
      </c>
      <c r="B15" s="3">
        <v>0</v>
      </c>
      <c r="C15" s="3">
        <v>0</v>
      </c>
      <c r="D15" s="3">
        <v>9000000</v>
      </c>
      <c r="E15" s="3">
        <v>0</v>
      </c>
      <c r="F15" s="3">
        <v>155000</v>
      </c>
      <c r="G15" s="3">
        <v>0</v>
      </c>
      <c r="H15" s="3">
        <v>2247000</v>
      </c>
      <c r="I15" s="3">
        <v>289000</v>
      </c>
      <c r="J15" s="3">
        <v>0</v>
      </c>
      <c r="K15" s="3">
        <f t="shared" si="0"/>
        <v>2247000</v>
      </c>
      <c r="L15" s="3">
        <f t="shared" si="0"/>
        <v>444000</v>
      </c>
      <c r="M15" s="3">
        <f t="shared" si="0"/>
        <v>9000000</v>
      </c>
      <c r="N15" s="3">
        <f t="shared" si="1"/>
        <v>11691000</v>
      </c>
      <c r="O15" s="1" t="s">
        <v>155</v>
      </c>
    </row>
    <row r="16" spans="1:15" x14ac:dyDescent="0.15">
      <c r="A16" s="1">
        <v>1984</v>
      </c>
      <c r="B16" s="3">
        <v>7168000</v>
      </c>
      <c r="C16" s="3">
        <v>832000</v>
      </c>
      <c r="D16" s="3">
        <v>0</v>
      </c>
      <c r="E16" s="3">
        <v>0</v>
      </c>
      <c r="F16" s="3">
        <v>0</v>
      </c>
      <c r="G16" s="3">
        <v>0</v>
      </c>
      <c r="H16" s="3">
        <v>0</v>
      </c>
      <c r="I16" s="3">
        <v>0</v>
      </c>
      <c r="J16" s="3">
        <v>0</v>
      </c>
      <c r="K16" s="3">
        <f t="shared" si="0"/>
        <v>7168000</v>
      </c>
      <c r="L16" s="3">
        <f t="shared" si="0"/>
        <v>832000</v>
      </c>
      <c r="M16" s="3">
        <f t="shared" si="0"/>
        <v>0</v>
      </c>
      <c r="N16" s="3">
        <f t="shared" si="1"/>
        <v>8000000</v>
      </c>
    </row>
    <row r="17" spans="1:15" x14ac:dyDescent="0.15">
      <c r="A17" s="1">
        <v>1985</v>
      </c>
      <c r="B17" s="3">
        <v>6655000</v>
      </c>
      <c r="C17" s="3">
        <v>1083000</v>
      </c>
      <c r="D17" s="3">
        <v>0</v>
      </c>
      <c r="E17" s="3">
        <v>0</v>
      </c>
      <c r="F17" s="3">
        <v>0</v>
      </c>
      <c r="G17" s="3">
        <v>0</v>
      </c>
      <c r="H17" s="3">
        <v>0</v>
      </c>
      <c r="I17" s="3">
        <v>0</v>
      </c>
      <c r="J17" s="3">
        <v>0</v>
      </c>
      <c r="K17" s="3">
        <f t="shared" si="0"/>
        <v>6655000</v>
      </c>
      <c r="L17" s="3">
        <f t="shared" si="0"/>
        <v>1083000</v>
      </c>
      <c r="M17" s="3">
        <f t="shared" si="0"/>
        <v>0</v>
      </c>
      <c r="N17" s="3">
        <f t="shared" si="1"/>
        <v>7738000</v>
      </c>
    </row>
    <row r="18" spans="1:15" x14ac:dyDescent="0.15">
      <c r="A18" s="1">
        <v>1986</v>
      </c>
      <c r="B18" s="3">
        <v>8632000</v>
      </c>
      <c r="C18" s="3">
        <v>1405000</v>
      </c>
      <c r="D18" s="3">
        <v>0</v>
      </c>
      <c r="E18" s="3">
        <v>0</v>
      </c>
      <c r="F18" s="3">
        <v>0</v>
      </c>
      <c r="G18" s="3">
        <v>0</v>
      </c>
      <c r="H18" s="3">
        <v>147000</v>
      </c>
      <c r="I18" s="3">
        <v>37000</v>
      </c>
      <c r="J18" s="3">
        <v>0</v>
      </c>
      <c r="K18" s="3">
        <f t="shared" si="0"/>
        <v>8779000</v>
      </c>
      <c r="L18" s="3">
        <f t="shared" si="0"/>
        <v>1442000</v>
      </c>
      <c r="M18" s="3">
        <f t="shared" si="0"/>
        <v>0</v>
      </c>
      <c r="N18" s="3">
        <f t="shared" si="1"/>
        <v>10221000</v>
      </c>
    </row>
    <row r="19" spans="1:15" x14ac:dyDescent="0.15">
      <c r="A19" s="1">
        <v>1987</v>
      </c>
      <c r="B19" s="3">
        <v>9430000</v>
      </c>
      <c r="C19" s="3">
        <v>895000</v>
      </c>
      <c r="D19" s="3">
        <v>0</v>
      </c>
      <c r="E19" s="3">
        <v>20000</v>
      </c>
      <c r="F19" s="3">
        <v>0</v>
      </c>
      <c r="G19" s="3">
        <v>0</v>
      </c>
      <c r="H19" s="3">
        <v>165000</v>
      </c>
      <c r="I19" s="3">
        <v>287000</v>
      </c>
      <c r="J19" s="3">
        <v>0</v>
      </c>
      <c r="K19" s="3">
        <f t="shared" si="0"/>
        <v>9615000</v>
      </c>
      <c r="L19" s="3">
        <f t="shared" si="0"/>
        <v>1182000</v>
      </c>
      <c r="M19" s="3">
        <f t="shared" si="0"/>
        <v>0</v>
      </c>
      <c r="N19" s="3">
        <f t="shared" si="1"/>
        <v>10797000</v>
      </c>
    </row>
    <row r="20" spans="1:15" x14ac:dyDescent="0.15">
      <c r="A20" s="1">
        <v>1988</v>
      </c>
      <c r="B20" s="3">
        <v>10470000</v>
      </c>
      <c r="C20" s="3">
        <v>1358000</v>
      </c>
      <c r="D20" s="3">
        <v>0</v>
      </c>
      <c r="E20" s="3">
        <v>23000</v>
      </c>
      <c r="F20" s="3">
        <v>0</v>
      </c>
      <c r="G20" s="3">
        <v>0</v>
      </c>
      <c r="H20" s="3">
        <v>165000</v>
      </c>
      <c r="I20" s="3">
        <v>294000</v>
      </c>
      <c r="J20" s="3">
        <v>0</v>
      </c>
      <c r="K20" s="3">
        <f t="shared" si="0"/>
        <v>10658000</v>
      </c>
      <c r="L20" s="3">
        <f t="shared" si="0"/>
        <v>1652000</v>
      </c>
      <c r="M20" s="3">
        <f t="shared" si="0"/>
        <v>0</v>
      </c>
      <c r="N20" s="3">
        <f t="shared" si="1"/>
        <v>12310000</v>
      </c>
    </row>
    <row r="21" spans="1:15" x14ac:dyDescent="0.15">
      <c r="A21" s="1">
        <v>1989</v>
      </c>
      <c r="B21" s="3">
        <v>10100000</v>
      </c>
      <c r="C21" s="3">
        <v>1300000</v>
      </c>
      <c r="D21" s="3">
        <v>0</v>
      </c>
      <c r="E21" s="3">
        <v>22000</v>
      </c>
      <c r="F21" s="3">
        <v>0</v>
      </c>
      <c r="G21" s="3">
        <v>0</v>
      </c>
      <c r="H21" s="3">
        <v>165000</v>
      </c>
      <c r="I21" s="3">
        <v>263000</v>
      </c>
      <c r="J21" s="3">
        <v>0</v>
      </c>
      <c r="K21" s="3">
        <f t="shared" si="0"/>
        <v>10287000</v>
      </c>
      <c r="L21" s="3">
        <f t="shared" si="0"/>
        <v>1563000</v>
      </c>
      <c r="M21" s="3">
        <f t="shared" si="0"/>
        <v>0</v>
      </c>
      <c r="N21" s="3">
        <f t="shared" si="1"/>
        <v>11850000</v>
      </c>
    </row>
    <row r="22" spans="1:15" x14ac:dyDescent="0.15">
      <c r="A22" s="1">
        <v>1990</v>
      </c>
      <c r="B22" s="3">
        <v>11510000</v>
      </c>
      <c r="C22" s="3">
        <v>1570000</v>
      </c>
      <c r="D22" s="3">
        <v>0</v>
      </c>
      <c r="E22" s="3">
        <v>25000</v>
      </c>
      <c r="F22" s="3">
        <v>0</v>
      </c>
      <c r="G22" s="3">
        <v>0</v>
      </c>
      <c r="H22" s="3">
        <v>2080000</v>
      </c>
      <c r="I22" s="3">
        <v>290000</v>
      </c>
      <c r="J22" s="3">
        <v>0</v>
      </c>
      <c r="K22" s="3">
        <f t="shared" ref="K22:M35" si="2">+B22+E22+H22</f>
        <v>13615000</v>
      </c>
      <c r="L22" s="3">
        <f t="shared" si="2"/>
        <v>1860000</v>
      </c>
      <c r="M22" s="3">
        <f t="shared" si="2"/>
        <v>0</v>
      </c>
      <c r="N22" s="3">
        <f t="shared" si="1"/>
        <v>15475000</v>
      </c>
    </row>
    <row r="23" spans="1:15" x14ac:dyDescent="0.15">
      <c r="A23" s="1">
        <v>1991</v>
      </c>
      <c r="B23" s="3">
        <v>11691000</v>
      </c>
      <c r="C23" s="3">
        <v>1460000</v>
      </c>
      <c r="D23" s="3">
        <v>0</v>
      </c>
      <c r="E23" s="3">
        <v>26000</v>
      </c>
      <c r="F23" s="3">
        <v>0</v>
      </c>
      <c r="G23" s="3">
        <v>0</v>
      </c>
      <c r="H23" s="3">
        <v>2892000</v>
      </c>
      <c r="I23" s="3">
        <v>309000</v>
      </c>
      <c r="J23" s="3">
        <v>0</v>
      </c>
      <c r="K23" s="3">
        <f t="shared" si="2"/>
        <v>14609000</v>
      </c>
      <c r="L23" s="3">
        <f t="shared" si="2"/>
        <v>1769000</v>
      </c>
      <c r="M23" s="3">
        <f t="shared" si="2"/>
        <v>0</v>
      </c>
      <c r="N23" s="3">
        <f t="shared" si="1"/>
        <v>16378000</v>
      </c>
    </row>
    <row r="24" spans="1:15" x14ac:dyDescent="0.15">
      <c r="A24" s="1">
        <v>1992</v>
      </c>
      <c r="B24" s="3">
        <v>12696000</v>
      </c>
      <c r="C24" s="3">
        <v>1442000</v>
      </c>
      <c r="D24" s="3">
        <v>0</v>
      </c>
      <c r="E24" s="3">
        <v>55000</v>
      </c>
      <c r="F24" s="3">
        <v>0</v>
      </c>
      <c r="G24" s="3">
        <v>0</v>
      </c>
      <c r="H24" s="3">
        <v>3744000</v>
      </c>
      <c r="I24" s="3">
        <v>333000</v>
      </c>
      <c r="J24" s="3">
        <v>0</v>
      </c>
      <c r="K24" s="3">
        <f t="shared" si="2"/>
        <v>16495000</v>
      </c>
      <c r="L24" s="3">
        <f t="shared" si="2"/>
        <v>1775000</v>
      </c>
      <c r="M24" s="3">
        <f t="shared" si="2"/>
        <v>0</v>
      </c>
      <c r="N24" s="3">
        <f t="shared" si="1"/>
        <v>18270000</v>
      </c>
    </row>
    <row r="25" spans="1:15" x14ac:dyDescent="0.15">
      <c r="A25" s="1">
        <v>1993</v>
      </c>
      <c r="B25" s="3">
        <v>13231000</v>
      </c>
      <c r="C25" s="3">
        <v>1635000</v>
      </c>
      <c r="D25" s="3">
        <v>0</v>
      </c>
      <c r="E25" s="3">
        <v>55000</v>
      </c>
      <c r="F25" s="3">
        <v>0</v>
      </c>
      <c r="G25" s="3">
        <v>0</v>
      </c>
      <c r="H25" s="3">
        <v>3959000</v>
      </c>
      <c r="I25" s="3">
        <v>341000</v>
      </c>
      <c r="J25" s="3">
        <v>0</v>
      </c>
      <c r="K25" s="3">
        <f t="shared" si="2"/>
        <v>17245000</v>
      </c>
      <c r="L25" s="3">
        <f t="shared" si="2"/>
        <v>1976000</v>
      </c>
      <c r="M25" s="3">
        <f t="shared" si="2"/>
        <v>0</v>
      </c>
      <c r="N25" s="3">
        <f t="shared" si="1"/>
        <v>19221000</v>
      </c>
    </row>
    <row r="26" spans="1:15" x14ac:dyDescent="0.15">
      <c r="A26" s="1">
        <v>1994</v>
      </c>
      <c r="B26" s="3">
        <v>13350000</v>
      </c>
      <c r="C26" s="3">
        <v>1616000</v>
      </c>
      <c r="D26" s="3">
        <v>0</v>
      </c>
      <c r="E26" s="3">
        <v>55000</v>
      </c>
      <c r="F26" s="3">
        <v>0</v>
      </c>
      <c r="G26" s="3">
        <v>0</v>
      </c>
      <c r="H26" s="3">
        <v>6141000</v>
      </c>
      <c r="I26" s="3">
        <v>326000</v>
      </c>
      <c r="J26" s="3">
        <v>0</v>
      </c>
      <c r="K26" s="3">
        <f t="shared" si="2"/>
        <v>19546000</v>
      </c>
      <c r="L26" s="3">
        <f t="shared" si="2"/>
        <v>1942000</v>
      </c>
      <c r="M26" s="3">
        <f t="shared" si="2"/>
        <v>0</v>
      </c>
      <c r="N26" s="3">
        <f t="shared" si="1"/>
        <v>21488000</v>
      </c>
    </row>
    <row r="27" spans="1:15" x14ac:dyDescent="0.15">
      <c r="A27" s="1">
        <v>1995</v>
      </c>
      <c r="B27" s="3">
        <v>0</v>
      </c>
      <c r="C27" s="3">
        <v>0</v>
      </c>
      <c r="D27" s="3">
        <v>0</v>
      </c>
      <c r="E27" s="3">
        <v>13325000</v>
      </c>
      <c r="F27" s="3">
        <v>1636000</v>
      </c>
      <c r="G27" s="3">
        <v>0</v>
      </c>
      <c r="H27" s="3">
        <v>2986000</v>
      </c>
      <c r="I27" s="3">
        <v>255000</v>
      </c>
      <c r="J27" s="3">
        <v>0</v>
      </c>
      <c r="K27" s="3">
        <f t="shared" si="2"/>
        <v>16311000</v>
      </c>
      <c r="L27" s="3">
        <f t="shared" si="2"/>
        <v>1891000</v>
      </c>
      <c r="M27" s="3">
        <f t="shared" si="2"/>
        <v>0</v>
      </c>
      <c r="N27" s="3">
        <f t="shared" si="1"/>
        <v>18202000</v>
      </c>
      <c r="O27" s="1" t="s">
        <v>204</v>
      </c>
    </row>
    <row r="28" spans="1:15" x14ac:dyDescent="0.15">
      <c r="A28" s="1">
        <v>1996</v>
      </c>
      <c r="B28" s="3">
        <v>0</v>
      </c>
      <c r="C28" s="3">
        <v>0</v>
      </c>
      <c r="D28" s="3">
        <v>0</v>
      </c>
      <c r="E28" s="3">
        <v>13642000</v>
      </c>
      <c r="F28" s="3">
        <v>1182000</v>
      </c>
      <c r="G28" s="3">
        <v>0</v>
      </c>
      <c r="H28" s="3">
        <v>6859000</v>
      </c>
      <c r="I28" s="3">
        <v>341000</v>
      </c>
      <c r="J28" s="3">
        <v>0</v>
      </c>
      <c r="K28" s="3">
        <f t="shared" si="2"/>
        <v>20501000</v>
      </c>
      <c r="L28" s="3">
        <f t="shared" si="2"/>
        <v>1523000</v>
      </c>
      <c r="M28" s="3">
        <f t="shared" si="2"/>
        <v>0</v>
      </c>
      <c r="N28" s="3">
        <f t="shared" si="1"/>
        <v>22024000</v>
      </c>
      <c r="O28" s="1" t="s">
        <v>211</v>
      </c>
    </row>
    <row r="29" spans="1:15" x14ac:dyDescent="0.15">
      <c r="A29" s="1">
        <v>1997</v>
      </c>
      <c r="B29" s="3">
        <v>0</v>
      </c>
      <c r="C29" s="3">
        <v>0</v>
      </c>
      <c r="D29" s="3">
        <v>0</v>
      </c>
      <c r="E29" s="3">
        <v>14558000</v>
      </c>
      <c r="F29" s="3">
        <v>1959000</v>
      </c>
      <c r="G29" s="3">
        <v>0</v>
      </c>
      <c r="H29" s="3">
        <v>7488000</v>
      </c>
      <c r="I29" s="3">
        <v>344000</v>
      </c>
      <c r="J29" s="3">
        <v>0</v>
      </c>
      <c r="K29" s="3">
        <f t="shared" si="2"/>
        <v>22046000</v>
      </c>
      <c r="L29" s="3">
        <f t="shared" si="2"/>
        <v>2303000</v>
      </c>
      <c r="M29" s="3">
        <f t="shared" si="2"/>
        <v>0</v>
      </c>
      <c r="N29" s="3">
        <f t="shared" si="1"/>
        <v>24349000</v>
      </c>
    </row>
    <row r="30" spans="1:15" x14ac:dyDescent="0.15">
      <c r="A30" s="1">
        <v>1998</v>
      </c>
      <c r="B30" s="3">
        <v>0</v>
      </c>
      <c r="C30" s="3">
        <v>0</v>
      </c>
      <c r="D30" s="3">
        <v>0</v>
      </c>
      <c r="E30" s="3">
        <v>16918000</v>
      </c>
      <c r="F30" s="3">
        <v>2318000</v>
      </c>
      <c r="G30" s="3">
        <v>0</v>
      </c>
      <c r="H30" s="3">
        <v>8746000</v>
      </c>
      <c r="I30" s="3">
        <v>433000</v>
      </c>
      <c r="J30" s="3">
        <v>0</v>
      </c>
      <c r="K30" s="3">
        <f t="shared" si="2"/>
        <v>25664000</v>
      </c>
      <c r="L30" s="3">
        <f t="shared" si="2"/>
        <v>2751000</v>
      </c>
      <c r="M30" s="3">
        <f t="shared" si="2"/>
        <v>0</v>
      </c>
      <c r="N30" s="3">
        <f t="shared" si="1"/>
        <v>28415000</v>
      </c>
    </row>
    <row r="31" spans="1:15" x14ac:dyDescent="0.15">
      <c r="A31" s="1">
        <v>1999</v>
      </c>
      <c r="B31" s="3">
        <v>0</v>
      </c>
      <c r="C31" s="3">
        <v>0</v>
      </c>
      <c r="D31" s="3">
        <v>0</v>
      </c>
      <c r="E31" s="3">
        <v>17387000</v>
      </c>
      <c r="F31" s="3">
        <v>2373000</v>
      </c>
      <c r="G31" s="3">
        <v>0</v>
      </c>
      <c r="H31" s="3">
        <v>9075000</v>
      </c>
      <c r="I31" s="3">
        <v>482000</v>
      </c>
      <c r="J31" s="3">
        <v>0</v>
      </c>
      <c r="K31" s="3">
        <f t="shared" si="2"/>
        <v>26462000</v>
      </c>
      <c r="L31" s="3">
        <f t="shared" si="2"/>
        <v>2855000</v>
      </c>
      <c r="M31" s="3">
        <f t="shared" si="2"/>
        <v>0</v>
      </c>
      <c r="N31" s="3">
        <f t="shared" si="1"/>
        <v>29317000</v>
      </c>
    </row>
    <row r="32" spans="1:15" x14ac:dyDescent="0.15">
      <c r="A32" s="1">
        <v>2000</v>
      </c>
      <c r="B32" s="3">
        <v>0</v>
      </c>
      <c r="C32" s="3">
        <v>0</v>
      </c>
      <c r="D32" s="3">
        <v>0</v>
      </c>
      <c r="E32" s="3">
        <v>17579000</v>
      </c>
      <c r="F32" s="3">
        <v>2275000</v>
      </c>
      <c r="G32" s="3">
        <v>0</v>
      </c>
      <c r="H32" s="3">
        <v>9016000</v>
      </c>
      <c r="I32" s="3">
        <v>371000</v>
      </c>
      <c r="J32" s="3">
        <v>0</v>
      </c>
      <c r="K32" s="3">
        <f t="shared" si="2"/>
        <v>26595000</v>
      </c>
      <c r="L32" s="3">
        <f t="shared" si="2"/>
        <v>2646000</v>
      </c>
      <c r="M32" s="3">
        <f t="shared" si="2"/>
        <v>0</v>
      </c>
      <c r="N32" s="3">
        <f t="shared" si="1"/>
        <v>29241000</v>
      </c>
    </row>
    <row r="33" spans="1:15" x14ac:dyDescent="0.15">
      <c r="A33" s="1">
        <v>2001</v>
      </c>
      <c r="B33" s="3">
        <v>0</v>
      </c>
      <c r="C33" s="3">
        <v>0</v>
      </c>
      <c r="D33" s="3">
        <v>0</v>
      </c>
      <c r="E33" s="3">
        <v>19608000</v>
      </c>
      <c r="F33" s="3">
        <v>2009000</v>
      </c>
      <c r="G33" s="3">
        <v>0</v>
      </c>
      <c r="H33" s="3">
        <v>9427000</v>
      </c>
      <c r="I33" s="3">
        <v>307000</v>
      </c>
      <c r="J33" s="3">
        <v>0</v>
      </c>
      <c r="K33" s="3">
        <f t="shared" si="2"/>
        <v>29035000</v>
      </c>
      <c r="L33" s="3">
        <f t="shared" si="2"/>
        <v>2316000</v>
      </c>
      <c r="M33" s="3">
        <f t="shared" si="2"/>
        <v>0</v>
      </c>
      <c r="N33" s="3">
        <f t="shared" si="1"/>
        <v>31351000</v>
      </c>
      <c r="O33" s="1" t="s">
        <v>242</v>
      </c>
    </row>
    <row r="34" spans="1:15" x14ac:dyDescent="0.15">
      <c r="A34" s="1">
        <v>2002</v>
      </c>
      <c r="B34" s="3">
        <v>0</v>
      </c>
      <c r="C34" s="3">
        <v>0</v>
      </c>
      <c r="D34" s="3">
        <v>0</v>
      </c>
      <c r="E34" s="3">
        <v>22091000</v>
      </c>
      <c r="F34" s="3">
        <v>2031000</v>
      </c>
      <c r="G34" s="3">
        <v>0</v>
      </c>
      <c r="H34" s="3">
        <v>9373000</v>
      </c>
      <c r="I34" s="3">
        <v>271000</v>
      </c>
      <c r="J34" s="3">
        <v>0</v>
      </c>
      <c r="K34" s="3">
        <f t="shared" si="2"/>
        <v>31464000</v>
      </c>
      <c r="L34" s="3">
        <f t="shared" si="2"/>
        <v>2302000</v>
      </c>
      <c r="M34" s="3">
        <f t="shared" si="2"/>
        <v>0</v>
      </c>
      <c r="N34" s="3">
        <f t="shared" si="1"/>
        <v>33766000</v>
      </c>
    </row>
    <row r="35" spans="1:15" x14ac:dyDescent="0.15">
      <c r="A35" s="1">
        <v>2003</v>
      </c>
      <c r="B35" s="3">
        <v>17632950</v>
      </c>
      <c r="C35" s="3">
        <v>2143997</v>
      </c>
      <c r="D35" s="3">
        <v>0</v>
      </c>
      <c r="E35" s="3">
        <v>4638861</v>
      </c>
      <c r="F35" s="3">
        <v>0</v>
      </c>
      <c r="G35" s="3">
        <v>0</v>
      </c>
      <c r="H35" s="3">
        <v>10185640</v>
      </c>
      <c r="I35" s="3">
        <v>232531</v>
      </c>
      <c r="J35" s="3">
        <v>87806</v>
      </c>
      <c r="K35" s="3">
        <f t="shared" si="2"/>
        <v>32457451</v>
      </c>
      <c r="L35" s="3">
        <f t="shared" si="2"/>
        <v>2376528</v>
      </c>
      <c r="M35" s="3">
        <f t="shared" si="2"/>
        <v>87806</v>
      </c>
      <c r="N35" s="3">
        <f t="shared" si="1"/>
        <v>34921785</v>
      </c>
      <c r="O35" s="1" t="s">
        <v>309</v>
      </c>
    </row>
    <row r="36" spans="1:15" x14ac:dyDescent="0.15">
      <c r="A36" s="1">
        <v>2004</v>
      </c>
      <c r="B36" s="3">
        <v>17556145</v>
      </c>
      <c r="C36" s="3">
        <v>0</v>
      </c>
      <c r="D36" s="3">
        <v>0</v>
      </c>
      <c r="E36" s="3">
        <v>10470814</v>
      </c>
      <c r="F36" s="3">
        <v>0</v>
      </c>
      <c r="G36" s="3">
        <v>0</v>
      </c>
      <c r="H36" s="3">
        <v>814000</v>
      </c>
      <c r="I36" s="3">
        <v>11000</v>
      </c>
      <c r="J36" s="3">
        <v>10273040</v>
      </c>
      <c r="K36" s="3">
        <v>28840959</v>
      </c>
      <c r="L36" s="3">
        <v>11000</v>
      </c>
      <c r="M36" s="3">
        <v>10273040</v>
      </c>
      <c r="N36" s="3">
        <v>39124999</v>
      </c>
      <c r="O36" s="1" t="s">
        <v>260</v>
      </c>
    </row>
    <row r="37" spans="1:15" x14ac:dyDescent="0.15">
      <c r="A37" s="1">
        <v>2005</v>
      </c>
      <c r="B37" s="3">
        <v>18540051</v>
      </c>
      <c r="C37" s="3">
        <v>0</v>
      </c>
      <c r="D37" s="3">
        <v>0</v>
      </c>
      <c r="E37" s="3">
        <v>18733030</v>
      </c>
      <c r="F37" s="3">
        <v>0</v>
      </c>
      <c r="G37" s="3">
        <v>0</v>
      </c>
      <c r="H37" s="3">
        <v>10242375</v>
      </c>
      <c r="I37" s="3">
        <v>0</v>
      </c>
      <c r="J37" s="3">
        <v>77111</v>
      </c>
      <c r="K37" s="3">
        <v>47515456</v>
      </c>
      <c r="L37" s="3">
        <v>0</v>
      </c>
      <c r="M37" s="3">
        <v>77111</v>
      </c>
      <c r="N37" s="3">
        <v>47592567</v>
      </c>
    </row>
    <row r="38" spans="1:15" x14ac:dyDescent="0.15">
      <c r="A38" s="1">
        <v>2006</v>
      </c>
      <c r="B38" s="3">
        <v>19743722</v>
      </c>
      <c r="C38" s="3">
        <v>0</v>
      </c>
      <c r="D38" s="3">
        <v>0</v>
      </c>
      <c r="E38" s="3">
        <v>27998499</v>
      </c>
      <c r="F38" s="3">
        <v>0</v>
      </c>
      <c r="G38" s="3">
        <v>0</v>
      </c>
      <c r="H38" s="3">
        <v>10473401</v>
      </c>
      <c r="I38" s="3">
        <v>40000</v>
      </c>
      <c r="J38" s="3">
        <v>93414</v>
      </c>
      <c r="K38" s="3">
        <v>58215622</v>
      </c>
      <c r="L38" s="3">
        <v>40000</v>
      </c>
      <c r="M38" s="3">
        <v>93414</v>
      </c>
      <c r="N38" s="3">
        <v>58349036</v>
      </c>
    </row>
    <row r="39" spans="1:15" x14ac:dyDescent="0.15">
      <c r="A39" s="1">
        <v>2007</v>
      </c>
      <c r="B39" s="3">
        <v>19860411</v>
      </c>
      <c r="C39" s="3">
        <v>0</v>
      </c>
      <c r="D39" s="3">
        <v>0</v>
      </c>
      <c r="E39" s="3">
        <v>36327875</v>
      </c>
      <c r="F39" s="3">
        <v>0</v>
      </c>
      <c r="G39" s="3">
        <v>0</v>
      </c>
      <c r="H39" s="3">
        <v>9886402</v>
      </c>
      <c r="I39" s="3">
        <v>43283</v>
      </c>
      <c r="J39" s="3">
        <v>79095</v>
      </c>
      <c r="K39" s="3">
        <v>66074688</v>
      </c>
      <c r="L39" s="3">
        <v>43283</v>
      </c>
      <c r="M39" s="3">
        <v>79095</v>
      </c>
      <c r="N39" s="3">
        <v>66197066</v>
      </c>
    </row>
    <row r="40" spans="1:15" x14ac:dyDescent="0.15">
      <c r="A40" s="1">
        <v>2008</v>
      </c>
      <c r="B40" s="3">
        <v>19750576</v>
      </c>
      <c r="C40" s="3">
        <v>0</v>
      </c>
      <c r="D40" s="3">
        <v>0</v>
      </c>
      <c r="E40" s="3">
        <v>46245331</v>
      </c>
      <c r="F40" s="3">
        <v>0</v>
      </c>
      <c r="G40" s="3">
        <v>0</v>
      </c>
      <c r="H40" s="3">
        <v>9827575</v>
      </c>
      <c r="I40" s="3">
        <v>37240</v>
      </c>
      <c r="J40" s="3">
        <v>81249</v>
      </c>
      <c r="K40" s="3">
        <v>75823482</v>
      </c>
      <c r="L40" s="3">
        <v>37240</v>
      </c>
      <c r="M40" s="3">
        <v>81249</v>
      </c>
      <c r="N40" s="3">
        <v>75941971</v>
      </c>
    </row>
    <row r="41" spans="1:15" x14ac:dyDescent="0.15">
      <c r="A41" s="1">
        <v>2009</v>
      </c>
      <c r="B41" s="3">
        <v>20216204</v>
      </c>
      <c r="C41" s="3">
        <v>0</v>
      </c>
      <c r="D41" s="3">
        <v>0</v>
      </c>
      <c r="E41" s="3">
        <v>55124732</v>
      </c>
      <c r="F41" s="3">
        <v>0</v>
      </c>
      <c r="G41" s="3">
        <v>0</v>
      </c>
      <c r="H41" s="3">
        <v>10219975</v>
      </c>
      <c r="I41" s="3">
        <v>34595</v>
      </c>
      <c r="J41" s="3">
        <v>85159</v>
      </c>
      <c r="K41" s="3">
        <v>85560911</v>
      </c>
      <c r="L41" s="3">
        <v>34595</v>
      </c>
      <c r="M41" s="3">
        <v>85159</v>
      </c>
      <c r="N41" s="3">
        <v>85680665</v>
      </c>
    </row>
    <row r="42" spans="1:15" x14ac:dyDescent="0.15">
      <c r="A42" s="1">
        <v>2010</v>
      </c>
      <c r="B42" s="3">
        <v>20273564</v>
      </c>
      <c r="C42" s="3">
        <v>0</v>
      </c>
      <c r="D42" s="3">
        <v>0</v>
      </c>
      <c r="E42" s="3">
        <v>57185555</v>
      </c>
      <c r="F42" s="3">
        <v>0</v>
      </c>
      <c r="G42" s="3">
        <v>0</v>
      </c>
      <c r="H42" s="3">
        <v>10445850</v>
      </c>
      <c r="I42" s="3">
        <v>33192</v>
      </c>
      <c r="J42" s="3">
        <v>86995</v>
      </c>
      <c r="K42" s="3">
        <v>87904969</v>
      </c>
      <c r="L42" s="3">
        <v>33192</v>
      </c>
      <c r="M42" s="3">
        <v>86995</v>
      </c>
      <c r="N42" s="3">
        <v>88025156</v>
      </c>
    </row>
    <row r="43" spans="1:15" x14ac:dyDescent="0.15">
      <c r="A43" s="1">
        <v>2011</v>
      </c>
      <c r="B43" s="3">
        <v>19996904</v>
      </c>
      <c r="C43" s="3">
        <v>0</v>
      </c>
      <c r="D43" s="3">
        <v>0</v>
      </c>
      <c r="E43" s="3">
        <v>61011185</v>
      </c>
      <c r="F43" s="3">
        <v>0</v>
      </c>
      <c r="G43" s="3">
        <v>0</v>
      </c>
      <c r="H43" s="3">
        <v>11113525</v>
      </c>
      <c r="I43" s="3">
        <v>28241</v>
      </c>
      <c r="J43" s="3">
        <v>92810</v>
      </c>
      <c r="K43" s="3">
        <v>92121614</v>
      </c>
      <c r="L43" s="3">
        <v>28241</v>
      </c>
      <c r="M43" s="3">
        <v>92810</v>
      </c>
      <c r="N43" s="3">
        <v>92242665</v>
      </c>
    </row>
    <row r="44" spans="1:15" x14ac:dyDescent="0.15">
      <c r="A44" s="1">
        <v>2012</v>
      </c>
      <c r="B44" s="3">
        <v>18680088</v>
      </c>
      <c r="C44" s="3">
        <v>0</v>
      </c>
      <c r="D44" s="3">
        <v>0</v>
      </c>
      <c r="E44" s="3">
        <v>63019515</v>
      </c>
      <c r="F44" s="3">
        <v>0</v>
      </c>
      <c r="G44" s="3">
        <v>0</v>
      </c>
      <c r="H44" s="3">
        <v>10966275</v>
      </c>
      <c r="I44" s="3">
        <v>25989</v>
      </c>
      <c r="J44" s="3">
        <v>79907</v>
      </c>
      <c r="K44" s="3">
        <v>92665878</v>
      </c>
      <c r="L44" s="3">
        <v>25989</v>
      </c>
      <c r="M44" s="3">
        <v>79907</v>
      </c>
      <c r="N44" s="3">
        <v>92771774</v>
      </c>
    </row>
    <row r="45" spans="1:15" x14ac:dyDescent="0.15">
      <c r="A45" s="1">
        <v>2013</v>
      </c>
      <c r="B45" s="3">
        <v>19060154</v>
      </c>
      <c r="C45" s="3">
        <v>0</v>
      </c>
      <c r="D45" s="3">
        <v>0</v>
      </c>
      <c r="E45" s="3">
        <v>64286723</v>
      </c>
      <c r="F45" s="3">
        <v>0</v>
      </c>
      <c r="G45" s="3">
        <v>0</v>
      </c>
      <c r="H45" s="3">
        <v>11020500</v>
      </c>
      <c r="I45" s="3">
        <v>23500</v>
      </c>
      <c r="J45" s="3">
        <v>58176</v>
      </c>
      <c r="K45" s="3">
        <v>94367377</v>
      </c>
      <c r="L45" s="3">
        <v>23500</v>
      </c>
      <c r="M45" s="3">
        <v>58176</v>
      </c>
      <c r="N45" s="3">
        <v>94449053</v>
      </c>
    </row>
    <row r="46" spans="1:15" x14ac:dyDescent="0.15">
      <c r="A46" s="1">
        <v>2014</v>
      </c>
      <c r="B46" s="3">
        <v>19935641</v>
      </c>
      <c r="C46" s="3">
        <v>0</v>
      </c>
      <c r="D46" s="3">
        <v>0</v>
      </c>
      <c r="E46" s="3">
        <v>64768658</v>
      </c>
      <c r="F46" s="3">
        <v>0</v>
      </c>
      <c r="G46" s="3">
        <v>0</v>
      </c>
      <c r="H46" s="3">
        <v>10689975</v>
      </c>
      <c r="I46" s="3">
        <v>31540</v>
      </c>
      <c r="J46" s="3">
        <v>81914</v>
      </c>
      <c r="K46" s="3">
        <v>95394274</v>
      </c>
      <c r="L46" s="3">
        <v>31540</v>
      </c>
      <c r="M46" s="3">
        <v>81914</v>
      </c>
      <c r="N46" s="3">
        <v>95507728</v>
      </c>
    </row>
    <row r="47" spans="1:15" x14ac:dyDescent="0.15">
      <c r="A47" s="1">
        <v>2015</v>
      </c>
      <c r="B47" s="3">
        <v>19464466</v>
      </c>
      <c r="C47" s="3">
        <v>0</v>
      </c>
      <c r="D47" s="3">
        <v>0</v>
      </c>
      <c r="E47" s="3">
        <v>67215283</v>
      </c>
      <c r="F47" s="3">
        <v>0</v>
      </c>
      <c r="G47" s="3">
        <v>0</v>
      </c>
      <c r="H47" s="3">
        <v>11152150</v>
      </c>
      <c r="I47" s="3">
        <v>32502</v>
      </c>
      <c r="J47" s="3">
        <v>85295</v>
      </c>
      <c r="K47" s="3">
        <v>97831899</v>
      </c>
      <c r="L47" s="3">
        <v>32502</v>
      </c>
      <c r="M47" s="3">
        <v>85295</v>
      </c>
      <c r="N47" s="3">
        <v>97949696</v>
      </c>
    </row>
    <row r="48" spans="1:15" x14ac:dyDescent="0.15">
      <c r="A48" s="1">
        <v>2016</v>
      </c>
      <c r="B48" s="3">
        <v>18677062</v>
      </c>
      <c r="C48" s="3">
        <v>0</v>
      </c>
      <c r="D48" s="3">
        <v>0</v>
      </c>
      <c r="E48" s="3">
        <v>68631447</v>
      </c>
      <c r="F48" s="3">
        <v>0</v>
      </c>
      <c r="G48" s="3">
        <v>0</v>
      </c>
      <c r="H48" s="3">
        <v>11400542</v>
      </c>
      <c r="I48" s="3">
        <v>38751</v>
      </c>
      <c r="J48" s="3">
        <v>0</v>
      </c>
      <c r="K48" s="3">
        <v>98709051</v>
      </c>
      <c r="L48" s="3">
        <v>38751</v>
      </c>
      <c r="M48" s="3">
        <v>0</v>
      </c>
      <c r="N48" s="3">
        <v>98747802</v>
      </c>
    </row>
  </sheetData>
  <phoneticPr fontId="0" type="noConversion"/>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63</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1537617</v>
      </c>
      <c r="C6" s="3">
        <v>0</v>
      </c>
      <c r="D6" s="3">
        <v>0</v>
      </c>
      <c r="E6" s="3">
        <v>285709</v>
      </c>
      <c r="F6" s="3">
        <v>0</v>
      </c>
      <c r="G6" s="3">
        <v>0</v>
      </c>
      <c r="H6" s="3">
        <v>0</v>
      </c>
      <c r="I6" s="3">
        <v>0</v>
      </c>
      <c r="J6" s="3">
        <v>0</v>
      </c>
      <c r="K6" s="3">
        <f t="shared" ref="K6:M21" si="0">+B6+E6+H6</f>
        <v>1823326</v>
      </c>
      <c r="L6" s="3">
        <f t="shared" si="0"/>
        <v>0</v>
      </c>
      <c r="M6" s="3">
        <f t="shared" si="0"/>
        <v>0</v>
      </c>
      <c r="N6" s="3">
        <f t="shared" ref="N6:N35" si="1">+M6+L6+K6</f>
        <v>1823326</v>
      </c>
      <c r="O6" s="1" t="s">
        <v>64</v>
      </c>
    </row>
    <row r="7" spans="1:15" x14ac:dyDescent="0.15">
      <c r="A7" s="1">
        <v>1975</v>
      </c>
      <c r="B7" s="3">
        <v>1603000</v>
      </c>
      <c r="C7" s="3">
        <v>0</v>
      </c>
      <c r="D7" s="3">
        <v>0</v>
      </c>
      <c r="E7" s="3">
        <v>394000</v>
      </c>
      <c r="F7" s="3">
        <v>0</v>
      </c>
      <c r="G7" s="3">
        <v>0</v>
      </c>
      <c r="H7" s="3">
        <v>0</v>
      </c>
      <c r="I7" s="3">
        <v>0</v>
      </c>
      <c r="J7" s="3">
        <v>0</v>
      </c>
      <c r="K7" s="3">
        <f t="shared" si="0"/>
        <v>1997000</v>
      </c>
      <c r="L7" s="3">
        <f t="shared" si="0"/>
        <v>0</v>
      </c>
      <c r="M7" s="3">
        <f t="shared" si="0"/>
        <v>0</v>
      </c>
      <c r="N7" s="3">
        <f t="shared" si="1"/>
        <v>1997000</v>
      </c>
    </row>
    <row r="8" spans="1:15" x14ac:dyDescent="0.15">
      <c r="A8" s="1">
        <v>1976</v>
      </c>
      <c r="B8" s="3">
        <v>2434000</v>
      </c>
      <c r="C8" s="3">
        <v>0</v>
      </c>
      <c r="D8" s="3">
        <v>0</v>
      </c>
      <c r="E8" s="3">
        <v>375000</v>
      </c>
      <c r="F8" s="3">
        <v>0</v>
      </c>
      <c r="G8" s="3">
        <v>0</v>
      </c>
      <c r="H8" s="3">
        <v>0</v>
      </c>
      <c r="I8" s="3">
        <v>0</v>
      </c>
      <c r="J8" s="3">
        <v>0</v>
      </c>
      <c r="K8" s="3">
        <f t="shared" si="0"/>
        <v>2809000</v>
      </c>
      <c r="L8" s="3">
        <f t="shared" si="0"/>
        <v>0</v>
      </c>
      <c r="M8" s="3">
        <f t="shared" si="0"/>
        <v>0</v>
      </c>
      <c r="N8" s="3">
        <f t="shared" si="1"/>
        <v>2809000</v>
      </c>
    </row>
    <row r="9" spans="1:15" x14ac:dyDescent="0.15">
      <c r="A9" s="1">
        <v>1977</v>
      </c>
      <c r="B9" s="3">
        <v>2573000</v>
      </c>
      <c r="C9" s="3">
        <v>0</v>
      </c>
      <c r="D9" s="3">
        <v>0</v>
      </c>
      <c r="E9" s="3">
        <v>306000</v>
      </c>
      <c r="F9" s="3">
        <v>0</v>
      </c>
      <c r="G9" s="3">
        <v>0</v>
      </c>
      <c r="H9" s="3">
        <v>0</v>
      </c>
      <c r="I9" s="3">
        <v>0</v>
      </c>
      <c r="J9" s="3">
        <v>0</v>
      </c>
      <c r="K9" s="3">
        <f t="shared" si="0"/>
        <v>2879000</v>
      </c>
      <c r="L9" s="3">
        <f t="shared" si="0"/>
        <v>0</v>
      </c>
      <c r="M9" s="3">
        <f t="shared" si="0"/>
        <v>0</v>
      </c>
      <c r="N9" s="3">
        <f t="shared" si="1"/>
        <v>2879000</v>
      </c>
    </row>
    <row r="10" spans="1:15" x14ac:dyDescent="0.15">
      <c r="A10" s="1">
        <v>1978</v>
      </c>
      <c r="B10" s="3">
        <v>3528000</v>
      </c>
      <c r="C10" s="3">
        <v>0</v>
      </c>
      <c r="D10" s="3">
        <v>0</v>
      </c>
      <c r="E10" s="3">
        <v>325000</v>
      </c>
      <c r="F10" s="3">
        <v>0</v>
      </c>
      <c r="G10" s="3">
        <v>0</v>
      </c>
      <c r="H10" s="3">
        <v>0</v>
      </c>
      <c r="I10" s="3">
        <v>0</v>
      </c>
      <c r="J10" s="3">
        <v>0</v>
      </c>
      <c r="K10" s="3">
        <f t="shared" si="0"/>
        <v>3853000</v>
      </c>
      <c r="L10" s="3">
        <f t="shared" si="0"/>
        <v>0</v>
      </c>
      <c r="M10" s="3">
        <f t="shared" si="0"/>
        <v>0</v>
      </c>
      <c r="N10" s="3">
        <f t="shared" si="1"/>
        <v>3853000</v>
      </c>
    </row>
    <row r="11" spans="1:15" x14ac:dyDescent="0.15">
      <c r="A11" s="1">
        <v>1979</v>
      </c>
      <c r="B11" s="3">
        <v>5990000</v>
      </c>
      <c r="C11" s="3">
        <v>0</v>
      </c>
      <c r="D11" s="3">
        <v>0</v>
      </c>
      <c r="E11" s="3">
        <v>376000</v>
      </c>
      <c r="F11" s="3">
        <v>0</v>
      </c>
      <c r="G11" s="3">
        <v>0</v>
      </c>
      <c r="H11" s="3">
        <v>0</v>
      </c>
      <c r="I11" s="3">
        <v>0</v>
      </c>
      <c r="J11" s="3">
        <v>0</v>
      </c>
      <c r="K11" s="3">
        <f t="shared" si="0"/>
        <v>6366000</v>
      </c>
      <c r="L11" s="3">
        <f t="shared" si="0"/>
        <v>0</v>
      </c>
      <c r="M11" s="3">
        <f t="shared" si="0"/>
        <v>0</v>
      </c>
      <c r="N11" s="3">
        <f t="shared" si="1"/>
        <v>6366000</v>
      </c>
    </row>
    <row r="12" spans="1:15" x14ac:dyDescent="0.15">
      <c r="A12" s="1">
        <v>1980</v>
      </c>
      <c r="B12" s="3">
        <v>6655000</v>
      </c>
      <c r="C12" s="3">
        <v>0</v>
      </c>
      <c r="D12" s="3">
        <v>0</v>
      </c>
      <c r="E12" s="3">
        <v>425000</v>
      </c>
      <c r="F12" s="3">
        <v>0</v>
      </c>
      <c r="G12" s="3">
        <v>0</v>
      </c>
      <c r="H12" s="3">
        <v>0</v>
      </c>
      <c r="I12" s="3">
        <v>0</v>
      </c>
      <c r="J12" s="3">
        <v>0</v>
      </c>
      <c r="K12" s="3">
        <f t="shared" si="0"/>
        <v>7080000</v>
      </c>
      <c r="L12" s="3">
        <f t="shared" si="0"/>
        <v>0</v>
      </c>
      <c r="M12" s="3">
        <f t="shared" si="0"/>
        <v>0</v>
      </c>
      <c r="N12" s="3">
        <f t="shared" si="1"/>
        <v>7080000</v>
      </c>
    </row>
    <row r="13" spans="1:15" x14ac:dyDescent="0.15">
      <c r="A13" s="1">
        <v>1981</v>
      </c>
      <c r="B13" s="3">
        <v>5814000</v>
      </c>
      <c r="C13" s="3">
        <v>0</v>
      </c>
      <c r="D13" s="3">
        <v>0</v>
      </c>
      <c r="E13" s="3">
        <f>388000+113000+345000</f>
        <v>846000</v>
      </c>
      <c r="F13" s="3">
        <v>0</v>
      </c>
      <c r="G13" s="3">
        <v>0</v>
      </c>
      <c r="H13" s="3">
        <v>0</v>
      </c>
      <c r="I13" s="3">
        <v>0</v>
      </c>
      <c r="J13" s="3">
        <v>0</v>
      </c>
      <c r="K13" s="3">
        <f t="shared" si="0"/>
        <v>6660000</v>
      </c>
      <c r="L13" s="3">
        <f t="shared" si="0"/>
        <v>0</v>
      </c>
      <c r="M13" s="3">
        <f t="shared" si="0"/>
        <v>0</v>
      </c>
      <c r="N13" s="3">
        <f t="shared" si="1"/>
        <v>6660000</v>
      </c>
    </row>
    <row r="14" spans="1:15" x14ac:dyDescent="0.15">
      <c r="A14" s="1">
        <v>1982</v>
      </c>
      <c r="B14" s="3">
        <v>7007000</v>
      </c>
      <c r="C14" s="3">
        <v>0</v>
      </c>
      <c r="D14" s="3">
        <v>0</v>
      </c>
      <c r="E14" s="3">
        <f>430000+232000</f>
        <v>662000</v>
      </c>
      <c r="F14" s="3">
        <v>710000</v>
      </c>
      <c r="G14" s="3">
        <v>0</v>
      </c>
      <c r="H14" s="3">
        <v>0</v>
      </c>
      <c r="I14" s="3">
        <v>0</v>
      </c>
      <c r="J14" s="3">
        <v>0</v>
      </c>
      <c r="K14" s="3">
        <f t="shared" si="0"/>
        <v>7669000</v>
      </c>
      <c r="L14" s="3">
        <f t="shared" si="0"/>
        <v>710000</v>
      </c>
      <c r="M14" s="3">
        <f t="shared" si="0"/>
        <v>0</v>
      </c>
      <c r="N14" s="3">
        <f t="shared" si="1"/>
        <v>8379000</v>
      </c>
    </row>
    <row r="15" spans="1:15" x14ac:dyDescent="0.15">
      <c r="A15" s="1">
        <v>1983</v>
      </c>
      <c r="B15" s="3">
        <v>7872000</v>
      </c>
      <c r="C15" s="3">
        <v>0</v>
      </c>
      <c r="D15" s="3">
        <v>0</v>
      </c>
      <c r="E15" s="3">
        <f>485000+120000</f>
        <v>605000</v>
      </c>
      <c r="F15" s="3">
        <v>615000</v>
      </c>
      <c r="G15" s="3">
        <v>0</v>
      </c>
      <c r="H15" s="3">
        <v>0</v>
      </c>
      <c r="I15" s="3">
        <v>0</v>
      </c>
      <c r="J15" s="3">
        <v>0</v>
      </c>
      <c r="K15" s="3">
        <f t="shared" si="0"/>
        <v>8477000</v>
      </c>
      <c r="L15" s="3">
        <f t="shared" si="0"/>
        <v>615000</v>
      </c>
      <c r="M15" s="3">
        <f t="shared" si="0"/>
        <v>0</v>
      </c>
      <c r="N15" s="3">
        <f t="shared" si="1"/>
        <v>9092000</v>
      </c>
    </row>
    <row r="16" spans="1:15" x14ac:dyDescent="0.15">
      <c r="A16" s="1">
        <v>1984</v>
      </c>
      <c r="B16" s="3">
        <v>8187000</v>
      </c>
      <c r="C16" s="3">
        <v>0</v>
      </c>
      <c r="D16" s="3">
        <v>0</v>
      </c>
      <c r="E16" s="3">
        <f>499000+82000+68000</f>
        <v>649000</v>
      </c>
      <c r="F16" s="3">
        <v>82000</v>
      </c>
      <c r="G16" s="3">
        <v>0</v>
      </c>
      <c r="H16" s="3">
        <v>0</v>
      </c>
      <c r="I16" s="3">
        <v>0</v>
      </c>
      <c r="J16" s="3">
        <v>0</v>
      </c>
      <c r="K16" s="3">
        <f t="shared" si="0"/>
        <v>8836000</v>
      </c>
      <c r="L16" s="3">
        <f t="shared" si="0"/>
        <v>82000</v>
      </c>
      <c r="M16" s="3">
        <f t="shared" si="0"/>
        <v>0</v>
      </c>
      <c r="N16" s="3">
        <f t="shared" si="1"/>
        <v>8918000</v>
      </c>
    </row>
    <row r="17" spans="1:14" x14ac:dyDescent="0.15">
      <c r="A17" s="1">
        <v>1985</v>
      </c>
      <c r="B17" s="3">
        <v>8616000</v>
      </c>
      <c r="C17" s="3">
        <v>0</v>
      </c>
      <c r="D17" s="3">
        <v>0</v>
      </c>
      <c r="E17" s="3">
        <f>542000+67000+68000</f>
        <v>677000</v>
      </c>
      <c r="F17" s="3">
        <v>73000</v>
      </c>
      <c r="G17" s="3">
        <v>0</v>
      </c>
      <c r="H17" s="3">
        <v>0</v>
      </c>
      <c r="I17" s="3">
        <v>0</v>
      </c>
      <c r="J17" s="3">
        <v>0</v>
      </c>
      <c r="K17" s="3">
        <f t="shared" si="0"/>
        <v>9293000</v>
      </c>
      <c r="L17" s="3">
        <f t="shared" si="0"/>
        <v>73000</v>
      </c>
      <c r="M17" s="3">
        <f t="shared" si="0"/>
        <v>0</v>
      </c>
      <c r="N17" s="3">
        <f t="shared" si="1"/>
        <v>9366000</v>
      </c>
    </row>
    <row r="18" spans="1:14" x14ac:dyDescent="0.15">
      <c r="A18" s="1">
        <v>1986</v>
      </c>
      <c r="B18" s="3">
        <v>8673000</v>
      </c>
      <c r="C18" s="3">
        <v>0</v>
      </c>
      <c r="D18" s="3">
        <v>0</v>
      </c>
      <c r="E18" s="3">
        <f>548000+58000+65000</f>
        <v>671000</v>
      </c>
      <c r="F18" s="3">
        <v>63000</v>
      </c>
      <c r="G18" s="3">
        <v>0</v>
      </c>
      <c r="H18" s="3">
        <v>0</v>
      </c>
      <c r="I18" s="3">
        <v>0</v>
      </c>
      <c r="J18" s="3">
        <v>0</v>
      </c>
      <c r="K18" s="3">
        <f t="shared" si="0"/>
        <v>9344000</v>
      </c>
      <c r="L18" s="3">
        <f t="shared" si="0"/>
        <v>63000</v>
      </c>
      <c r="M18" s="3">
        <f t="shared" si="0"/>
        <v>0</v>
      </c>
      <c r="N18" s="3">
        <f t="shared" si="1"/>
        <v>9407000</v>
      </c>
    </row>
    <row r="19" spans="1:14" x14ac:dyDescent="0.15">
      <c r="A19" s="1">
        <v>1987</v>
      </c>
      <c r="B19" s="3">
        <v>8670000</v>
      </c>
      <c r="C19" s="3">
        <v>0</v>
      </c>
      <c r="D19" s="3">
        <v>0</v>
      </c>
      <c r="E19" s="3">
        <v>554000</v>
      </c>
      <c r="F19" s="3">
        <v>0</v>
      </c>
      <c r="G19" s="3">
        <v>0</v>
      </c>
      <c r="H19" s="3">
        <v>0</v>
      </c>
      <c r="I19" s="3">
        <v>0</v>
      </c>
      <c r="J19" s="3">
        <v>0</v>
      </c>
      <c r="K19" s="3">
        <f t="shared" si="0"/>
        <v>9224000</v>
      </c>
      <c r="L19" s="3">
        <f t="shared" si="0"/>
        <v>0</v>
      </c>
      <c r="M19" s="3">
        <f t="shared" si="0"/>
        <v>0</v>
      </c>
      <c r="N19" s="3">
        <f t="shared" si="1"/>
        <v>9224000</v>
      </c>
    </row>
    <row r="20" spans="1:14" x14ac:dyDescent="0.15">
      <c r="A20" s="1">
        <v>1988</v>
      </c>
      <c r="B20" s="3">
        <v>9509000</v>
      </c>
      <c r="C20" s="3">
        <v>0</v>
      </c>
      <c r="D20" s="3">
        <v>0</v>
      </c>
      <c r="E20" s="3">
        <f>572000+40000</f>
        <v>612000</v>
      </c>
      <c r="F20" s="3">
        <v>0</v>
      </c>
      <c r="G20" s="3">
        <v>0</v>
      </c>
      <c r="H20" s="3">
        <v>0</v>
      </c>
      <c r="I20" s="3">
        <v>0</v>
      </c>
      <c r="J20" s="3">
        <v>0</v>
      </c>
      <c r="K20" s="3">
        <f t="shared" si="0"/>
        <v>10121000</v>
      </c>
      <c r="L20" s="3">
        <f t="shared" si="0"/>
        <v>0</v>
      </c>
      <c r="M20" s="3">
        <f t="shared" si="0"/>
        <v>0</v>
      </c>
      <c r="N20" s="3">
        <f t="shared" si="1"/>
        <v>10121000</v>
      </c>
    </row>
    <row r="21" spans="1:14" x14ac:dyDescent="0.15">
      <c r="A21" s="1">
        <v>1989</v>
      </c>
      <c r="B21" s="3">
        <v>9998000</v>
      </c>
      <c r="C21" s="3">
        <v>0</v>
      </c>
      <c r="D21" s="3">
        <v>0</v>
      </c>
      <c r="E21" s="3">
        <f>570000+48000</f>
        <v>618000</v>
      </c>
      <c r="F21" s="3">
        <v>0</v>
      </c>
      <c r="G21" s="3">
        <v>0</v>
      </c>
      <c r="H21" s="3">
        <v>0</v>
      </c>
      <c r="I21" s="3">
        <v>0</v>
      </c>
      <c r="J21" s="3">
        <v>0</v>
      </c>
      <c r="K21" s="3">
        <f t="shared" si="0"/>
        <v>10616000</v>
      </c>
      <c r="L21" s="3">
        <f t="shared" si="0"/>
        <v>0</v>
      </c>
      <c r="M21" s="3">
        <f t="shared" si="0"/>
        <v>0</v>
      </c>
      <c r="N21" s="3">
        <f t="shared" si="1"/>
        <v>10616000</v>
      </c>
    </row>
    <row r="22" spans="1:14" x14ac:dyDescent="0.15">
      <c r="A22" s="1">
        <v>1990</v>
      </c>
      <c r="B22" s="3">
        <v>10100000</v>
      </c>
      <c r="C22" s="3">
        <v>0</v>
      </c>
      <c r="D22" s="3">
        <v>0</v>
      </c>
      <c r="E22" s="3">
        <f>600000+70000</f>
        <v>670000</v>
      </c>
      <c r="F22" s="3">
        <v>0</v>
      </c>
      <c r="G22" s="3">
        <v>0</v>
      </c>
      <c r="H22" s="3">
        <v>0</v>
      </c>
      <c r="I22" s="3">
        <v>0</v>
      </c>
      <c r="J22" s="3">
        <v>0</v>
      </c>
      <c r="K22" s="3">
        <f t="shared" ref="K22:M35" si="2">+B22+E22+H22</f>
        <v>10770000</v>
      </c>
      <c r="L22" s="3">
        <f t="shared" si="2"/>
        <v>0</v>
      </c>
      <c r="M22" s="3">
        <f t="shared" si="2"/>
        <v>0</v>
      </c>
      <c r="N22" s="3">
        <f t="shared" si="1"/>
        <v>10770000</v>
      </c>
    </row>
    <row r="23" spans="1:14" x14ac:dyDescent="0.15">
      <c r="A23" s="1">
        <v>1991</v>
      </c>
      <c r="B23" s="3">
        <v>11010000</v>
      </c>
      <c r="C23" s="3">
        <v>0</v>
      </c>
      <c r="D23" s="3">
        <v>0</v>
      </c>
      <c r="E23" s="3">
        <f>650000+88000</f>
        <v>738000</v>
      </c>
      <c r="F23" s="3">
        <v>0</v>
      </c>
      <c r="G23" s="3">
        <v>0</v>
      </c>
      <c r="H23" s="3">
        <v>0</v>
      </c>
      <c r="I23" s="3">
        <v>0</v>
      </c>
      <c r="J23" s="3">
        <v>0</v>
      </c>
      <c r="K23" s="3">
        <f t="shared" si="2"/>
        <v>11748000</v>
      </c>
      <c r="L23" s="3">
        <f t="shared" si="2"/>
        <v>0</v>
      </c>
      <c r="M23" s="3">
        <f t="shared" si="2"/>
        <v>0</v>
      </c>
      <c r="N23" s="3">
        <f t="shared" si="1"/>
        <v>11748000</v>
      </c>
    </row>
    <row r="24" spans="1:14" x14ac:dyDescent="0.15">
      <c r="A24" s="1">
        <v>1992</v>
      </c>
      <c r="B24" s="3">
        <v>11214000</v>
      </c>
      <c r="C24" s="3">
        <v>0</v>
      </c>
      <c r="D24" s="3">
        <v>0</v>
      </c>
      <c r="E24" s="3">
        <f>588000+50000</f>
        <v>638000</v>
      </c>
      <c r="F24" s="3">
        <v>0</v>
      </c>
      <c r="G24" s="3">
        <v>0</v>
      </c>
      <c r="H24" s="3">
        <v>0</v>
      </c>
      <c r="I24" s="3">
        <v>0</v>
      </c>
      <c r="J24" s="3">
        <v>0</v>
      </c>
      <c r="K24" s="3">
        <f t="shared" si="2"/>
        <v>11852000</v>
      </c>
      <c r="L24" s="3">
        <f t="shared" si="2"/>
        <v>0</v>
      </c>
      <c r="M24" s="3">
        <f t="shared" si="2"/>
        <v>0</v>
      </c>
      <c r="N24" s="3">
        <f t="shared" si="1"/>
        <v>11852000</v>
      </c>
    </row>
    <row r="25" spans="1:14" x14ac:dyDescent="0.15">
      <c r="A25" s="1">
        <v>1993</v>
      </c>
      <c r="B25" s="3">
        <v>12048000</v>
      </c>
      <c r="C25" s="3">
        <v>0</v>
      </c>
      <c r="D25" s="3">
        <v>0</v>
      </c>
      <c r="E25" s="3">
        <v>558000</v>
      </c>
      <c r="F25" s="3">
        <v>0</v>
      </c>
      <c r="G25" s="3">
        <v>0</v>
      </c>
      <c r="H25" s="3">
        <v>0</v>
      </c>
      <c r="I25" s="3">
        <v>0</v>
      </c>
      <c r="J25" s="3">
        <v>0</v>
      </c>
      <c r="K25" s="3">
        <f t="shared" si="2"/>
        <v>12606000</v>
      </c>
      <c r="L25" s="3">
        <f t="shared" si="2"/>
        <v>0</v>
      </c>
      <c r="M25" s="3">
        <f t="shared" si="2"/>
        <v>0</v>
      </c>
      <c r="N25" s="3">
        <f t="shared" si="1"/>
        <v>12606000</v>
      </c>
    </row>
    <row r="26" spans="1:14" x14ac:dyDescent="0.15">
      <c r="A26" s="1">
        <v>1994</v>
      </c>
      <c r="B26" s="3">
        <v>12903000</v>
      </c>
      <c r="C26" s="3">
        <v>0</v>
      </c>
      <c r="D26" s="3">
        <v>0</v>
      </c>
      <c r="E26" s="3">
        <v>0</v>
      </c>
      <c r="F26" s="3">
        <v>0</v>
      </c>
      <c r="G26" s="3">
        <v>0</v>
      </c>
      <c r="H26" s="3">
        <v>0</v>
      </c>
      <c r="I26" s="3">
        <v>0</v>
      </c>
      <c r="J26" s="3">
        <v>0</v>
      </c>
      <c r="K26" s="3">
        <f t="shared" si="2"/>
        <v>12903000</v>
      </c>
      <c r="L26" s="3">
        <f t="shared" si="2"/>
        <v>0</v>
      </c>
      <c r="M26" s="3">
        <f t="shared" si="2"/>
        <v>0</v>
      </c>
      <c r="N26" s="3">
        <f t="shared" si="1"/>
        <v>12903000</v>
      </c>
    </row>
    <row r="27" spans="1:14" x14ac:dyDescent="0.15">
      <c r="A27" s="1">
        <v>1995</v>
      </c>
      <c r="B27" s="3">
        <v>13671222</v>
      </c>
      <c r="C27" s="3">
        <v>0</v>
      </c>
      <c r="D27" s="3">
        <v>0</v>
      </c>
      <c r="E27" s="3">
        <v>0</v>
      </c>
      <c r="F27" s="3">
        <v>0</v>
      </c>
      <c r="G27" s="3">
        <v>0</v>
      </c>
      <c r="H27" s="3">
        <v>0</v>
      </c>
      <c r="I27" s="3">
        <v>0</v>
      </c>
      <c r="J27" s="3">
        <v>0</v>
      </c>
      <c r="K27" s="3">
        <f t="shared" si="2"/>
        <v>13671222</v>
      </c>
      <c r="L27" s="3">
        <f t="shared" si="2"/>
        <v>0</v>
      </c>
      <c r="M27" s="3">
        <f t="shared" si="2"/>
        <v>0</v>
      </c>
      <c r="N27" s="3">
        <f t="shared" si="1"/>
        <v>13671222</v>
      </c>
    </row>
    <row r="28" spans="1:14" x14ac:dyDescent="0.15">
      <c r="A28" s="1">
        <v>1996</v>
      </c>
      <c r="B28" s="3">
        <v>12345750</v>
      </c>
      <c r="C28" s="3">
        <v>0</v>
      </c>
      <c r="D28" s="3">
        <v>0</v>
      </c>
      <c r="E28" s="3">
        <f>13651000-B28</f>
        <v>1305250</v>
      </c>
      <c r="F28" s="3">
        <v>0</v>
      </c>
      <c r="G28" s="3">
        <v>0</v>
      </c>
      <c r="H28" s="3">
        <v>0</v>
      </c>
      <c r="I28" s="3">
        <v>0</v>
      </c>
      <c r="J28" s="3">
        <v>0</v>
      </c>
      <c r="K28" s="3">
        <f t="shared" si="2"/>
        <v>13651000</v>
      </c>
      <c r="L28" s="3">
        <f t="shared" si="2"/>
        <v>0</v>
      </c>
      <c r="M28" s="3">
        <f t="shared" si="2"/>
        <v>0</v>
      </c>
      <c r="N28" s="3">
        <f t="shared" si="1"/>
        <v>13651000</v>
      </c>
    </row>
    <row r="29" spans="1:14" x14ac:dyDescent="0.15">
      <c r="A29" s="1">
        <v>1997</v>
      </c>
      <c r="B29" s="3">
        <v>14548173</v>
      </c>
      <c r="C29" s="3">
        <v>0</v>
      </c>
      <c r="D29" s="3">
        <v>0</v>
      </c>
      <c r="E29" s="3">
        <v>1692563</v>
      </c>
      <c r="F29" s="3">
        <v>0</v>
      </c>
      <c r="G29" s="3">
        <v>0</v>
      </c>
      <c r="H29" s="3">
        <v>0</v>
      </c>
      <c r="I29" s="3">
        <v>0</v>
      </c>
      <c r="J29" s="3">
        <v>0</v>
      </c>
      <c r="K29" s="3">
        <f t="shared" si="2"/>
        <v>16240736</v>
      </c>
      <c r="L29" s="3">
        <f t="shared" si="2"/>
        <v>0</v>
      </c>
      <c r="M29" s="3">
        <f t="shared" si="2"/>
        <v>0</v>
      </c>
      <c r="N29" s="3">
        <f t="shared" si="1"/>
        <v>16240736</v>
      </c>
    </row>
    <row r="30" spans="1:14" x14ac:dyDescent="0.15">
      <c r="A30" s="1">
        <v>1998</v>
      </c>
      <c r="B30" s="3">
        <f>12191990+2067648</f>
        <v>14259638</v>
      </c>
      <c r="C30" s="3">
        <v>0</v>
      </c>
      <c r="D30" s="3">
        <v>0</v>
      </c>
      <c r="E30" s="3">
        <v>1535229</v>
      </c>
      <c r="F30" s="3">
        <v>0</v>
      </c>
      <c r="G30" s="3">
        <v>0</v>
      </c>
      <c r="H30" s="3">
        <v>0</v>
      </c>
      <c r="I30" s="3">
        <v>0</v>
      </c>
      <c r="J30" s="3">
        <v>0</v>
      </c>
      <c r="K30" s="3">
        <f t="shared" si="2"/>
        <v>15794867</v>
      </c>
      <c r="L30" s="3">
        <f t="shared" si="2"/>
        <v>0</v>
      </c>
      <c r="M30" s="3">
        <f t="shared" si="2"/>
        <v>0</v>
      </c>
      <c r="N30" s="3">
        <f t="shared" si="1"/>
        <v>15794867</v>
      </c>
    </row>
    <row r="31" spans="1:14" x14ac:dyDescent="0.15">
      <c r="A31" s="1">
        <v>1999</v>
      </c>
      <c r="B31" s="3">
        <v>14599697</v>
      </c>
      <c r="C31" s="3">
        <v>0</v>
      </c>
      <c r="D31" s="3">
        <v>0</v>
      </c>
      <c r="E31" s="3">
        <v>1427233</v>
      </c>
      <c r="F31" s="3">
        <v>0</v>
      </c>
      <c r="G31" s="3">
        <v>0</v>
      </c>
      <c r="H31" s="3">
        <v>0</v>
      </c>
      <c r="I31" s="3">
        <v>0</v>
      </c>
      <c r="J31" s="3">
        <v>0</v>
      </c>
      <c r="K31" s="3">
        <f t="shared" si="2"/>
        <v>16026930</v>
      </c>
      <c r="L31" s="3">
        <f t="shared" si="2"/>
        <v>0</v>
      </c>
      <c r="M31" s="3">
        <f t="shared" si="2"/>
        <v>0</v>
      </c>
      <c r="N31" s="3">
        <f t="shared" si="1"/>
        <v>16026930</v>
      </c>
    </row>
    <row r="32" spans="1:14" x14ac:dyDescent="0.15">
      <c r="A32" s="1">
        <v>2000</v>
      </c>
      <c r="B32" s="3">
        <v>16479470</v>
      </c>
      <c r="C32" s="3">
        <v>0</v>
      </c>
      <c r="D32" s="3">
        <v>0</v>
      </c>
      <c r="E32" s="3">
        <v>1411133</v>
      </c>
      <c r="F32" s="3">
        <v>0</v>
      </c>
      <c r="G32" s="3">
        <v>0</v>
      </c>
      <c r="H32" s="3">
        <v>0</v>
      </c>
      <c r="I32" s="3">
        <v>0</v>
      </c>
      <c r="J32" s="3">
        <v>0</v>
      </c>
      <c r="K32" s="3">
        <f t="shared" si="2"/>
        <v>17890603</v>
      </c>
      <c r="L32" s="3">
        <f t="shared" si="2"/>
        <v>0</v>
      </c>
      <c r="M32" s="3">
        <f t="shared" si="2"/>
        <v>0</v>
      </c>
      <c r="N32" s="3">
        <f t="shared" si="1"/>
        <v>17890603</v>
      </c>
    </row>
    <row r="33" spans="1:15" x14ac:dyDescent="0.15">
      <c r="A33" s="1">
        <v>2001</v>
      </c>
      <c r="B33" s="3">
        <f>15743446+2251005</f>
        <v>17994451</v>
      </c>
      <c r="C33" s="3">
        <v>0</v>
      </c>
      <c r="D33" s="3">
        <v>0</v>
      </c>
      <c r="E33" s="3">
        <f>19711000-B33</f>
        <v>1716549</v>
      </c>
      <c r="F33" s="3">
        <v>0</v>
      </c>
      <c r="G33" s="3">
        <v>0</v>
      </c>
      <c r="H33" s="3">
        <v>0</v>
      </c>
      <c r="I33" s="3">
        <v>0</v>
      </c>
      <c r="J33" s="3">
        <v>0</v>
      </c>
      <c r="K33" s="3">
        <f t="shared" si="2"/>
        <v>19711000</v>
      </c>
      <c r="L33" s="3">
        <f t="shared" si="2"/>
        <v>0</v>
      </c>
      <c r="M33" s="3">
        <f t="shared" si="2"/>
        <v>0</v>
      </c>
      <c r="N33" s="3">
        <f t="shared" si="1"/>
        <v>19711000</v>
      </c>
    </row>
    <row r="34" spans="1:15" x14ac:dyDescent="0.15">
      <c r="A34" s="1">
        <v>2002</v>
      </c>
      <c r="B34" s="3">
        <v>19865916</v>
      </c>
      <c r="C34" s="3">
        <v>0</v>
      </c>
      <c r="D34" s="3">
        <v>0</v>
      </c>
      <c r="E34" s="3">
        <v>0</v>
      </c>
      <c r="F34" s="3">
        <v>0</v>
      </c>
      <c r="G34" s="3">
        <v>0</v>
      </c>
      <c r="H34" s="3">
        <v>0</v>
      </c>
      <c r="I34" s="3">
        <v>0</v>
      </c>
      <c r="J34" s="3">
        <v>0</v>
      </c>
      <c r="K34" s="3">
        <f t="shared" si="2"/>
        <v>19865916</v>
      </c>
      <c r="L34" s="3">
        <f t="shared" si="2"/>
        <v>0</v>
      </c>
      <c r="M34" s="3">
        <f t="shared" si="2"/>
        <v>0</v>
      </c>
      <c r="N34" s="3">
        <f t="shared" si="1"/>
        <v>19865916</v>
      </c>
    </row>
    <row r="35" spans="1:15" x14ac:dyDescent="0.15">
      <c r="A35" s="1">
        <v>2003</v>
      </c>
      <c r="B35" s="3">
        <v>17290277</v>
      </c>
      <c r="C35" s="3">
        <v>0</v>
      </c>
      <c r="D35" s="3">
        <v>0</v>
      </c>
      <c r="E35" s="3">
        <v>0</v>
      </c>
      <c r="F35" s="3">
        <v>0</v>
      </c>
      <c r="G35" s="3">
        <v>79182</v>
      </c>
      <c r="H35" s="3">
        <v>0</v>
      </c>
      <c r="I35" s="3">
        <v>0</v>
      </c>
      <c r="J35" s="3">
        <v>296326</v>
      </c>
      <c r="K35" s="3">
        <f t="shared" si="2"/>
        <v>17290277</v>
      </c>
      <c r="L35" s="3">
        <f t="shared" si="2"/>
        <v>0</v>
      </c>
      <c r="M35" s="3">
        <f t="shared" si="2"/>
        <v>375508</v>
      </c>
      <c r="N35" s="3">
        <f t="shared" si="1"/>
        <v>17665785</v>
      </c>
    </row>
    <row r="36" spans="1:15" x14ac:dyDescent="0.15">
      <c r="A36" s="1">
        <v>2004</v>
      </c>
      <c r="B36" s="3">
        <v>21781595</v>
      </c>
      <c r="C36" s="3">
        <v>0</v>
      </c>
      <c r="D36" s="3">
        <v>0</v>
      </c>
      <c r="E36" s="3">
        <v>0</v>
      </c>
      <c r="F36" s="3">
        <v>0</v>
      </c>
      <c r="G36" s="3">
        <v>0</v>
      </c>
      <c r="H36" s="3">
        <v>0</v>
      </c>
      <c r="I36" s="3">
        <v>0</v>
      </c>
      <c r="J36" s="3">
        <v>0</v>
      </c>
      <c r="K36" s="3">
        <v>21781595</v>
      </c>
      <c r="L36" s="3">
        <v>0</v>
      </c>
      <c r="M36" s="3">
        <v>0</v>
      </c>
      <c r="N36" s="3">
        <v>21781595</v>
      </c>
    </row>
    <row r="37" spans="1:15" x14ac:dyDescent="0.15">
      <c r="A37" s="1">
        <v>2005</v>
      </c>
      <c r="B37" s="3">
        <v>23096339</v>
      </c>
      <c r="C37" s="3">
        <v>0</v>
      </c>
      <c r="D37" s="3">
        <v>0</v>
      </c>
      <c r="E37" s="3">
        <v>41169</v>
      </c>
      <c r="F37" s="3">
        <v>0</v>
      </c>
      <c r="G37" s="3">
        <v>0</v>
      </c>
      <c r="H37" s="3">
        <v>127985</v>
      </c>
      <c r="I37" s="3">
        <v>0</v>
      </c>
      <c r="J37" s="3">
        <v>0</v>
      </c>
      <c r="K37" s="3">
        <v>23265493</v>
      </c>
      <c r="L37" s="3">
        <v>0</v>
      </c>
      <c r="M37" s="3">
        <v>0</v>
      </c>
      <c r="N37" s="3">
        <v>23265493</v>
      </c>
      <c r="O37" s="1" t="s">
        <v>310</v>
      </c>
    </row>
    <row r="38" spans="1:15" x14ac:dyDescent="0.15">
      <c r="A38" s="1">
        <v>2006</v>
      </c>
      <c r="B38" s="3">
        <v>29319373</v>
      </c>
      <c r="C38" s="3">
        <v>0</v>
      </c>
      <c r="D38" s="3">
        <v>0</v>
      </c>
      <c r="E38" s="3">
        <v>41769</v>
      </c>
      <c r="F38" s="3">
        <v>0</v>
      </c>
      <c r="G38" s="3">
        <v>0</v>
      </c>
      <c r="H38" s="3">
        <v>68249</v>
      </c>
      <c r="I38" s="3">
        <v>0</v>
      </c>
      <c r="J38" s="3">
        <v>0</v>
      </c>
      <c r="K38" s="3">
        <v>29429391</v>
      </c>
      <c r="L38" s="3">
        <v>0</v>
      </c>
      <c r="M38" s="3">
        <v>0</v>
      </c>
      <c r="N38" s="3">
        <v>29429391</v>
      </c>
    </row>
    <row r="39" spans="1:15" x14ac:dyDescent="0.15">
      <c r="A39" s="1">
        <v>2007</v>
      </c>
      <c r="B39" s="3">
        <v>33071963</v>
      </c>
      <c r="C39" s="3">
        <v>0</v>
      </c>
      <c r="D39" s="3">
        <v>0</v>
      </c>
      <c r="E39" s="3">
        <v>46000</v>
      </c>
      <c r="F39" s="3">
        <v>0</v>
      </c>
      <c r="G39" s="3">
        <v>0</v>
      </c>
      <c r="H39" s="3">
        <v>265306</v>
      </c>
      <c r="I39" s="3">
        <v>0</v>
      </c>
      <c r="J39" s="3">
        <v>0</v>
      </c>
      <c r="K39" s="3">
        <v>33383269</v>
      </c>
      <c r="L39" s="3">
        <v>0</v>
      </c>
      <c r="M39" s="3">
        <v>0</v>
      </c>
      <c r="N39" s="3">
        <v>33383269</v>
      </c>
    </row>
    <row r="40" spans="1:15" x14ac:dyDescent="0.15">
      <c r="A40" s="1">
        <v>2008</v>
      </c>
      <c r="B40" s="3">
        <v>34656274</v>
      </c>
      <c r="C40" s="3">
        <v>0</v>
      </c>
      <c r="D40" s="3">
        <v>0</v>
      </c>
      <c r="E40" s="3">
        <v>42000</v>
      </c>
      <c r="F40" s="3">
        <v>0</v>
      </c>
      <c r="G40" s="3">
        <v>0</v>
      </c>
      <c r="H40" s="3">
        <v>337431</v>
      </c>
      <c r="I40" s="3">
        <v>0</v>
      </c>
      <c r="J40" s="3">
        <v>0</v>
      </c>
      <c r="K40" s="3">
        <v>35035705</v>
      </c>
      <c r="L40" s="3">
        <v>0</v>
      </c>
      <c r="M40" s="3">
        <v>0</v>
      </c>
      <c r="N40" s="3">
        <v>35035705</v>
      </c>
    </row>
    <row r="41" spans="1:15" x14ac:dyDescent="0.15">
      <c r="A41" s="1">
        <v>2009</v>
      </c>
      <c r="B41" s="3">
        <v>68047599</v>
      </c>
      <c r="C41" s="3">
        <v>0</v>
      </c>
      <c r="D41" s="3">
        <v>0</v>
      </c>
      <c r="E41" s="3">
        <v>788038</v>
      </c>
      <c r="F41" s="3">
        <v>0</v>
      </c>
      <c r="G41" s="3">
        <v>0</v>
      </c>
      <c r="H41" s="3">
        <v>45281</v>
      </c>
      <c r="I41" s="3">
        <v>0</v>
      </c>
      <c r="J41" s="3">
        <v>0</v>
      </c>
      <c r="K41" s="3">
        <v>68880918</v>
      </c>
      <c r="L41" s="3">
        <v>0</v>
      </c>
      <c r="M41" s="3">
        <v>0</v>
      </c>
      <c r="N41" s="3">
        <v>68880918</v>
      </c>
    </row>
    <row r="42" spans="1:15" x14ac:dyDescent="0.15">
      <c r="A42" s="1">
        <v>2010</v>
      </c>
      <c r="B42" s="3">
        <v>76702680</v>
      </c>
      <c r="C42" s="3">
        <v>0</v>
      </c>
      <c r="D42" s="3">
        <v>0</v>
      </c>
      <c r="E42" s="3">
        <v>485479</v>
      </c>
      <c r="F42" s="3">
        <v>0</v>
      </c>
      <c r="G42" s="3">
        <v>0</v>
      </c>
      <c r="H42" s="3">
        <v>0</v>
      </c>
      <c r="I42" s="3">
        <v>0</v>
      </c>
      <c r="J42" s="3">
        <v>52188</v>
      </c>
      <c r="K42" s="3">
        <v>77188159</v>
      </c>
      <c r="L42" s="3">
        <v>0</v>
      </c>
      <c r="M42" s="3">
        <v>52188</v>
      </c>
      <c r="N42" s="3">
        <v>77240347</v>
      </c>
    </row>
    <row r="43" spans="1:15" x14ac:dyDescent="0.15">
      <c r="A43" s="1">
        <v>2011</v>
      </c>
      <c r="B43" s="3">
        <v>18833347</v>
      </c>
      <c r="C43" s="3">
        <v>0</v>
      </c>
      <c r="D43" s="3">
        <v>0</v>
      </c>
      <c r="E43" s="3">
        <v>453328</v>
      </c>
      <c r="F43" s="3">
        <v>0</v>
      </c>
      <c r="G43" s="3">
        <v>0</v>
      </c>
      <c r="H43" s="3">
        <v>0</v>
      </c>
      <c r="I43" s="3">
        <v>0</v>
      </c>
      <c r="J43" s="3">
        <v>47413</v>
      </c>
      <c r="K43" s="3">
        <v>19286675</v>
      </c>
      <c r="L43" s="3">
        <v>0</v>
      </c>
      <c r="M43" s="3">
        <v>47413</v>
      </c>
      <c r="N43" s="3">
        <v>19334088</v>
      </c>
    </row>
    <row r="44" spans="1:15" x14ac:dyDescent="0.15">
      <c r="A44" s="1">
        <v>2012</v>
      </c>
      <c r="B44" s="3">
        <v>43338079</v>
      </c>
      <c r="C44" s="3">
        <v>0</v>
      </c>
      <c r="D44" s="3">
        <v>0</v>
      </c>
      <c r="E44" s="3">
        <v>413512</v>
      </c>
      <c r="F44" s="3">
        <v>0</v>
      </c>
      <c r="G44" s="3">
        <v>0</v>
      </c>
      <c r="H44" s="3">
        <v>0</v>
      </c>
      <c r="I44" s="3">
        <v>0</v>
      </c>
      <c r="J44" s="3">
        <v>44356</v>
      </c>
      <c r="K44" s="3">
        <v>43751591</v>
      </c>
      <c r="L44" s="3">
        <v>0</v>
      </c>
      <c r="M44" s="3">
        <v>44356</v>
      </c>
      <c r="N44" s="3">
        <v>43795947</v>
      </c>
    </row>
    <row r="45" spans="1:15" x14ac:dyDescent="0.15">
      <c r="A45" s="1">
        <v>2013</v>
      </c>
      <c r="B45" s="3">
        <v>51647449</v>
      </c>
      <c r="C45" s="3">
        <v>0</v>
      </c>
      <c r="D45" s="3">
        <v>0</v>
      </c>
      <c r="E45" s="3">
        <v>486315</v>
      </c>
      <c r="F45" s="3">
        <v>0</v>
      </c>
      <c r="G45" s="3">
        <v>0</v>
      </c>
      <c r="H45" s="3">
        <v>0</v>
      </c>
      <c r="I45" s="3">
        <v>0</v>
      </c>
      <c r="J45" s="3">
        <v>32112</v>
      </c>
      <c r="K45" s="3">
        <v>52133764</v>
      </c>
      <c r="L45" s="3">
        <v>0</v>
      </c>
      <c r="M45" s="3">
        <v>32112</v>
      </c>
      <c r="N45" s="3">
        <v>52165876</v>
      </c>
    </row>
    <row r="46" spans="1:15" x14ac:dyDescent="0.15">
      <c r="A46" s="1">
        <v>2014</v>
      </c>
      <c r="B46" s="3">
        <v>54932806</v>
      </c>
      <c r="C46" s="3">
        <v>0</v>
      </c>
      <c r="D46" s="3">
        <v>0</v>
      </c>
      <c r="E46" s="3">
        <v>441129</v>
      </c>
      <c r="F46" s="3">
        <v>0</v>
      </c>
      <c r="G46" s="3">
        <v>0</v>
      </c>
      <c r="H46" s="3">
        <v>0</v>
      </c>
      <c r="I46" s="3">
        <v>0</v>
      </c>
      <c r="J46" s="3">
        <v>25763</v>
      </c>
      <c r="K46" s="3">
        <v>55373935</v>
      </c>
      <c r="L46" s="3">
        <v>0</v>
      </c>
      <c r="M46" s="3">
        <v>25763</v>
      </c>
      <c r="N46" s="3">
        <v>55399698</v>
      </c>
    </row>
    <row r="47" spans="1:15" x14ac:dyDescent="0.15">
      <c r="A47" s="1">
        <v>2015</v>
      </c>
      <c r="B47" s="3">
        <v>57305305</v>
      </c>
      <c r="C47" s="3">
        <v>0</v>
      </c>
      <c r="D47" s="3">
        <v>0</v>
      </c>
      <c r="E47" s="3">
        <v>465597</v>
      </c>
      <c r="F47" s="3">
        <v>0</v>
      </c>
      <c r="G47" s="3">
        <v>0</v>
      </c>
      <c r="H47" s="3">
        <v>0</v>
      </c>
      <c r="I47" s="3">
        <v>0</v>
      </c>
      <c r="J47" s="3">
        <v>22031</v>
      </c>
      <c r="K47" s="3">
        <v>57770902</v>
      </c>
      <c r="L47" s="3">
        <v>0</v>
      </c>
      <c r="M47" s="3">
        <v>22031</v>
      </c>
      <c r="N47" s="3">
        <v>57792933</v>
      </c>
    </row>
    <row r="48" spans="1:15" x14ac:dyDescent="0.15">
      <c r="A48" s="1">
        <v>2016</v>
      </c>
      <c r="B48" s="3">
        <v>64224460</v>
      </c>
      <c r="C48" s="3">
        <v>0</v>
      </c>
      <c r="D48" s="3">
        <v>0</v>
      </c>
      <c r="E48" s="3">
        <v>446630</v>
      </c>
      <c r="F48" s="3">
        <v>0</v>
      </c>
      <c r="G48" s="3">
        <v>0</v>
      </c>
      <c r="H48" s="3">
        <v>0</v>
      </c>
      <c r="I48" s="3">
        <v>0</v>
      </c>
      <c r="J48" s="3">
        <v>16185</v>
      </c>
      <c r="K48" s="3">
        <v>64671090</v>
      </c>
      <c r="L48" s="3">
        <v>0</v>
      </c>
      <c r="M48" s="3">
        <v>16185</v>
      </c>
      <c r="N48" s="3">
        <v>64687275</v>
      </c>
    </row>
  </sheetData>
  <phoneticPr fontId="0" type="noConversion"/>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5" style="1" customWidth="1"/>
    <col min="3" max="10" width="10.625" style="1"/>
    <col min="11" max="11" width="11.75" style="1" customWidth="1"/>
    <col min="12" max="13" width="10.625" style="1"/>
    <col min="14" max="14" width="13" style="1" customWidth="1"/>
    <col min="15" max="16384" width="10.625" style="1"/>
  </cols>
  <sheetData>
    <row r="1" spans="1:15" x14ac:dyDescent="0.15">
      <c r="A1" s="1" t="s">
        <v>65</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63639614</v>
      </c>
      <c r="C6" s="3">
        <v>0</v>
      </c>
      <c r="D6" s="3">
        <v>0</v>
      </c>
      <c r="E6" s="3">
        <v>0</v>
      </c>
      <c r="F6" s="3">
        <v>0</v>
      </c>
      <c r="G6" s="3">
        <v>0</v>
      </c>
      <c r="H6" s="3">
        <v>0</v>
      </c>
      <c r="I6" s="3">
        <v>0</v>
      </c>
      <c r="J6" s="3">
        <v>0</v>
      </c>
      <c r="K6" s="3">
        <f t="shared" ref="K6:M15" si="0">+B6+E6+H6</f>
        <v>63639614</v>
      </c>
      <c r="L6" s="3">
        <f t="shared" si="0"/>
        <v>0</v>
      </c>
      <c r="M6" s="3">
        <f t="shared" si="0"/>
        <v>0</v>
      </c>
      <c r="N6" s="3">
        <f t="shared" ref="N6:N15" si="1">+M6+L6+K6</f>
        <v>63639614</v>
      </c>
      <c r="O6" s="1" t="s">
        <v>66</v>
      </c>
    </row>
    <row r="7" spans="1:15" x14ac:dyDescent="0.15">
      <c r="A7" s="1">
        <v>1975</v>
      </c>
      <c r="B7" s="3">
        <v>71164000</v>
      </c>
      <c r="C7" s="3">
        <v>0</v>
      </c>
      <c r="D7" s="3">
        <v>0</v>
      </c>
      <c r="E7" s="3">
        <v>0</v>
      </c>
      <c r="F7" s="3">
        <v>0</v>
      </c>
      <c r="G7" s="3">
        <v>0</v>
      </c>
      <c r="H7" s="3">
        <v>0</v>
      </c>
      <c r="I7" s="3">
        <v>0</v>
      </c>
      <c r="J7" s="3">
        <v>0</v>
      </c>
      <c r="K7" s="3">
        <f t="shared" si="0"/>
        <v>71164000</v>
      </c>
      <c r="L7" s="3">
        <f t="shared" si="0"/>
        <v>0</v>
      </c>
      <c r="M7" s="3">
        <f t="shared" si="0"/>
        <v>0</v>
      </c>
      <c r="N7" s="3">
        <f t="shared" si="1"/>
        <v>71164000</v>
      </c>
      <c r="O7" s="1" t="s">
        <v>93</v>
      </c>
    </row>
    <row r="8" spans="1:15" x14ac:dyDescent="0.15">
      <c r="A8" s="1">
        <v>1976</v>
      </c>
      <c r="B8" s="3">
        <v>67942000</v>
      </c>
      <c r="C8" s="3">
        <v>0</v>
      </c>
      <c r="D8" s="3">
        <v>0</v>
      </c>
      <c r="E8" s="3">
        <v>0</v>
      </c>
      <c r="F8" s="3">
        <v>0</v>
      </c>
      <c r="G8" s="3">
        <v>0</v>
      </c>
      <c r="H8" s="3">
        <v>0</v>
      </c>
      <c r="I8" s="3">
        <v>0</v>
      </c>
      <c r="J8" s="3">
        <v>0</v>
      </c>
      <c r="K8" s="3">
        <f t="shared" si="0"/>
        <v>67942000</v>
      </c>
      <c r="L8" s="3">
        <f t="shared" si="0"/>
        <v>0</v>
      </c>
      <c r="M8" s="3">
        <f t="shared" si="0"/>
        <v>0</v>
      </c>
      <c r="N8" s="3">
        <f t="shared" si="1"/>
        <v>67942000</v>
      </c>
    </row>
    <row r="9" spans="1:15" x14ac:dyDescent="0.15">
      <c r="A9" s="1">
        <v>1977</v>
      </c>
      <c r="B9" s="3">
        <v>65050000</v>
      </c>
      <c r="C9" s="3">
        <v>0</v>
      </c>
      <c r="D9" s="3">
        <v>0</v>
      </c>
      <c r="E9" s="3">
        <v>0</v>
      </c>
      <c r="F9" s="3">
        <v>0</v>
      </c>
      <c r="G9" s="3">
        <v>0</v>
      </c>
      <c r="H9" s="3">
        <v>0</v>
      </c>
      <c r="I9" s="3">
        <v>0</v>
      </c>
      <c r="J9" s="3">
        <v>0</v>
      </c>
      <c r="K9" s="3">
        <f t="shared" si="0"/>
        <v>65050000</v>
      </c>
      <c r="L9" s="3">
        <f t="shared" si="0"/>
        <v>0</v>
      </c>
      <c r="M9" s="3">
        <f t="shared" si="0"/>
        <v>0</v>
      </c>
      <c r="N9" s="3">
        <f t="shared" si="1"/>
        <v>65050000</v>
      </c>
    </row>
    <row r="10" spans="1:15" x14ac:dyDescent="0.15">
      <c r="A10" s="1">
        <v>1978</v>
      </c>
      <c r="B10" s="3">
        <v>72308000</v>
      </c>
      <c r="C10" s="3">
        <v>0</v>
      </c>
      <c r="D10" s="3">
        <v>0</v>
      </c>
      <c r="E10" s="3">
        <v>0</v>
      </c>
      <c r="F10" s="3">
        <v>0</v>
      </c>
      <c r="G10" s="3">
        <v>0</v>
      </c>
      <c r="H10" s="3">
        <v>0</v>
      </c>
      <c r="I10" s="3">
        <v>0</v>
      </c>
      <c r="J10" s="3">
        <v>0</v>
      </c>
      <c r="K10" s="3">
        <f t="shared" si="0"/>
        <v>72308000</v>
      </c>
      <c r="L10" s="3">
        <f t="shared" si="0"/>
        <v>0</v>
      </c>
      <c r="M10" s="3">
        <f t="shared" si="0"/>
        <v>0</v>
      </c>
      <c r="N10" s="3">
        <f t="shared" si="1"/>
        <v>72308000</v>
      </c>
    </row>
    <row r="11" spans="1:15" x14ac:dyDescent="0.15">
      <c r="A11" s="1">
        <v>1979</v>
      </c>
      <c r="B11" s="3">
        <v>71791000</v>
      </c>
      <c r="C11" s="3">
        <v>0</v>
      </c>
      <c r="D11" s="3">
        <v>0</v>
      </c>
      <c r="E11" s="3">
        <v>0</v>
      </c>
      <c r="F11" s="3">
        <v>0</v>
      </c>
      <c r="G11" s="3">
        <v>0</v>
      </c>
      <c r="H11" s="3">
        <v>0</v>
      </c>
      <c r="I11" s="3">
        <v>0</v>
      </c>
      <c r="J11" s="3">
        <v>0</v>
      </c>
      <c r="K11" s="3">
        <f t="shared" si="0"/>
        <v>71791000</v>
      </c>
      <c r="L11" s="3">
        <f t="shared" si="0"/>
        <v>0</v>
      </c>
      <c r="M11" s="3">
        <f t="shared" si="0"/>
        <v>0</v>
      </c>
      <c r="N11" s="3">
        <f t="shared" si="1"/>
        <v>71791000</v>
      </c>
    </row>
    <row r="12" spans="1:15" x14ac:dyDescent="0.15">
      <c r="A12" s="1">
        <v>1980</v>
      </c>
      <c r="B12" s="3">
        <v>78100000</v>
      </c>
      <c r="C12" s="3">
        <v>0</v>
      </c>
      <c r="D12" s="3">
        <v>0</v>
      </c>
      <c r="E12" s="3">
        <v>0</v>
      </c>
      <c r="F12" s="3">
        <v>0</v>
      </c>
      <c r="G12" s="3">
        <v>0</v>
      </c>
      <c r="H12" s="3">
        <v>0</v>
      </c>
      <c r="I12" s="3">
        <v>0</v>
      </c>
      <c r="J12" s="3">
        <v>0</v>
      </c>
      <c r="K12" s="3">
        <f t="shared" si="0"/>
        <v>78100000</v>
      </c>
      <c r="L12" s="3">
        <f t="shared" si="0"/>
        <v>0</v>
      </c>
      <c r="M12" s="3">
        <f t="shared" si="0"/>
        <v>0</v>
      </c>
      <c r="N12" s="3">
        <f t="shared" si="1"/>
        <v>78100000</v>
      </c>
    </row>
    <row r="13" spans="1:15" x14ac:dyDescent="0.15">
      <c r="A13" s="1">
        <v>1981</v>
      </c>
      <c r="B13" s="3">
        <v>79879000</v>
      </c>
      <c r="C13" s="3">
        <v>0</v>
      </c>
      <c r="D13" s="3">
        <v>0</v>
      </c>
      <c r="E13" s="3">
        <v>0</v>
      </c>
      <c r="F13" s="3">
        <v>0</v>
      </c>
      <c r="G13" s="3">
        <v>0</v>
      </c>
      <c r="H13" s="3">
        <v>0</v>
      </c>
      <c r="I13" s="3">
        <v>0</v>
      </c>
      <c r="J13" s="3">
        <v>0</v>
      </c>
      <c r="K13" s="3">
        <f t="shared" si="0"/>
        <v>79879000</v>
      </c>
      <c r="L13" s="3">
        <f t="shared" si="0"/>
        <v>0</v>
      </c>
      <c r="M13" s="3">
        <f t="shared" si="0"/>
        <v>0</v>
      </c>
      <c r="N13" s="3">
        <f t="shared" si="1"/>
        <v>79879000</v>
      </c>
    </row>
    <row r="14" spans="1:15" x14ac:dyDescent="0.15">
      <c r="A14" s="1">
        <v>1982</v>
      </c>
      <c r="B14" s="3">
        <v>77592000</v>
      </c>
      <c r="C14" s="3">
        <v>0</v>
      </c>
      <c r="D14" s="3">
        <v>0</v>
      </c>
      <c r="E14" s="3">
        <v>0</v>
      </c>
      <c r="F14" s="3">
        <v>0</v>
      </c>
      <c r="G14" s="3">
        <v>0</v>
      </c>
      <c r="H14" s="3">
        <v>0</v>
      </c>
      <c r="I14" s="3">
        <v>0</v>
      </c>
      <c r="J14" s="3">
        <v>0</v>
      </c>
      <c r="K14" s="3">
        <f t="shared" si="0"/>
        <v>77592000</v>
      </c>
      <c r="L14" s="3">
        <f t="shared" si="0"/>
        <v>0</v>
      </c>
      <c r="M14" s="3">
        <f t="shared" si="0"/>
        <v>0</v>
      </c>
      <c r="N14" s="3">
        <f t="shared" si="1"/>
        <v>77592000</v>
      </c>
    </row>
    <row r="15" spans="1:15" x14ac:dyDescent="0.15">
      <c r="A15" s="1">
        <v>1983</v>
      </c>
      <c r="B15" s="3">
        <v>89040000</v>
      </c>
      <c r="C15" s="3">
        <v>0</v>
      </c>
      <c r="D15" s="3">
        <v>0</v>
      </c>
      <c r="E15" s="3">
        <v>0</v>
      </c>
      <c r="F15" s="3">
        <v>0</v>
      </c>
      <c r="G15" s="3">
        <v>0</v>
      </c>
      <c r="H15" s="3">
        <v>0</v>
      </c>
      <c r="I15" s="3">
        <v>0</v>
      </c>
      <c r="J15" s="3">
        <v>0</v>
      </c>
      <c r="K15" s="3">
        <f t="shared" si="0"/>
        <v>89040000</v>
      </c>
      <c r="L15" s="3">
        <f t="shared" si="0"/>
        <v>0</v>
      </c>
      <c r="M15" s="3">
        <f t="shared" si="0"/>
        <v>0</v>
      </c>
      <c r="N15" s="3">
        <f t="shared" si="1"/>
        <v>89040000</v>
      </c>
    </row>
    <row r="16" spans="1:15" x14ac:dyDescent="0.15">
      <c r="A16" s="1">
        <v>1984</v>
      </c>
      <c r="B16" s="3">
        <v>86030000</v>
      </c>
      <c r="C16" s="3">
        <v>0</v>
      </c>
      <c r="D16" s="3">
        <v>0</v>
      </c>
      <c r="E16" s="3">
        <v>9000</v>
      </c>
      <c r="F16" s="3">
        <v>0</v>
      </c>
      <c r="G16" s="3">
        <v>0</v>
      </c>
      <c r="H16" s="3">
        <v>500000</v>
      </c>
      <c r="I16" s="3">
        <v>0</v>
      </c>
      <c r="J16" s="3">
        <v>0</v>
      </c>
      <c r="K16" s="3">
        <f t="shared" ref="K16:K35" si="2">+B16+E16+H16</f>
        <v>86539000</v>
      </c>
      <c r="L16" s="3">
        <f t="shared" ref="L16:L35" si="3">+C16+F16+I16</f>
        <v>0</v>
      </c>
      <c r="M16" s="3">
        <f t="shared" ref="M16:M35" si="4">+D16+G16+J16</f>
        <v>0</v>
      </c>
      <c r="N16" s="3">
        <f t="shared" ref="N16:N35" si="5">+M16+L16+K16</f>
        <v>86539000</v>
      </c>
    </row>
    <row r="17" spans="1:15" x14ac:dyDescent="0.15">
      <c r="A17" s="1">
        <v>1985</v>
      </c>
      <c r="B17" s="3">
        <v>91130000</v>
      </c>
      <c r="C17" s="3">
        <v>0</v>
      </c>
      <c r="D17" s="3">
        <v>0</v>
      </c>
      <c r="E17" s="3">
        <v>18000</v>
      </c>
      <c r="F17" s="3">
        <v>0</v>
      </c>
      <c r="G17" s="3">
        <v>0</v>
      </c>
      <c r="H17" s="3">
        <v>566000</v>
      </c>
      <c r="I17" s="3">
        <v>0</v>
      </c>
      <c r="J17" s="3">
        <v>0</v>
      </c>
      <c r="K17" s="3">
        <f t="shared" si="2"/>
        <v>91714000</v>
      </c>
      <c r="L17" s="3">
        <f t="shared" si="3"/>
        <v>0</v>
      </c>
      <c r="M17" s="3">
        <f t="shared" si="4"/>
        <v>0</v>
      </c>
      <c r="N17" s="3">
        <f t="shared" si="5"/>
        <v>91714000</v>
      </c>
    </row>
    <row r="18" spans="1:15" x14ac:dyDescent="0.15">
      <c r="A18" s="1">
        <v>1986</v>
      </c>
      <c r="B18" s="3">
        <v>98049000</v>
      </c>
      <c r="C18" s="3">
        <v>0</v>
      </c>
      <c r="D18" s="3">
        <v>0</v>
      </c>
      <c r="E18" s="3">
        <v>20000</v>
      </c>
      <c r="F18" s="3">
        <v>0</v>
      </c>
      <c r="G18" s="3">
        <v>0</v>
      </c>
      <c r="H18" s="3">
        <v>766000</v>
      </c>
      <c r="I18" s="3">
        <v>0</v>
      </c>
      <c r="J18" s="3">
        <v>0</v>
      </c>
      <c r="K18" s="3">
        <f t="shared" si="2"/>
        <v>98835000</v>
      </c>
      <c r="L18" s="3">
        <f t="shared" si="3"/>
        <v>0</v>
      </c>
      <c r="M18" s="3">
        <f t="shared" si="4"/>
        <v>0</v>
      </c>
      <c r="N18" s="3">
        <f t="shared" si="5"/>
        <v>98835000</v>
      </c>
    </row>
    <row r="19" spans="1:15" x14ac:dyDescent="0.15">
      <c r="A19" s="1">
        <v>1987</v>
      </c>
      <c r="B19" s="3">
        <v>103415000</v>
      </c>
      <c r="C19" s="3">
        <v>0</v>
      </c>
      <c r="D19" s="3">
        <v>0</v>
      </c>
      <c r="E19" s="3">
        <v>13000</v>
      </c>
      <c r="F19" s="3">
        <v>0</v>
      </c>
      <c r="G19" s="3">
        <v>0</v>
      </c>
      <c r="H19" s="3">
        <v>720000</v>
      </c>
      <c r="I19" s="3">
        <v>0</v>
      </c>
      <c r="J19" s="3">
        <v>0</v>
      </c>
      <c r="K19" s="3">
        <f t="shared" si="2"/>
        <v>104148000</v>
      </c>
      <c r="L19" s="3">
        <f t="shared" si="3"/>
        <v>0</v>
      </c>
      <c r="M19" s="3">
        <f t="shared" si="4"/>
        <v>0</v>
      </c>
      <c r="N19" s="3">
        <f t="shared" si="5"/>
        <v>104148000</v>
      </c>
    </row>
    <row r="20" spans="1:15" x14ac:dyDescent="0.15">
      <c r="A20" s="1">
        <v>1988</v>
      </c>
      <c r="B20" s="3">
        <v>109817000</v>
      </c>
      <c r="C20" s="3">
        <v>0</v>
      </c>
      <c r="D20" s="3">
        <v>0</v>
      </c>
      <c r="E20" s="3">
        <v>6000</v>
      </c>
      <c r="F20" s="3">
        <v>0</v>
      </c>
      <c r="G20" s="3">
        <v>0</v>
      </c>
      <c r="H20" s="3">
        <v>636000</v>
      </c>
      <c r="I20" s="3">
        <v>0</v>
      </c>
      <c r="J20" s="3">
        <v>0</v>
      </c>
      <c r="K20" s="3">
        <f t="shared" si="2"/>
        <v>110459000</v>
      </c>
      <c r="L20" s="3">
        <f t="shared" si="3"/>
        <v>0</v>
      </c>
      <c r="M20" s="3">
        <f t="shared" si="4"/>
        <v>0</v>
      </c>
      <c r="N20" s="3">
        <f t="shared" si="5"/>
        <v>110459000</v>
      </c>
    </row>
    <row r="21" spans="1:15" x14ac:dyDescent="0.15">
      <c r="A21" s="1">
        <v>1989</v>
      </c>
      <c r="B21" s="3">
        <v>120366000</v>
      </c>
      <c r="C21" s="3">
        <v>0</v>
      </c>
      <c r="D21" s="3">
        <v>0</v>
      </c>
      <c r="E21" s="3">
        <v>7000</v>
      </c>
      <c r="F21" s="3">
        <v>0</v>
      </c>
      <c r="G21" s="3">
        <v>0</v>
      </c>
      <c r="H21" s="3">
        <v>625000</v>
      </c>
      <c r="I21" s="3">
        <v>0</v>
      </c>
      <c r="J21" s="3">
        <v>0</v>
      </c>
      <c r="K21" s="3">
        <f t="shared" si="2"/>
        <v>120998000</v>
      </c>
      <c r="L21" s="3">
        <f t="shared" si="3"/>
        <v>0</v>
      </c>
      <c r="M21" s="3">
        <f t="shared" si="4"/>
        <v>0</v>
      </c>
      <c r="N21" s="3">
        <f t="shared" si="5"/>
        <v>120998000</v>
      </c>
    </row>
    <row r="22" spans="1:15" x14ac:dyDescent="0.15">
      <c r="A22" s="1">
        <v>1990</v>
      </c>
      <c r="B22" s="3">
        <v>133420000</v>
      </c>
      <c r="C22" s="3">
        <v>0</v>
      </c>
      <c r="D22" s="3">
        <v>0</v>
      </c>
      <c r="E22" s="3">
        <v>9000</v>
      </c>
      <c r="F22" s="3">
        <v>0</v>
      </c>
      <c r="G22" s="3">
        <v>0</v>
      </c>
      <c r="H22" s="3">
        <v>585000</v>
      </c>
      <c r="I22" s="3">
        <v>0</v>
      </c>
      <c r="J22" s="3">
        <v>0</v>
      </c>
      <c r="K22" s="3">
        <f t="shared" si="2"/>
        <v>134014000</v>
      </c>
      <c r="L22" s="3">
        <f t="shared" si="3"/>
        <v>0</v>
      </c>
      <c r="M22" s="3">
        <f t="shared" si="4"/>
        <v>0</v>
      </c>
      <c r="N22" s="3">
        <f t="shared" si="5"/>
        <v>134014000</v>
      </c>
    </row>
    <row r="23" spans="1:15" x14ac:dyDescent="0.15">
      <c r="A23" s="1">
        <v>1991</v>
      </c>
      <c r="B23" s="3">
        <v>145053000</v>
      </c>
      <c r="C23" s="3">
        <v>0</v>
      </c>
      <c r="D23" s="3">
        <v>0</v>
      </c>
      <c r="E23" s="3">
        <v>4000</v>
      </c>
      <c r="F23" s="3">
        <v>0</v>
      </c>
      <c r="G23" s="3">
        <v>0</v>
      </c>
      <c r="H23" s="3">
        <v>519000</v>
      </c>
      <c r="I23" s="3">
        <v>0</v>
      </c>
      <c r="J23" s="3">
        <v>0</v>
      </c>
      <c r="K23" s="3">
        <f t="shared" si="2"/>
        <v>145576000</v>
      </c>
      <c r="L23" s="3">
        <f t="shared" si="3"/>
        <v>0</v>
      </c>
      <c r="M23" s="3">
        <f t="shared" si="4"/>
        <v>0</v>
      </c>
      <c r="N23" s="3">
        <f t="shared" si="5"/>
        <v>145576000</v>
      </c>
    </row>
    <row r="24" spans="1:15" x14ac:dyDescent="0.15">
      <c r="A24" s="1">
        <v>1992</v>
      </c>
      <c r="B24" s="3">
        <v>158610000</v>
      </c>
      <c r="C24" s="3">
        <v>0</v>
      </c>
      <c r="D24" s="3">
        <v>0</v>
      </c>
      <c r="E24" s="3">
        <v>3000</v>
      </c>
      <c r="F24" s="3">
        <v>0</v>
      </c>
      <c r="G24" s="3">
        <v>0</v>
      </c>
      <c r="H24" s="3">
        <v>568000</v>
      </c>
      <c r="I24" s="3">
        <v>0</v>
      </c>
      <c r="J24" s="3">
        <v>0</v>
      </c>
      <c r="K24" s="3">
        <f t="shared" si="2"/>
        <v>159181000</v>
      </c>
      <c r="L24" s="3">
        <f t="shared" si="3"/>
        <v>0</v>
      </c>
      <c r="M24" s="3">
        <f t="shared" si="4"/>
        <v>0</v>
      </c>
      <c r="N24" s="3">
        <f t="shared" si="5"/>
        <v>159181000</v>
      </c>
    </row>
    <row r="25" spans="1:15" x14ac:dyDescent="0.15">
      <c r="A25" s="1">
        <v>1993</v>
      </c>
      <c r="B25" s="3">
        <v>173213000</v>
      </c>
      <c r="C25" s="3">
        <v>0</v>
      </c>
      <c r="D25" s="3">
        <v>0</v>
      </c>
      <c r="E25" s="3">
        <v>1000</v>
      </c>
      <c r="F25" s="3">
        <v>0</v>
      </c>
      <c r="G25" s="3">
        <v>0</v>
      </c>
      <c r="H25" s="3">
        <v>162000</v>
      </c>
      <c r="I25" s="3">
        <v>0</v>
      </c>
      <c r="J25" s="3">
        <v>0</v>
      </c>
      <c r="K25" s="3">
        <f t="shared" si="2"/>
        <v>173376000</v>
      </c>
      <c r="L25" s="3">
        <f t="shared" si="3"/>
        <v>0</v>
      </c>
      <c r="M25" s="3">
        <f t="shared" si="4"/>
        <v>0</v>
      </c>
      <c r="N25" s="3">
        <f t="shared" si="5"/>
        <v>173376000</v>
      </c>
    </row>
    <row r="26" spans="1:15" x14ac:dyDescent="0.15">
      <c r="A26" s="1">
        <v>1994</v>
      </c>
      <c r="B26" s="3">
        <v>188750000</v>
      </c>
      <c r="C26" s="3">
        <v>0</v>
      </c>
      <c r="D26" s="3">
        <v>0</v>
      </c>
      <c r="E26" s="3">
        <v>1000</v>
      </c>
      <c r="F26" s="3">
        <v>0</v>
      </c>
      <c r="G26" s="3">
        <v>0</v>
      </c>
      <c r="H26" s="3">
        <v>204000</v>
      </c>
      <c r="I26" s="3">
        <v>0</v>
      </c>
      <c r="J26" s="3">
        <v>0</v>
      </c>
      <c r="K26" s="3">
        <f t="shared" si="2"/>
        <v>188955000</v>
      </c>
      <c r="L26" s="3">
        <f t="shared" si="3"/>
        <v>0</v>
      </c>
      <c r="M26" s="3">
        <f t="shared" si="4"/>
        <v>0</v>
      </c>
      <c r="N26" s="3">
        <f t="shared" si="5"/>
        <v>188955000</v>
      </c>
    </row>
    <row r="27" spans="1:15" x14ac:dyDescent="0.15">
      <c r="A27" s="1">
        <v>1995</v>
      </c>
      <c r="B27" s="3">
        <v>216677594</v>
      </c>
      <c r="C27" s="3">
        <v>0</v>
      </c>
      <c r="D27" s="3">
        <v>0</v>
      </c>
      <c r="E27" s="3">
        <f>218604000-B27</f>
        <v>1926406</v>
      </c>
      <c r="F27" s="3">
        <v>0</v>
      </c>
      <c r="G27" s="3">
        <v>0</v>
      </c>
      <c r="H27" s="3">
        <v>64000</v>
      </c>
      <c r="I27" s="3">
        <v>516000</v>
      </c>
      <c r="J27" s="3">
        <v>0</v>
      </c>
      <c r="K27" s="3">
        <f t="shared" si="2"/>
        <v>218668000</v>
      </c>
      <c r="L27" s="3">
        <f t="shared" si="3"/>
        <v>516000</v>
      </c>
      <c r="M27" s="3">
        <f t="shared" si="4"/>
        <v>0</v>
      </c>
      <c r="N27" s="3">
        <f t="shared" si="5"/>
        <v>219184000</v>
      </c>
    </row>
    <row r="28" spans="1:15" x14ac:dyDescent="0.15">
      <c r="A28" s="1">
        <v>1996</v>
      </c>
      <c r="B28" s="3">
        <v>232018905</v>
      </c>
      <c r="C28" s="3">
        <v>0</v>
      </c>
      <c r="D28" s="3">
        <v>0</v>
      </c>
      <c r="E28" s="3">
        <v>1170</v>
      </c>
      <c r="F28" s="3">
        <v>0</v>
      </c>
      <c r="G28" s="3">
        <v>0</v>
      </c>
      <c r="H28" s="3">
        <v>0</v>
      </c>
      <c r="I28" s="3">
        <v>0</v>
      </c>
      <c r="J28" s="3">
        <v>0</v>
      </c>
      <c r="K28" s="3">
        <f t="shared" si="2"/>
        <v>232020075</v>
      </c>
      <c r="L28" s="3">
        <f t="shared" si="3"/>
        <v>0</v>
      </c>
      <c r="M28" s="3">
        <f t="shared" si="4"/>
        <v>0</v>
      </c>
      <c r="N28" s="3">
        <f t="shared" si="5"/>
        <v>232020075</v>
      </c>
    </row>
    <row r="29" spans="1:15" x14ac:dyDescent="0.15">
      <c r="A29" s="1">
        <v>1997</v>
      </c>
      <c r="B29" s="3">
        <v>235865512</v>
      </c>
      <c r="C29" s="3">
        <v>0</v>
      </c>
      <c r="D29" s="3">
        <v>0</v>
      </c>
      <c r="E29" s="3">
        <f>240459000-B29</f>
        <v>4593488</v>
      </c>
      <c r="F29" s="3">
        <v>0</v>
      </c>
      <c r="G29" s="3">
        <v>0</v>
      </c>
      <c r="H29" s="3">
        <v>837000</v>
      </c>
      <c r="I29" s="3">
        <v>40000</v>
      </c>
      <c r="J29" s="3">
        <v>0</v>
      </c>
      <c r="K29" s="3">
        <f t="shared" si="2"/>
        <v>241296000</v>
      </c>
      <c r="L29" s="3">
        <f t="shared" si="3"/>
        <v>40000</v>
      </c>
      <c r="M29" s="3">
        <f t="shared" si="4"/>
        <v>0</v>
      </c>
      <c r="N29" s="3">
        <f t="shared" si="5"/>
        <v>241336000</v>
      </c>
      <c r="O29" s="1" t="s">
        <v>217</v>
      </c>
    </row>
    <row r="30" spans="1:15" x14ac:dyDescent="0.15">
      <c r="A30" s="1">
        <v>1998</v>
      </c>
      <c r="B30" s="3">
        <f>123761899+123258802+4527874</f>
        <v>251548575</v>
      </c>
      <c r="C30" s="3">
        <v>0</v>
      </c>
      <c r="D30" s="3">
        <v>0</v>
      </c>
      <c r="E30" s="3">
        <v>2400</v>
      </c>
      <c r="F30" s="3">
        <v>0</v>
      </c>
      <c r="G30" s="3">
        <v>0</v>
      </c>
      <c r="H30" s="3">
        <v>0</v>
      </c>
      <c r="I30" s="3">
        <v>40000</v>
      </c>
      <c r="J30" s="3">
        <v>0</v>
      </c>
      <c r="K30" s="3">
        <f t="shared" si="2"/>
        <v>251550975</v>
      </c>
      <c r="L30" s="3">
        <f t="shared" si="3"/>
        <v>40000</v>
      </c>
      <c r="M30" s="3">
        <f t="shared" si="4"/>
        <v>0</v>
      </c>
      <c r="N30" s="3">
        <f t="shared" si="5"/>
        <v>251590975</v>
      </c>
    </row>
    <row r="31" spans="1:15" x14ac:dyDescent="0.15">
      <c r="A31" s="1">
        <v>1999</v>
      </c>
      <c r="B31" s="3">
        <v>270722739</v>
      </c>
      <c r="C31" s="3">
        <v>0</v>
      </c>
      <c r="D31" s="3">
        <v>0</v>
      </c>
      <c r="E31" s="3">
        <v>1200</v>
      </c>
      <c r="F31" s="3">
        <v>0</v>
      </c>
      <c r="G31" s="3">
        <v>0</v>
      </c>
      <c r="H31" s="3">
        <v>0</v>
      </c>
      <c r="I31" s="3">
        <v>40000</v>
      </c>
      <c r="J31" s="3">
        <v>0</v>
      </c>
      <c r="K31" s="3">
        <f t="shared" si="2"/>
        <v>270723939</v>
      </c>
      <c r="L31" s="3">
        <f t="shared" si="3"/>
        <v>40000</v>
      </c>
      <c r="M31" s="3">
        <f t="shared" si="4"/>
        <v>0</v>
      </c>
      <c r="N31" s="3">
        <f t="shared" si="5"/>
        <v>270763939</v>
      </c>
    </row>
    <row r="32" spans="1:15" x14ac:dyDescent="0.15">
      <c r="A32" s="1">
        <v>2000</v>
      </c>
      <c r="B32" s="3">
        <v>280401189</v>
      </c>
      <c r="C32" s="3">
        <v>0</v>
      </c>
      <c r="D32" s="3">
        <v>0</v>
      </c>
      <c r="E32" s="3">
        <v>1200</v>
      </c>
      <c r="F32" s="3">
        <v>0</v>
      </c>
      <c r="G32" s="3">
        <v>0</v>
      </c>
      <c r="H32" s="3">
        <v>0</v>
      </c>
      <c r="I32" s="3">
        <v>0</v>
      </c>
      <c r="J32" s="3">
        <v>0</v>
      </c>
      <c r="K32" s="3">
        <f t="shared" si="2"/>
        <v>280402389</v>
      </c>
      <c r="L32" s="3">
        <f t="shared" si="3"/>
        <v>0</v>
      </c>
      <c r="M32" s="3">
        <f t="shared" si="4"/>
        <v>0</v>
      </c>
      <c r="N32" s="3">
        <f t="shared" si="5"/>
        <v>280402389</v>
      </c>
    </row>
    <row r="33" spans="1:15" x14ac:dyDescent="0.15">
      <c r="A33" s="1">
        <v>2001</v>
      </c>
      <c r="B33" s="3">
        <f>154681300+165218883+5333838</f>
        <v>325234021</v>
      </c>
      <c r="C33" s="3">
        <v>0</v>
      </c>
      <c r="D33" s="3">
        <v>0</v>
      </c>
      <c r="E33" s="3">
        <v>0</v>
      </c>
      <c r="F33" s="3">
        <v>0</v>
      </c>
      <c r="G33" s="3">
        <v>0</v>
      </c>
      <c r="H33" s="3">
        <v>0</v>
      </c>
      <c r="I33" s="3">
        <v>0</v>
      </c>
      <c r="J33" s="3">
        <v>0</v>
      </c>
      <c r="K33" s="3">
        <f t="shared" si="2"/>
        <v>325234021</v>
      </c>
      <c r="L33" s="3">
        <f t="shared" si="3"/>
        <v>0</v>
      </c>
      <c r="M33" s="3">
        <f t="shared" si="4"/>
        <v>0</v>
      </c>
      <c r="N33" s="3">
        <f t="shared" si="5"/>
        <v>325234021</v>
      </c>
    </row>
    <row r="34" spans="1:15" x14ac:dyDescent="0.15">
      <c r="A34" s="1">
        <v>2002</v>
      </c>
      <c r="B34" s="3">
        <v>337013506</v>
      </c>
      <c r="C34" s="3">
        <v>0</v>
      </c>
      <c r="D34" s="3">
        <v>0</v>
      </c>
      <c r="E34" s="3">
        <v>0</v>
      </c>
      <c r="F34" s="3">
        <v>0</v>
      </c>
      <c r="G34" s="3">
        <v>0</v>
      </c>
      <c r="H34" s="3">
        <v>0</v>
      </c>
      <c r="I34" s="3">
        <v>0</v>
      </c>
      <c r="J34" s="3">
        <v>0</v>
      </c>
      <c r="K34" s="3">
        <f t="shared" si="2"/>
        <v>337013506</v>
      </c>
      <c r="L34" s="3">
        <f t="shared" si="3"/>
        <v>0</v>
      </c>
      <c r="M34" s="3">
        <f t="shared" si="4"/>
        <v>0</v>
      </c>
      <c r="N34" s="3">
        <f t="shared" si="5"/>
        <v>337013506</v>
      </c>
    </row>
    <row r="35" spans="1:15" x14ac:dyDescent="0.15">
      <c r="A35" s="1">
        <v>2003</v>
      </c>
      <c r="B35" s="3">
        <v>346774770</v>
      </c>
      <c r="C35" s="3">
        <v>0</v>
      </c>
      <c r="D35" s="3">
        <v>0</v>
      </c>
      <c r="E35" s="3">
        <v>2013327</v>
      </c>
      <c r="F35" s="3">
        <v>0</v>
      </c>
      <c r="G35" s="3">
        <v>0</v>
      </c>
      <c r="H35" s="3">
        <v>0</v>
      </c>
      <c r="I35" s="3">
        <v>129315</v>
      </c>
      <c r="J35" s="3">
        <v>0</v>
      </c>
      <c r="K35" s="3">
        <f t="shared" si="2"/>
        <v>348788097</v>
      </c>
      <c r="L35" s="3">
        <f t="shared" si="3"/>
        <v>129315</v>
      </c>
      <c r="M35" s="3">
        <f t="shared" si="4"/>
        <v>0</v>
      </c>
      <c r="N35" s="3">
        <f t="shared" si="5"/>
        <v>348917412</v>
      </c>
      <c r="O35" s="1" t="s">
        <v>311</v>
      </c>
    </row>
    <row r="36" spans="1:15" x14ac:dyDescent="0.15">
      <c r="A36" s="1">
        <v>2004</v>
      </c>
      <c r="B36" s="3">
        <v>357966207</v>
      </c>
      <c r="C36" s="3">
        <v>0</v>
      </c>
      <c r="D36" s="3">
        <v>0</v>
      </c>
      <c r="E36" s="3">
        <v>2849906</v>
      </c>
      <c r="F36" s="3">
        <v>0</v>
      </c>
      <c r="G36" s="3">
        <v>0</v>
      </c>
      <c r="H36" s="3">
        <v>0</v>
      </c>
      <c r="I36" s="3">
        <v>128037</v>
      </c>
      <c r="J36" s="3">
        <v>0</v>
      </c>
      <c r="K36" s="3">
        <v>360816113</v>
      </c>
      <c r="L36" s="3">
        <v>128037</v>
      </c>
      <c r="M36" s="3">
        <v>0</v>
      </c>
      <c r="N36" s="3">
        <v>360944150</v>
      </c>
    </row>
    <row r="37" spans="1:15" x14ac:dyDescent="0.15">
      <c r="A37" s="1">
        <v>2005</v>
      </c>
      <c r="B37" s="3">
        <v>361343406</v>
      </c>
      <c r="C37" s="3">
        <v>0</v>
      </c>
      <c r="D37" s="3">
        <v>0</v>
      </c>
      <c r="E37" s="3">
        <v>4368684</v>
      </c>
      <c r="F37" s="3">
        <v>0</v>
      </c>
      <c r="G37" s="3">
        <v>0</v>
      </c>
      <c r="H37" s="3">
        <v>0</v>
      </c>
      <c r="I37" s="3">
        <v>142214</v>
      </c>
      <c r="J37" s="3">
        <v>0</v>
      </c>
      <c r="K37" s="3">
        <v>365712090</v>
      </c>
      <c r="L37" s="3">
        <v>142214</v>
      </c>
      <c r="M37" s="3">
        <v>0</v>
      </c>
      <c r="N37" s="3">
        <v>365854304</v>
      </c>
    </row>
    <row r="38" spans="1:15" x14ac:dyDescent="0.15">
      <c r="A38" s="1">
        <v>2006</v>
      </c>
      <c r="B38" s="3">
        <v>400008328</v>
      </c>
      <c r="C38" s="3">
        <v>0</v>
      </c>
      <c r="D38" s="3">
        <v>0</v>
      </c>
      <c r="E38" s="3">
        <v>3948482</v>
      </c>
      <c r="F38" s="3">
        <v>0</v>
      </c>
      <c r="G38" s="3">
        <v>8383090</v>
      </c>
      <c r="H38" s="3">
        <v>0</v>
      </c>
      <c r="I38" s="3">
        <v>120132</v>
      </c>
      <c r="J38" s="3">
        <v>0</v>
      </c>
      <c r="K38" s="3">
        <v>403956810</v>
      </c>
      <c r="L38" s="3">
        <v>120132</v>
      </c>
      <c r="M38" s="3">
        <v>8383090</v>
      </c>
      <c r="N38" s="3">
        <v>412460032</v>
      </c>
    </row>
    <row r="39" spans="1:15" x14ac:dyDescent="0.15">
      <c r="A39" s="1">
        <v>2007</v>
      </c>
      <c r="B39" s="3">
        <v>452927929</v>
      </c>
      <c r="C39" s="3">
        <v>0</v>
      </c>
      <c r="D39" s="3">
        <v>0</v>
      </c>
      <c r="E39" s="3">
        <v>5052558</v>
      </c>
      <c r="F39" s="3">
        <v>0</v>
      </c>
      <c r="G39" s="3">
        <v>10338732</v>
      </c>
      <c r="H39" s="3">
        <v>0</v>
      </c>
      <c r="I39" s="3">
        <v>258327</v>
      </c>
      <c r="J39" s="3">
        <v>0</v>
      </c>
      <c r="K39" s="3">
        <v>457980487</v>
      </c>
      <c r="L39" s="3">
        <v>258327</v>
      </c>
      <c r="M39" s="3">
        <v>10338732</v>
      </c>
      <c r="N39" s="3">
        <v>468577546</v>
      </c>
    </row>
    <row r="40" spans="1:15" x14ac:dyDescent="0.15">
      <c r="A40" s="1">
        <v>2008</v>
      </c>
      <c r="B40" s="3">
        <v>454529261</v>
      </c>
      <c r="C40" s="3">
        <v>0</v>
      </c>
      <c r="D40" s="3">
        <v>0</v>
      </c>
      <c r="E40" s="3">
        <v>5922092</v>
      </c>
      <c r="F40" s="3">
        <v>0</v>
      </c>
      <c r="G40" s="3">
        <v>11021014</v>
      </c>
      <c r="H40" s="3">
        <v>0</v>
      </c>
      <c r="I40" s="3">
        <v>499827</v>
      </c>
      <c r="J40" s="3">
        <v>0</v>
      </c>
      <c r="K40" s="3">
        <v>460451353</v>
      </c>
      <c r="L40" s="3">
        <v>499827</v>
      </c>
      <c r="M40" s="3">
        <v>11021014</v>
      </c>
      <c r="N40" s="3">
        <v>471972194</v>
      </c>
    </row>
    <row r="41" spans="1:15" x14ac:dyDescent="0.15">
      <c r="A41" s="1">
        <v>2009</v>
      </c>
      <c r="B41" s="3">
        <v>374947150</v>
      </c>
      <c r="C41" s="3">
        <v>0</v>
      </c>
      <c r="D41" s="3">
        <v>0</v>
      </c>
      <c r="E41" s="3">
        <v>1693322</v>
      </c>
      <c r="F41" s="3">
        <v>0</v>
      </c>
      <c r="G41" s="3">
        <v>0</v>
      </c>
      <c r="H41" s="3">
        <v>0</v>
      </c>
      <c r="I41" s="3">
        <v>613530</v>
      </c>
      <c r="J41" s="3">
        <v>0</v>
      </c>
      <c r="K41" s="3">
        <v>376640472</v>
      </c>
      <c r="L41" s="3">
        <v>613530</v>
      </c>
      <c r="M41" s="3">
        <v>0</v>
      </c>
      <c r="N41" s="3">
        <v>377254002</v>
      </c>
    </row>
    <row r="42" spans="1:15" x14ac:dyDescent="0.15">
      <c r="A42" s="1">
        <v>2010</v>
      </c>
      <c r="B42" s="3">
        <v>413349249</v>
      </c>
      <c r="C42" s="3">
        <v>0</v>
      </c>
      <c r="D42" s="3">
        <v>0</v>
      </c>
      <c r="E42" s="3">
        <v>1837234</v>
      </c>
      <c r="F42" s="3">
        <v>0</v>
      </c>
      <c r="G42" s="3">
        <v>0</v>
      </c>
      <c r="H42" s="3">
        <v>0</v>
      </c>
      <c r="I42" s="3">
        <v>542589</v>
      </c>
      <c r="J42" s="3">
        <v>0</v>
      </c>
      <c r="K42" s="3">
        <v>415186483</v>
      </c>
      <c r="L42" s="3">
        <v>542589</v>
      </c>
      <c r="M42" s="3">
        <v>0</v>
      </c>
      <c r="N42" s="3">
        <v>415729072</v>
      </c>
    </row>
    <row r="43" spans="1:15" x14ac:dyDescent="0.15">
      <c r="A43" s="1">
        <v>2011</v>
      </c>
      <c r="B43" s="3">
        <v>366421294</v>
      </c>
      <c r="C43" s="3">
        <v>0</v>
      </c>
      <c r="D43" s="3">
        <v>0</v>
      </c>
      <c r="E43" s="3">
        <v>2037893</v>
      </c>
      <c r="F43" s="3">
        <v>0</v>
      </c>
      <c r="G43" s="3">
        <v>0</v>
      </c>
      <c r="H43" s="3">
        <v>0</v>
      </c>
      <c r="I43" s="3">
        <v>677036</v>
      </c>
      <c r="J43" s="3">
        <v>0</v>
      </c>
      <c r="K43" s="3">
        <v>368459187</v>
      </c>
      <c r="L43" s="3">
        <v>677036</v>
      </c>
      <c r="M43" s="3">
        <v>0</v>
      </c>
      <c r="N43" s="3">
        <v>369136223</v>
      </c>
    </row>
    <row r="44" spans="1:15" x14ac:dyDescent="0.15">
      <c r="A44" s="1">
        <v>2012</v>
      </c>
      <c r="B44" s="3">
        <v>454677342</v>
      </c>
      <c r="C44" s="3">
        <v>0</v>
      </c>
      <c r="D44" s="3">
        <v>0</v>
      </c>
      <c r="E44" s="3">
        <v>2116550</v>
      </c>
      <c r="F44" s="3">
        <v>0</v>
      </c>
      <c r="G44" s="3">
        <v>0</v>
      </c>
      <c r="H44" s="3">
        <v>0</v>
      </c>
      <c r="I44" s="3">
        <v>366715</v>
      </c>
      <c r="J44" s="3">
        <v>35998</v>
      </c>
      <c r="K44" s="3">
        <v>456793892</v>
      </c>
      <c r="L44" s="3">
        <v>366715</v>
      </c>
      <c r="M44" s="3">
        <v>35998</v>
      </c>
      <c r="N44" s="3">
        <v>457196605</v>
      </c>
    </row>
    <row r="45" spans="1:15" x14ac:dyDescent="0.15">
      <c r="A45" s="1">
        <v>2013</v>
      </c>
      <c r="B45" s="3">
        <v>444136634</v>
      </c>
      <c r="C45" s="3">
        <v>0</v>
      </c>
      <c r="D45" s="3">
        <v>0</v>
      </c>
      <c r="E45" s="3">
        <v>6760089</v>
      </c>
      <c r="F45" s="3">
        <v>0</v>
      </c>
      <c r="G45" s="3">
        <v>0</v>
      </c>
      <c r="H45" s="3">
        <v>0</v>
      </c>
      <c r="I45" s="3">
        <v>316647</v>
      </c>
      <c r="J45" s="3">
        <v>48398</v>
      </c>
      <c r="K45" s="3">
        <v>450896723</v>
      </c>
      <c r="L45" s="3">
        <v>316647</v>
      </c>
      <c r="M45" s="3">
        <v>48398</v>
      </c>
      <c r="N45" s="3">
        <v>451261768</v>
      </c>
    </row>
    <row r="46" spans="1:15" x14ac:dyDescent="0.15">
      <c r="A46" s="1">
        <v>2014</v>
      </c>
      <c r="B46" s="3">
        <v>450474459</v>
      </c>
      <c r="C46" s="3">
        <v>0</v>
      </c>
      <c r="D46" s="3">
        <v>0</v>
      </c>
      <c r="E46" s="3">
        <v>6970593</v>
      </c>
      <c r="F46" s="3">
        <v>0</v>
      </c>
      <c r="G46" s="3">
        <v>0</v>
      </c>
      <c r="H46" s="3">
        <v>1525000</v>
      </c>
      <c r="I46" s="3">
        <v>244308</v>
      </c>
      <c r="J46" s="3">
        <v>48752</v>
      </c>
      <c r="K46" s="3">
        <v>458970052</v>
      </c>
      <c r="L46" s="3">
        <v>244308</v>
      </c>
      <c r="M46" s="3">
        <v>48752</v>
      </c>
      <c r="N46" s="3">
        <v>459263112</v>
      </c>
    </row>
    <row r="47" spans="1:15" x14ac:dyDescent="0.15">
      <c r="A47" s="1">
        <v>2015</v>
      </c>
      <c r="B47" s="3">
        <v>412796852</v>
      </c>
      <c r="C47" s="3">
        <v>0</v>
      </c>
      <c r="D47" s="3">
        <v>0</v>
      </c>
      <c r="E47" s="3">
        <v>36558871</v>
      </c>
      <c r="F47" s="3">
        <v>0</v>
      </c>
      <c r="G47" s="3">
        <v>0</v>
      </c>
      <c r="H47" s="3">
        <v>1525000</v>
      </c>
      <c r="I47" s="3">
        <v>89081</v>
      </c>
      <c r="J47" s="3">
        <v>46084</v>
      </c>
      <c r="K47" s="3">
        <v>450880723</v>
      </c>
      <c r="L47" s="3">
        <v>89081</v>
      </c>
      <c r="M47" s="3">
        <v>46084</v>
      </c>
      <c r="N47" s="3">
        <v>451015888</v>
      </c>
      <c r="O47" s="1" t="s">
        <v>312</v>
      </c>
    </row>
    <row r="48" spans="1:15" x14ac:dyDescent="0.15">
      <c r="A48" s="1">
        <v>2016</v>
      </c>
      <c r="B48" s="3">
        <v>409117531</v>
      </c>
      <c r="C48" s="3">
        <v>0</v>
      </c>
      <c r="D48" s="3">
        <v>0</v>
      </c>
      <c r="E48" s="3">
        <v>38410573</v>
      </c>
      <c r="F48" s="3">
        <v>0</v>
      </c>
      <c r="G48" s="3">
        <v>0</v>
      </c>
      <c r="H48" s="3">
        <v>1525000</v>
      </c>
      <c r="I48" s="3">
        <v>190389</v>
      </c>
      <c r="J48" s="3">
        <v>44500</v>
      </c>
      <c r="K48" s="3">
        <v>449053104</v>
      </c>
      <c r="L48" s="3">
        <v>190389</v>
      </c>
      <c r="M48" s="3">
        <v>44500</v>
      </c>
      <c r="N48" s="3">
        <v>449287993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85" workbookViewId="0"/>
  </sheetViews>
  <sheetFormatPr defaultColWidth="10.625" defaultRowHeight="11.25" x14ac:dyDescent="0.15"/>
  <cols>
    <col min="1" max="7" width="10.625" style="1"/>
    <col min="8" max="8" width="11.5" style="1" customWidth="1"/>
    <col min="9" max="10" width="10.625" style="1"/>
    <col min="11" max="11" width="12.5" style="1" customWidth="1"/>
    <col min="12" max="13" width="10.625" style="1"/>
    <col min="14" max="14" width="12.125" style="1" customWidth="1"/>
    <col min="15" max="16384" width="10.625" style="1"/>
  </cols>
  <sheetData>
    <row r="1" spans="1:15" x14ac:dyDescent="0.15">
      <c r="A1" s="1" t="s">
        <v>11</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203000</v>
      </c>
      <c r="C8" s="3">
        <v>0</v>
      </c>
      <c r="D8" s="3">
        <v>0</v>
      </c>
      <c r="E8" s="3">
        <v>0</v>
      </c>
      <c r="F8" s="3">
        <v>0</v>
      </c>
      <c r="G8" s="3">
        <v>0</v>
      </c>
      <c r="H8" s="3">
        <v>0</v>
      </c>
      <c r="I8" s="3">
        <v>0</v>
      </c>
      <c r="J8" s="3">
        <v>0</v>
      </c>
      <c r="K8" s="3">
        <f t="shared" si="0"/>
        <v>203000</v>
      </c>
      <c r="L8" s="3">
        <f t="shared" si="0"/>
        <v>0</v>
      </c>
      <c r="M8" s="3">
        <f t="shared" si="0"/>
        <v>0</v>
      </c>
      <c r="N8" s="3">
        <f t="shared" si="1"/>
        <v>203000</v>
      </c>
      <c r="O8" s="1" t="s">
        <v>86</v>
      </c>
    </row>
    <row r="9" spans="1:15" x14ac:dyDescent="0.15">
      <c r="A9" s="1">
        <v>1977</v>
      </c>
      <c r="B9" s="3">
        <v>246000</v>
      </c>
      <c r="C9" s="3">
        <v>0</v>
      </c>
      <c r="D9" s="3">
        <v>0</v>
      </c>
      <c r="E9" s="3">
        <v>0</v>
      </c>
      <c r="F9" s="3">
        <v>0</v>
      </c>
      <c r="G9" s="3">
        <v>0</v>
      </c>
      <c r="H9" s="3">
        <v>0</v>
      </c>
      <c r="I9" s="3">
        <v>0</v>
      </c>
      <c r="J9" s="3">
        <v>0</v>
      </c>
      <c r="K9" s="3">
        <f t="shared" si="0"/>
        <v>246000</v>
      </c>
      <c r="L9" s="3">
        <f t="shared" si="0"/>
        <v>0</v>
      </c>
      <c r="M9" s="3">
        <f t="shared" si="0"/>
        <v>0</v>
      </c>
      <c r="N9" s="3">
        <f t="shared" si="1"/>
        <v>246000</v>
      </c>
    </row>
    <row r="10" spans="1:15" x14ac:dyDescent="0.15">
      <c r="A10" s="1">
        <v>1978</v>
      </c>
      <c r="B10" s="3">
        <v>500000</v>
      </c>
      <c r="C10" s="3">
        <v>0</v>
      </c>
      <c r="D10" s="3">
        <v>0</v>
      </c>
      <c r="E10" s="3">
        <v>0</v>
      </c>
      <c r="F10" s="3">
        <v>0</v>
      </c>
      <c r="G10" s="3">
        <v>0</v>
      </c>
      <c r="H10" s="3">
        <v>0</v>
      </c>
      <c r="I10" s="3">
        <v>0</v>
      </c>
      <c r="J10" s="3">
        <v>0</v>
      </c>
      <c r="K10" s="3">
        <f t="shared" si="0"/>
        <v>500000</v>
      </c>
      <c r="L10" s="3">
        <f t="shared" si="0"/>
        <v>0</v>
      </c>
      <c r="M10" s="3">
        <f t="shared" si="0"/>
        <v>0</v>
      </c>
      <c r="N10" s="3">
        <f t="shared" si="1"/>
        <v>500000</v>
      </c>
    </row>
    <row r="11" spans="1:15" x14ac:dyDescent="0.15">
      <c r="A11" s="1">
        <v>1979</v>
      </c>
      <c r="B11" s="3">
        <v>747000</v>
      </c>
      <c r="C11" s="3">
        <v>0</v>
      </c>
      <c r="D11" s="3">
        <v>0</v>
      </c>
      <c r="E11" s="3">
        <v>0</v>
      </c>
      <c r="F11" s="3">
        <v>0</v>
      </c>
      <c r="G11" s="3">
        <v>0</v>
      </c>
      <c r="H11" s="3">
        <v>0</v>
      </c>
      <c r="I11" s="3">
        <v>0</v>
      </c>
      <c r="J11" s="3">
        <v>0</v>
      </c>
      <c r="K11" s="3">
        <f t="shared" si="0"/>
        <v>747000</v>
      </c>
      <c r="L11" s="3">
        <f t="shared" si="0"/>
        <v>0</v>
      </c>
      <c r="M11" s="3">
        <f t="shared" si="0"/>
        <v>0</v>
      </c>
      <c r="N11" s="3">
        <f t="shared" si="1"/>
        <v>747000</v>
      </c>
    </row>
    <row r="12" spans="1:15" x14ac:dyDescent="0.15">
      <c r="A12" s="1">
        <v>1980</v>
      </c>
      <c r="B12" s="3">
        <v>1174000</v>
      </c>
      <c r="C12" s="3">
        <v>0</v>
      </c>
      <c r="D12" s="3">
        <v>0</v>
      </c>
      <c r="E12" s="3">
        <v>0</v>
      </c>
      <c r="F12" s="3">
        <v>0</v>
      </c>
      <c r="G12" s="3">
        <v>0</v>
      </c>
      <c r="H12" s="3">
        <v>0</v>
      </c>
      <c r="I12" s="3">
        <v>0</v>
      </c>
      <c r="J12" s="3">
        <v>0</v>
      </c>
      <c r="K12" s="3">
        <f t="shared" si="0"/>
        <v>1174000</v>
      </c>
      <c r="L12" s="3">
        <f t="shared" si="0"/>
        <v>0</v>
      </c>
      <c r="M12" s="3">
        <f t="shared" si="0"/>
        <v>0</v>
      </c>
      <c r="N12" s="3">
        <f t="shared" si="1"/>
        <v>1174000</v>
      </c>
    </row>
    <row r="13" spans="1:15" x14ac:dyDescent="0.15">
      <c r="A13" s="1">
        <v>1981</v>
      </c>
      <c r="B13" s="3">
        <v>2046000</v>
      </c>
      <c r="C13" s="3">
        <v>0</v>
      </c>
      <c r="D13" s="3">
        <v>0</v>
      </c>
      <c r="E13" s="3">
        <v>0</v>
      </c>
      <c r="F13" s="3">
        <v>0</v>
      </c>
      <c r="G13" s="3">
        <v>0</v>
      </c>
      <c r="H13" s="3">
        <v>0</v>
      </c>
      <c r="I13" s="3">
        <v>0</v>
      </c>
      <c r="J13" s="3">
        <v>0</v>
      </c>
      <c r="K13" s="3">
        <f t="shared" si="0"/>
        <v>2046000</v>
      </c>
      <c r="L13" s="3">
        <f t="shared" si="0"/>
        <v>0</v>
      </c>
      <c r="M13" s="3">
        <f t="shared" si="0"/>
        <v>0</v>
      </c>
      <c r="N13" s="3">
        <f t="shared" si="1"/>
        <v>2046000</v>
      </c>
    </row>
    <row r="14" spans="1:15" x14ac:dyDescent="0.15">
      <c r="A14" s="1">
        <v>1982</v>
      </c>
      <c r="B14" s="3">
        <v>1603000</v>
      </c>
      <c r="C14" s="3">
        <v>0</v>
      </c>
      <c r="D14" s="3">
        <v>0</v>
      </c>
      <c r="E14" s="3">
        <v>0</v>
      </c>
      <c r="F14" s="3">
        <v>0</v>
      </c>
      <c r="G14" s="3">
        <v>0</v>
      </c>
      <c r="H14" s="3">
        <v>0</v>
      </c>
      <c r="I14" s="3">
        <v>0</v>
      </c>
      <c r="J14" s="3">
        <v>0</v>
      </c>
      <c r="K14" s="3">
        <f t="shared" si="0"/>
        <v>1603000</v>
      </c>
      <c r="L14" s="3">
        <f t="shared" si="0"/>
        <v>0</v>
      </c>
      <c r="M14" s="3">
        <f t="shared" si="0"/>
        <v>0</v>
      </c>
      <c r="N14" s="3">
        <f t="shared" si="1"/>
        <v>1603000</v>
      </c>
    </row>
    <row r="15" spans="1:15" x14ac:dyDescent="0.15">
      <c r="A15" s="1">
        <v>1983</v>
      </c>
      <c r="B15" s="3">
        <v>2335000</v>
      </c>
      <c r="C15" s="3">
        <v>0</v>
      </c>
      <c r="D15" s="3">
        <v>0</v>
      </c>
      <c r="E15" s="3">
        <v>0</v>
      </c>
      <c r="F15" s="3">
        <v>0</v>
      </c>
      <c r="G15" s="3">
        <v>0</v>
      </c>
      <c r="H15" s="3">
        <v>0</v>
      </c>
      <c r="I15" s="3">
        <v>0</v>
      </c>
      <c r="J15" s="3">
        <v>0</v>
      </c>
      <c r="K15" s="3">
        <f t="shared" si="0"/>
        <v>2335000</v>
      </c>
      <c r="L15" s="3">
        <f t="shared" si="0"/>
        <v>0</v>
      </c>
      <c r="M15" s="3">
        <f t="shared" si="0"/>
        <v>0</v>
      </c>
      <c r="N15" s="3">
        <f t="shared" si="1"/>
        <v>2335000</v>
      </c>
    </row>
    <row r="16" spans="1:15" x14ac:dyDescent="0.15">
      <c r="A16" s="1">
        <v>1984</v>
      </c>
      <c r="B16" s="3">
        <v>2183000</v>
      </c>
      <c r="C16" s="3">
        <v>0</v>
      </c>
      <c r="D16" s="3">
        <v>0</v>
      </c>
      <c r="E16" s="3">
        <v>0</v>
      </c>
      <c r="F16" s="3">
        <v>0</v>
      </c>
      <c r="G16" s="3">
        <v>0</v>
      </c>
      <c r="H16" s="3">
        <v>125000</v>
      </c>
      <c r="I16" s="3">
        <v>0</v>
      </c>
      <c r="J16" s="3">
        <v>0</v>
      </c>
      <c r="K16" s="3">
        <f t="shared" si="0"/>
        <v>2308000</v>
      </c>
      <c r="L16" s="3">
        <f t="shared" si="0"/>
        <v>0</v>
      </c>
      <c r="M16" s="3">
        <f t="shared" si="0"/>
        <v>0</v>
      </c>
      <c r="N16" s="3">
        <f t="shared" si="1"/>
        <v>2308000</v>
      </c>
    </row>
    <row r="17" spans="1:16" x14ac:dyDescent="0.15">
      <c r="A17" s="1">
        <v>1985</v>
      </c>
      <c r="B17" s="3">
        <v>4221000</v>
      </c>
      <c r="C17" s="3">
        <v>0</v>
      </c>
      <c r="D17" s="3">
        <v>0</v>
      </c>
      <c r="E17" s="3">
        <v>0</v>
      </c>
      <c r="F17" s="3">
        <v>0</v>
      </c>
      <c r="G17" s="3">
        <v>0</v>
      </c>
      <c r="H17" s="3">
        <v>200000</v>
      </c>
      <c r="I17" s="3">
        <v>0</v>
      </c>
      <c r="J17" s="3">
        <v>0</v>
      </c>
      <c r="K17" s="3">
        <f t="shared" si="0"/>
        <v>4421000</v>
      </c>
      <c r="L17" s="3">
        <f t="shared" si="0"/>
        <v>0</v>
      </c>
      <c r="M17" s="3">
        <f t="shared" si="0"/>
        <v>0</v>
      </c>
      <c r="N17" s="3">
        <f t="shared" si="1"/>
        <v>4421000</v>
      </c>
    </row>
    <row r="18" spans="1:16" x14ac:dyDescent="0.15">
      <c r="A18" s="1">
        <v>1986</v>
      </c>
      <c r="B18" s="3">
        <v>4412000</v>
      </c>
      <c r="C18" s="3">
        <v>0</v>
      </c>
      <c r="D18" s="3">
        <v>0</v>
      </c>
      <c r="E18" s="3">
        <v>0</v>
      </c>
      <c r="F18" s="3">
        <v>0</v>
      </c>
      <c r="G18" s="3">
        <v>0</v>
      </c>
      <c r="H18" s="3">
        <v>392000</v>
      </c>
      <c r="I18" s="3">
        <v>0</v>
      </c>
      <c r="J18" s="3">
        <v>0</v>
      </c>
      <c r="K18" s="3">
        <f t="shared" si="0"/>
        <v>4804000</v>
      </c>
      <c r="L18" s="3">
        <f t="shared" si="0"/>
        <v>0</v>
      </c>
      <c r="M18" s="3">
        <f t="shared" si="0"/>
        <v>0</v>
      </c>
      <c r="N18" s="3">
        <f t="shared" si="1"/>
        <v>4804000</v>
      </c>
    </row>
    <row r="19" spans="1:16" x14ac:dyDescent="0.15">
      <c r="A19" s="1">
        <v>1987</v>
      </c>
      <c r="B19" s="3">
        <v>5145000</v>
      </c>
      <c r="C19" s="3">
        <v>0</v>
      </c>
      <c r="D19" s="3">
        <v>0</v>
      </c>
      <c r="E19" s="3">
        <v>0</v>
      </c>
      <c r="F19" s="3">
        <v>0</v>
      </c>
      <c r="G19" s="3">
        <v>0</v>
      </c>
      <c r="H19" s="3">
        <v>558000</v>
      </c>
      <c r="I19" s="3">
        <v>0</v>
      </c>
      <c r="J19" s="3">
        <v>0</v>
      </c>
      <c r="K19" s="3">
        <f t="shared" si="0"/>
        <v>5703000</v>
      </c>
      <c r="L19" s="3">
        <f t="shared" si="0"/>
        <v>0</v>
      </c>
      <c r="M19" s="3">
        <f t="shared" si="0"/>
        <v>0</v>
      </c>
      <c r="N19" s="3">
        <f t="shared" si="1"/>
        <v>5703000</v>
      </c>
      <c r="O19" s="1" t="s">
        <v>186</v>
      </c>
    </row>
    <row r="20" spans="1:16" x14ac:dyDescent="0.15">
      <c r="A20" s="1">
        <v>1988</v>
      </c>
      <c r="B20" s="3">
        <v>3896000</v>
      </c>
      <c r="C20" s="3">
        <v>0</v>
      </c>
      <c r="D20" s="3">
        <v>0</v>
      </c>
      <c r="E20" s="3">
        <v>0</v>
      </c>
      <c r="F20" s="3">
        <v>0</v>
      </c>
      <c r="G20" s="3">
        <v>0</v>
      </c>
      <c r="H20" s="3">
        <v>722000</v>
      </c>
      <c r="I20" s="3">
        <v>0</v>
      </c>
      <c r="J20" s="3">
        <v>0</v>
      </c>
      <c r="K20" s="3">
        <f t="shared" si="0"/>
        <v>4618000</v>
      </c>
      <c r="L20" s="3">
        <f t="shared" si="0"/>
        <v>0</v>
      </c>
      <c r="M20" s="3">
        <f t="shared" si="0"/>
        <v>0</v>
      </c>
      <c r="N20" s="3">
        <f t="shared" si="1"/>
        <v>4618000</v>
      </c>
    </row>
    <row r="21" spans="1:16" x14ac:dyDescent="0.15">
      <c r="A21" s="1">
        <v>1989</v>
      </c>
      <c r="B21" s="3">
        <v>3910000</v>
      </c>
      <c r="C21" s="3">
        <v>0</v>
      </c>
      <c r="D21" s="3">
        <v>0</v>
      </c>
      <c r="E21" s="3">
        <v>0</v>
      </c>
      <c r="F21" s="3">
        <v>0</v>
      </c>
      <c r="G21" s="3">
        <v>0</v>
      </c>
      <c r="H21" s="3">
        <v>690000</v>
      </c>
      <c r="I21" s="3">
        <v>0</v>
      </c>
      <c r="J21" s="3">
        <v>0</v>
      </c>
      <c r="K21" s="3">
        <f t="shared" si="0"/>
        <v>4600000</v>
      </c>
      <c r="L21" s="3">
        <f t="shared" si="0"/>
        <v>0</v>
      </c>
      <c r="M21" s="3">
        <f t="shared" si="0"/>
        <v>0</v>
      </c>
      <c r="N21" s="3">
        <f t="shared" si="1"/>
        <v>4600000</v>
      </c>
    </row>
    <row r="22" spans="1:16" x14ac:dyDescent="0.15">
      <c r="A22" s="1">
        <v>1990</v>
      </c>
      <c r="B22" s="3">
        <v>3905000</v>
      </c>
      <c r="C22" s="3">
        <v>0</v>
      </c>
      <c r="D22" s="3">
        <v>0</v>
      </c>
      <c r="E22" s="3">
        <v>0</v>
      </c>
      <c r="F22" s="3">
        <v>0</v>
      </c>
      <c r="G22" s="3">
        <v>0</v>
      </c>
      <c r="H22" s="3">
        <v>749000</v>
      </c>
      <c r="I22" s="3">
        <v>0</v>
      </c>
      <c r="J22" s="3">
        <v>0</v>
      </c>
      <c r="K22" s="3">
        <f t="shared" ref="K22:M35" si="2">+B22+E22+H22</f>
        <v>4654000</v>
      </c>
      <c r="L22" s="3">
        <f t="shared" si="2"/>
        <v>0</v>
      </c>
      <c r="M22" s="3">
        <f t="shared" si="2"/>
        <v>0</v>
      </c>
      <c r="N22" s="3">
        <f t="shared" si="1"/>
        <v>4654000</v>
      </c>
    </row>
    <row r="23" spans="1:16" x14ac:dyDescent="0.15">
      <c r="A23" s="1">
        <v>1991</v>
      </c>
      <c r="B23" s="3">
        <v>4137000</v>
      </c>
      <c r="C23" s="3">
        <v>0</v>
      </c>
      <c r="D23" s="3">
        <v>0</v>
      </c>
      <c r="E23" s="3">
        <v>0</v>
      </c>
      <c r="F23" s="3">
        <v>0</v>
      </c>
      <c r="G23" s="3">
        <v>0</v>
      </c>
      <c r="H23" s="3">
        <v>790000</v>
      </c>
      <c r="I23" s="3">
        <v>0</v>
      </c>
      <c r="J23" s="3">
        <v>0</v>
      </c>
      <c r="K23" s="3">
        <f t="shared" si="2"/>
        <v>4927000</v>
      </c>
      <c r="L23" s="3">
        <f t="shared" si="2"/>
        <v>0</v>
      </c>
      <c r="M23" s="3">
        <f t="shared" si="2"/>
        <v>0</v>
      </c>
      <c r="N23" s="3">
        <f t="shared" si="1"/>
        <v>4927000</v>
      </c>
    </row>
    <row r="24" spans="1:16" x14ac:dyDescent="0.15">
      <c r="A24" s="1">
        <v>1992</v>
      </c>
      <c r="B24" s="3">
        <v>4083000</v>
      </c>
      <c r="C24" s="3">
        <v>0</v>
      </c>
      <c r="D24" s="3">
        <v>0</v>
      </c>
      <c r="E24" s="3">
        <v>3000000</v>
      </c>
      <c r="F24" s="3">
        <v>0</v>
      </c>
      <c r="G24" s="3">
        <v>0</v>
      </c>
      <c r="H24" s="3">
        <v>766000</v>
      </c>
      <c r="I24" s="3">
        <v>2000</v>
      </c>
      <c r="J24" s="3">
        <v>0</v>
      </c>
      <c r="K24" s="3">
        <f t="shared" si="2"/>
        <v>7849000</v>
      </c>
      <c r="L24" s="3">
        <f t="shared" si="2"/>
        <v>2000</v>
      </c>
      <c r="M24" s="3">
        <f t="shared" si="2"/>
        <v>0</v>
      </c>
      <c r="N24" s="3">
        <f t="shared" si="1"/>
        <v>7851000</v>
      </c>
      <c r="O24" s="1" t="s">
        <v>185</v>
      </c>
    </row>
    <row r="25" spans="1:16" x14ac:dyDescent="0.15">
      <c r="A25" s="1">
        <v>1993</v>
      </c>
      <c r="B25" s="3">
        <v>3984000</v>
      </c>
      <c r="C25" s="3">
        <v>0</v>
      </c>
      <c r="D25" s="3">
        <v>0</v>
      </c>
      <c r="E25" s="3">
        <v>2335000</v>
      </c>
      <c r="F25" s="3">
        <v>0</v>
      </c>
      <c r="G25" s="3">
        <v>0</v>
      </c>
      <c r="H25" s="3">
        <v>814000</v>
      </c>
      <c r="I25" s="3">
        <v>1000</v>
      </c>
      <c r="J25" s="3">
        <v>0</v>
      </c>
      <c r="K25" s="3">
        <f t="shared" si="2"/>
        <v>7133000</v>
      </c>
      <c r="L25" s="3">
        <f t="shared" si="2"/>
        <v>1000</v>
      </c>
      <c r="M25" s="3">
        <f t="shared" si="2"/>
        <v>0</v>
      </c>
      <c r="N25" s="3">
        <f t="shared" si="1"/>
        <v>7134000</v>
      </c>
      <c r="P25" s="6"/>
    </row>
    <row r="26" spans="1:16" x14ac:dyDescent="0.15">
      <c r="A26" s="1">
        <v>1994</v>
      </c>
      <c r="B26" s="3">
        <v>3951000</v>
      </c>
      <c r="C26" s="3">
        <v>0</v>
      </c>
      <c r="D26" s="3">
        <v>0</v>
      </c>
      <c r="E26" s="3">
        <v>3750000</v>
      </c>
      <c r="F26" s="3">
        <v>0</v>
      </c>
      <c r="G26" s="3">
        <v>0</v>
      </c>
      <c r="H26" s="3">
        <v>742000</v>
      </c>
      <c r="I26" s="3">
        <v>0</v>
      </c>
      <c r="J26" s="3">
        <v>0</v>
      </c>
      <c r="K26" s="3">
        <f t="shared" si="2"/>
        <v>8443000</v>
      </c>
      <c r="L26" s="3">
        <f t="shared" si="2"/>
        <v>0</v>
      </c>
      <c r="M26" s="3">
        <f t="shared" si="2"/>
        <v>0</v>
      </c>
      <c r="N26" s="3">
        <f t="shared" si="1"/>
        <v>8443000</v>
      </c>
    </row>
    <row r="27" spans="1:16" x14ac:dyDescent="0.15">
      <c r="A27" s="1">
        <v>1995</v>
      </c>
      <c r="B27" s="3">
        <v>3986772</v>
      </c>
      <c r="C27" s="3">
        <v>0</v>
      </c>
      <c r="D27" s="3">
        <v>0</v>
      </c>
      <c r="E27" s="3">
        <f>8907000-B27</f>
        <v>4920228</v>
      </c>
      <c r="F27" s="3">
        <v>0</v>
      </c>
      <c r="G27" s="3">
        <v>0</v>
      </c>
      <c r="H27" s="3">
        <v>740000</v>
      </c>
      <c r="I27" s="3">
        <v>156000</v>
      </c>
      <c r="J27" s="3">
        <v>0</v>
      </c>
      <c r="K27" s="3">
        <f t="shared" si="2"/>
        <v>9647000</v>
      </c>
      <c r="L27" s="3">
        <f t="shared" si="2"/>
        <v>156000</v>
      </c>
      <c r="M27" s="3">
        <f t="shared" si="2"/>
        <v>0</v>
      </c>
      <c r="N27" s="3">
        <f t="shared" si="1"/>
        <v>9803000</v>
      </c>
    </row>
    <row r="28" spans="1:16" x14ac:dyDescent="0.15">
      <c r="A28" s="1">
        <v>1996</v>
      </c>
      <c r="B28" s="3">
        <v>3609905</v>
      </c>
      <c r="C28" s="3">
        <v>0</v>
      </c>
      <c r="D28" s="3">
        <v>0</v>
      </c>
      <c r="E28" s="3">
        <f>10765000-B28</f>
        <v>7155095</v>
      </c>
      <c r="F28" s="3">
        <v>0</v>
      </c>
      <c r="G28" s="3">
        <v>0</v>
      </c>
      <c r="H28" s="3">
        <v>962000</v>
      </c>
      <c r="I28" s="3">
        <v>0</v>
      </c>
      <c r="J28" s="3">
        <v>0</v>
      </c>
      <c r="K28" s="3">
        <f t="shared" si="2"/>
        <v>11727000</v>
      </c>
      <c r="L28" s="3">
        <f t="shared" si="2"/>
        <v>0</v>
      </c>
      <c r="M28" s="3">
        <f t="shared" si="2"/>
        <v>0</v>
      </c>
      <c r="N28" s="3">
        <f t="shared" si="1"/>
        <v>11727000</v>
      </c>
    </row>
    <row r="29" spans="1:16" x14ac:dyDescent="0.15">
      <c r="A29" s="1">
        <v>1997</v>
      </c>
      <c r="B29" s="3">
        <v>3568666</v>
      </c>
      <c r="C29" s="3">
        <v>0</v>
      </c>
      <c r="D29" s="3">
        <v>0</v>
      </c>
      <c r="E29" s="3">
        <v>9000000</v>
      </c>
      <c r="F29" s="3">
        <v>0</v>
      </c>
      <c r="G29" s="3">
        <v>0</v>
      </c>
      <c r="H29" s="3">
        <v>1156000</v>
      </c>
      <c r="I29" s="3">
        <v>0</v>
      </c>
      <c r="J29" s="3">
        <v>0</v>
      </c>
      <c r="K29" s="3">
        <f t="shared" si="2"/>
        <v>13724666</v>
      </c>
      <c r="L29" s="3">
        <f t="shared" si="2"/>
        <v>0</v>
      </c>
      <c r="M29" s="3">
        <f t="shared" si="2"/>
        <v>0</v>
      </c>
      <c r="N29" s="3">
        <f t="shared" si="1"/>
        <v>13724666</v>
      </c>
    </row>
    <row r="30" spans="1:16" x14ac:dyDescent="0.15">
      <c r="A30" s="1">
        <v>1998</v>
      </c>
      <c r="B30" s="3">
        <v>3342325</v>
      </c>
      <c r="C30" s="3">
        <v>0</v>
      </c>
      <c r="D30" s="3">
        <v>0</v>
      </c>
      <c r="E30" s="3">
        <f>13162000-B30</f>
        <v>9819675</v>
      </c>
      <c r="F30" s="3">
        <v>0</v>
      </c>
      <c r="G30" s="3">
        <v>0</v>
      </c>
      <c r="H30" s="3">
        <v>2241000</v>
      </c>
      <c r="I30" s="3">
        <v>0</v>
      </c>
      <c r="J30" s="3">
        <v>0</v>
      </c>
      <c r="K30" s="3">
        <f t="shared" si="2"/>
        <v>15403000</v>
      </c>
      <c r="L30" s="3">
        <f t="shared" si="2"/>
        <v>0</v>
      </c>
      <c r="M30" s="3">
        <f t="shared" si="2"/>
        <v>0</v>
      </c>
      <c r="N30" s="3">
        <f t="shared" si="1"/>
        <v>15403000</v>
      </c>
    </row>
    <row r="31" spans="1:16" x14ac:dyDescent="0.15">
      <c r="A31" s="1">
        <v>1999</v>
      </c>
      <c r="B31" s="3">
        <v>3300458</v>
      </c>
      <c r="C31" s="3">
        <v>0</v>
      </c>
      <c r="D31" s="3">
        <v>0</v>
      </c>
      <c r="E31" s="3">
        <v>12621728</v>
      </c>
      <c r="F31" s="3">
        <v>0</v>
      </c>
      <c r="G31" s="3">
        <v>0</v>
      </c>
      <c r="H31" s="3">
        <v>4313000</v>
      </c>
      <c r="I31" s="3">
        <v>0</v>
      </c>
      <c r="J31" s="3">
        <v>0</v>
      </c>
      <c r="K31" s="3">
        <f t="shared" si="2"/>
        <v>20235186</v>
      </c>
      <c r="L31" s="3">
        <f t="shared" si="2"/>
        <v>0</v>
      </c>
      <c r="M31" s="3">
        <f t="shared" si="2"/>
        <v>0</v>
      </c>
      <c r="N31" s="3">
        <f t="shared" si="1"/>
        <v>20235186</v>
      </c>
    </row>
    <row r="32" spans="1:16" x14ac:dyDescent="0.15">
      <c r="A32" s="1">
        <v>2000</v>
      </c>
      <c r="B32" s="3">
        <v>3832136</v>
      </c>
      <c r="C32" s="3">
        <v>0</v>
      </c>
      <c r="D32" s="3">
        <v>0</v>
      </c>
      <c r="E32" s="3">
        <v>21177988</v>
      </c>
      <c r="F32" s="3">
        <v>0</v>
      </c>
      <c r="G32" s="3">
        <v>0</v>
      </c>
      <c r="H32" s="3">
        <v>5926000</v>
      </c>
      <c r="I32" s="3">
        <v>0</v>
      </c>
      <c r="J32" s="3">
        <v>0</v>
      </c>
      <c r="K32" s="3">
        <f t="shared" si="2"/>
        <v>30936124</v>
      </c>
      <c r="L32" s="3">
        <f t="shared" si="2"/>
        <v>0</v>
      </c>
      <c r="M32" s="3">
        <f t="shared" si="2"/>
        <v>0</v>
      </c>
      <c r="N32" s="3">
        <f t="shared" si="1"/>
        <v>30936124</v>
      </c>
    </row>
    <row r="33" spans="1:15" x14ac:dyDescent="0.15">
      <c r="A33" s="1">
        <v>2001</v>
      </c>
      <c r="B33" s="3">
        <f>2517843+267382</f>
        <v>2785225</v>
      </c>
      <c r="C33" s="3">
        <v>0</v>
      </c>
      <c r="D33" s="3">
        <v>0</v>
      </c>
      <c r="E33" s="3">
        <v>28101565</v>
      </c>
      <c r="F33" s="3">
        <v>0</v>
      </c>
      <c r="G33" s="3">
        <v>0</v>
      </c>
      <c r="H33" s="3">
        <v>8264000</v>
      </c>
      <c r="I33" s="3">
        <v>0</v>
      </c>
      <c r="J33" s="3">
        <v>0</v>
      </c>
      <c r="K33" s="3">
        <f t="shared" si="2"/>
        <v>39150790</v>
      </c>
      <c r="L33" s="3">
        <f t="shared" si="2"/>
        <v>0</v>
      </c>
      <c r="M33" s="3">
        <f t="shared" si="2"/>
        <v>0</v>
      </c>
      <c r="N33" s="3">
        <f t="shared" si="1"/>
        <v>39150790</v>
      </c>
    </row>
    <row r="34" spans="1:15" x14ac:dyDescent="0.15">
      <c r="A34" s="1">
        <v>2002</v>
      </c>
      <c r="B34" s="3">
        <v>2942208</v>
      </c>
      <c r="C34" s="3">
        <v>0</v>
      </c>
      <c r="D34" s="3">
        <v>0</v>
      </c>
      <c r="E34" s="3">
        <v>26064100</v>
      </c>
      <c r="F34" s="3">
        <v>0</v>
      </c>
      <c r="G34" s="3">
        <v>0</v>
      </c>
      <c r="H34" s="3">
        <v>8891000</v>
      </c>
      <c r="I34" s="3">
        <v>18000</v>
      </c>
      <c r="J34" s="3">
        <v>0</v>
      </c>
      <c r="K34" s="3">
        <f t="shared" si="2"/>
        <v>37897308</v>
      </c>
      <c r="L34" s="3">
        <f t="shared" si="2"/>
        <v>18000</v>
      </c>
      <c r="M34" s="3">
        <f t="shared" si="2"/>
        <v>0</v>
      </c>
      <c r="N34" s="3">
        <f t="shared" si="1"/>
        <v>37915308</v>
      </c>
    </row>
    <row r="35" spans="1:15" x14ac:dyDescent="0.15">
      <c r="A35" s="1">
        <v>2003</v>
      </c>
      <c r="B35" s="3">
        <v>2748684</v>
      </c>
      <c r="C35" s="3">
        <v>0</v>
      </c>
      <c r="D35" s="3">
        <v>0</v>
      </c>
      <c r="E35" s="3">
        <v>18232259</v>
      </c>
      <c r="F35" s="3">
        <v>0</v>
      </c>
      <c r="G35" s="3">
        <v>0</v>
      </c>
      <c r="H35" s="3">
        <v>7249020</v>
      </c>
      <c r="I35" s="3">
        <v>181944</v>
      </c>
      <c r="J35" s="3">
        <v>0</v>
      </c>
      <c r="K35" s="3">
        <f t="shared" si="2"/>
        <v>28229963</v>
      </c>
      <c r="L35" s="3">
        <f t="shared" si="2"/>
        <v>181944</v>
      </c>
      <c r="M35" s="3">
        <f t="shared" si="2"/>
        <v>0</v>
      </c>
      <c r="N35" s="3">
        <f t="shared" si="1"/>
        <v>28411907</v>
      </c>
    </row>
    <row r="36" spans="1:15" ht="12.75" x14ac:dyDescent="0.2">
      <c r="A36" s="1">
        <v>2004</v>
      </c>
      <c r="B36" s="3">
        <v>2078083</v>
      </c>
      <c r="C36" s="3">
        <v>0</v>
      </c>
      <c r="D36" s="3">
        <v>0</v>
      </c>
      <c r="E36" s="3">
        <v>17853447</v>
      </c>
      <c r="F36" s="3">
        <v>0</v>
      </c>
      <c r="G36" s="3">
        <v>0</v>
      </c>
      <c r="H36" s="3">
        <v>9771985</v>
      </c>
      <c r="I36" s="3">
        <v>153340</v>
      </c>
      <c r="J36" s="3">
        <v>0</v>
      </c>
      <c r="K36" s="3">
        <v>29703515</v>
      </c>
      <c r="L36" s="3">
        <v>153340</v>
      </c>
      <c r="M36" s="3">
        <v>0</v>
      </c>
      <c r="N36" s="3">
        <v>29856855</v>
      </c>
      <c r="O36" s="12"/>
    </row>
    <row r="37" spans="1:15" ht="12.75" x14ac:dyDescent="0.2">
      <c r="A37" s="1">
        <v>2005</v>
      </c>
      <c r="B37" s="3">
        <v>3247579</v>
      </c>
      <c r="C37" s="3">
        <v>0</v>
      </c>
      <c r="D37" s="3">
        <v>0</v>
      </c>
      <c r="E37" s="3">
        <v>14172250</v>
      </c>
      <c r="F37" s="3">
        <v>0</v>
      </c>
      <c r="G37" s="3">
        <v>0</v>
      </c>
      <c r="H37" s="3">
        <v>635845</v>
      </c>
      <c r="I37" s="3">
        <v>2927049</v>
      </c>
      <c r="J37" s="3">
        <v>170610</v>
      </c>
      <c r="K37" s="3">
        <v>18055674</v>
      </c>
      <c r="L37" s="3">
        <v>2927049</v>
      </c>
      <c r="M37" s="3">
        <v>170610</v>
      </c>
      <c r="N37" s="3">
        <v>21153333</v>
      </c>
      <c r="O37" s="12"/>
    </row>
    <row r="38" spans="1:15" ht="12.75" x14ac:dyDescent="0.2">
      <c r="A38" s="1">
        <v>2006</v>
      </c>
      <c r="B38" s="3">
        <v>3615574</v>
      </c>
      <c r="C38" s="3">
        <v>0</v>
      </c>
      <c r="D38" s="3">
        <v>0</v>
      </c>
      <c r="E38" s="3">
        <v>17252159</v>
      </c>
      <c r="F38" s="3">
        <v>0</v>
      </c>
      <c r="G38" s="3">
        <v>0</v>
      </c>
      <c r="H38" s="3">
        <v>7495809</v>
      </c>
      <c r="I38" s="3">
        <v>3198803</v>
      </c>
      <c r="J38" s="3">
        <v>249975</v>
      </c>
      <c r="K38" s="3">
        <v>28363542</v>
      </c>
      <c r="L38" s="3">
        <v>3198803</v>
      </c>
      <c r="M38" s="3">
        <v>249975</v>
      </c>
      <c r="N38" s="3">
        <v>31812320</v>
      </c>
      <c r="O38" s="12"/>
    </row>
    <row r="39" spans="1:15" ht="12.75" x14ac:dyDescent="0.2">
      <c r="A39" s="1">
        <v>2007</v>
      </c>
      <c r="B39" s="3">
        <v>3727596</v>
      </c>
      <c r="C39" s="3">
        <v>0</v>
      </c>
      <c r="D39" s="3">
        <v>0</v>
      </c>
      <c r="E39" s="3">
        <v>18275750</v>
      </c>
      <c r="F39" s="3">
        <v>0</v>
      </c>
      <c r="G39" s="3">
        <v>0</v>
      </c>
      <c r="H39" s="3">
        <v>8208298</v>
      </c>
      <c r="I39" s="3">
        <v>3031918</v>
      </c>
      <c r="J39" s="3">
        <v>0</v>
      </c>
      <c r="K39" s="3">
        <v>30211644</v>
      </c>
      <c r="L39" s="3">
        <v>3031918</v>
      </c>
      <c r="M39" s="3">
        <v>0</v>
      </c>
      <c r="N39" s="3">
        <v>33243562</v>
      </c>
      <c r="O39" s="12"/>
    </row>
    <row r="40" spans="1:15" ht="12.75" x14ac:dyDescent="0.2">
      <c r="A40" s="1">
        <v>2008</v>
      </c>
      <c r="B40" s="3">
        <v>3719267</v>
      </c>
      <c r="C40" s="3">
        <v>0</v>
      </c>
      <c r="D40" s="3">
        <v>0</v>
      </c>
      <c r="E40" s="3">
        <v>19953934</v>
      </c>
      <c r="F40" s="3">
        <v>0</v>
      </c>
      <c r="G40" s="3">
        <v>0</v>
      </c>
      <c r="H40" s="3">
        <v>9640670</v>
      </c>
      <c r="I40" s="3">
        <v>4278327</v>
      </c>
      <c r="J40" s="3">
        <v>0</v>
      </c>
      <c r="K40" s="3">
        <v>33313871</v>
      </c>
      <c r="L40" s="3">
        <v>4278327</v>
      </c>
      <c r="M40" s="3">
        <v>0</v>
      </c>
      <c r="N40" s="3">
        <v>37592198</v>
      </c>
      <c r="O40" s="12"/>
    </row>
    <row r="41" spans="1:15" ht="12.75" x14ac:dyDescent="0.2">
      <c r="A41" s="1">
        <v>2009</v>
      </c>
      <c r="B41" s="3">
        <v>3668382</v>
      </c>
      <c r="C41" s="3">
        <v>0</v>
      </c>
      <c r="D41" s="3">
        <v>0</v>
      </c>
      <c r="E41" s="3">
        <v>22406758</v>
      </c>
      <c r="F41" s="3">
        <v>0</v>
      </c>
      <c r="G41" s="3">
        <v>0</v>
      </c>
      <c r="H41" s="3">
        <v>10258670</v>
      </c>
      <c r="I41" s="3">
        <v>4483058</v>
      </c>
      <c r="J41" s="3">
        <v>0</v>
      </c>
      <c r="K41" s="3">
        <v>36333810</v>
      </c>
      <c r="L41" s="3">
        <v>4483058</v>
      </c>
      <c r="M41" s="3">
        <v>0</v>
      </c>
      <c r="N41" s="3">
        <v>40816868</v>
      </c>
      <c r="O41" s="12"/>
    </row>
    <row r="42" spans="1:15" ht="12.75" x14ac:dyDescent="0.2">
      <c r="A42" s="1">
        <v>2010</v>
      </c>
      <c r="B42" s="3">
        <v>4246612</v>
      </c>
      <c r="C42" s="3">
        <v>0</v>
      </c>
      <c r="D42" s="3">
        <v>0</v>
      </c>
      <c r="E42" s="3">
        <v>27293671</v>
      </c>
      <c r="F42" s="3">
        <v>0</v>
      </c>
      <c r="G42" s="3">
        <v>0</v>
      </c>
      <c r="H42" s="3">
        <v>10760595</v>
      </c>
      <c r="I42" s="3">
        <v>4460298</v>
      </c>
      <c r="J42" s="3">
        <v>0</v>
      </c>
      <c r="K42" s="3">
        <v>42300878</v>
      </c>
      <c r="L42" s="3">
        <v>4460298</v>
      </c>
      <c r="M42" s="3">
        <v>0</v>
      </c>
      <c r="N42" s="3">
        <v>46761176</v>
      </c>
      <c r="O42" s="12"/>
    </row>
    <row r="43" spans="1:15" x14ac:dyDescent="0.15">
      <c r="A43" s="1">
        <v>2011</v>
      </c>
      <c r="B43" s="3">
        <v>3704683</v>
      </c>
      <c r="C43" s="3">
        <v>0</v>
      </c>
      <c r="D43" s="3">
        <v>0</v>
      </c>
      <c r="E43" s="3">
        <v>8665750</v>
      </c>
      <c r="F43" s="3">
        <v>0</v>
      </c>
      <c r="G43" s="3">
        <v>0</v>
      </c>
      <c r="H43" s="3">
        <v>134125306</v>
      </c>
      <c r="I43" s="3">
        <v>4592136</v>
      </c>
      <c r="J43" s="3">
        <v>0</v>
      </c>
      <c r="K43" s="3">
        <v>146495739</v>
      </c>
      <c r="L43" s="3">
        <v>4592136</v>
      </c>
      <c r="M43" s="3">
        <v>0</v>
      </c>
      <c r="N43" s="3">
        <v>151087875</v>
      </c>
      <c r="O43" s="1" t="s">
        <v>258</v>
      </c>
    </row>
    <row r="44" spans="1:15" ht="12.75" x14ac:dyDescent="0.2">
      <c r="A44" s="1">
        <v>2012</v>
      </c>
      <c r="B44" s="3">
        <v>5571491</v>
      </c>
      <c r="C44" s="3">
        <v>0</v>
      </c>
      <c r="D44" s="3">
        <v>0</v>
      </c>
      <c r="E44" s="3">
        <v>3234821</v>
      </c>
      <c r="F44" s="3">
        <v>0</v>
      </c>
      <c r="G44" s="3">
        <v>0</v>
      </c>
      <c r="H44" s="3">
        <v>140865248</v>
      </c>
      <c r="I44" s="3">
        <v>5717459</v>
      </c>
      <c r="J44" s="3">
        <v>0</v>
      </c>
      <c r="K44" s="3">
        <v>149671560</v>
      </c>
      <c r="L44" s="3">
        <v>5717459</v>
      </c>
      <c r="M44" s="3">
        <v>0</v>
      </c>
      <c r="N44" s="3">
        <v>155389019</v>
      </c>
      <c r="O44" s="12"/>
    </row>
    <row r="45" spans="1:15" ht="12.75" x14ac:dyDescent="0.2">
      <c r="A45" s="1">
        <v>2013</v>
      </c>
      <c r="B45" s="3">
        <v>6005421</v>
      </c>
      <c r="C45" s="3">
        <v>0</v>
      </c>
      <c r="D45" s="3">
        <v>0</v>
      </c>
      <c r="E45" s="3">
        <v>3390388</v>
      </c>
      <c r="F45" s="3">
        <v>0</v>
      </c>
      <c r="G45" s="3">
        <v>0</v>
      </c>
      <c r="H45" s="3">
        <v>141456792</v>
      </c>
      <c r="I45" s="3">
        <v>4689271</v>
      </c>
      <c r="J45" s="3">
        <v>0</v>
      </c>
      <c r="K45" s="3">
        <v>150852601</v>
      </c>
      <c r="L45" s="3">
        <v>4689271</v>
      </c>
      <c r="M45" s="3">
        <v>0</v>
      </c>
      <c r="N45" s="3">
        <v>155541872</v>
      </c>
      <c r="O45" s="12"/>
    </row>
    <row r="46" spans="1:15" ht="12.75" x14ac:dyDescent="0.2">
      <c r="A46" s="1">
        <v>2014</v>
      </c>
      <c r="B46" s="3">
        <v>5284376</v>
      </c>
      <c r="C46" s="3">
        <v>0</v>
      </c>
      <c r="D46" s="3">
        <v>0</v>
      </c>
      <c r="E46" s="3">
        <v>2998850</v>
      </c>
      <c r="F46" s="3">
        <v>0</v>
      </c>
      <c r="G46" s="3">
        <v>0</v>
      </c>
      <c r="H46" s="3">
        <v>125834937</v>
      </c>
      <c r="I46" s="3">
        <v>3739931</v>
      </c>
      <c r="J46" s="3">
        <v>1077204</v>
      </c>
      <c r="K46" s="3">
        <v>134118163</v>
      </c>
      <c r="L46" s="3">
        <v>3739931</v>
      </c>
      <c r="M46" s="3">
        <v>1077204</v>
      </c>
      <c r="N46" s="3">
        <v>138935298</v>
      </c>
      <c r="O46" s="12"/>
    </row>
    <row r="47" spans="1:15" ht="12.75" x14ac:dyDescent="0.2">
      <c r="A47" s="1">
        <v>2015</v>
      </c>
      <c r="B47" s="3">
        <v>5294959</v>
      </c>
      <c r="C47" s="3">
        <v>0</v>
      </c>
      <c r="D47" s="3">
        <v>0</v>
      </c>
      <c r="E47" s="3">
        <v>0</v>
      </c>
      <c r="F47" s="3">
        <v>0</v>
      </c>
      <c r="G47" s="3">
        <v>2554848</v>
      </c>
      <c r="H47" s="3">
        <v>119353963</v>
      </c>
      <c r="I47" s="3">
        <v>0</v>
      </c>
      <c r="J47" s="3">
        <v>1176360</v>
      </c>
      <c r="K47" s="3">
        <v>124648922</v>
      </c>
      <c r="L47" s="3">
        <v>0</v>
      </c>
      <c r="M47" s="3">
        <v>3731208</v>
      </c>
      <c r="N47" s="3">
        <v>128380130</v>
      </c>
      <c r="O47" s="12"/>
    </row>
    <row r="48" spans="1:15" ht="12.75" x14ac:dyDescent="0.2">
      <c r="A48" s="1">
        <v>2016</v>
      </c>
      <c r="B48" s="3">
        <v>5611053</v>
      </c>
      <c r="C48" s="3">
        <v>0</v>
      </c>
      <c r="D48" s="3">
        <v>0</v>
      </c>
      <c r="E48" s="3">
        <v>3071079</v>
      </c>
      <c r="F48" s="3">
        <v>0</v>
      </c>
      <c r="G48" s="3">
        <v>0</v>
      </c>
      <c r="H48" s="3">
        <v>111362656</v>
      </c>
      <c r="I48" s="3">
        <v>6591276</v>
      </c>
      <c r="J48" s="3">
        <v>0</v>
      </c>
      <c r="K48" s="3">
        <v>120044788</v>
      </c>
      <c r="L48" s="3">
        <v>6591276</v>
      </c>
      <c r="M48" s="3">
        <v>0</v>
      </c>
      <c r="N48" s="3">
        <v>126636064</v>
      </c>
      <c r="O48" s="12"/>
    </row>
  </sheetData>
  <phoneticPr fontId="0" type="noConversion"/>
  <pageMargins left="0.75" right="0.75" top="1" bottom="1" header="0.5" footer="0.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5" defaultRowHeight="11.25" x14ac:dyDescent="0.15"/>
  <cols>
    <col min="1" max="16384" width="10.5" style="1"/>
  </cols>
  <sheetData>
    <row r="1" spans="1:15" x14ac:dyDescent="0.15">
      <c r="A1" s="1" t="s">
        <v>67</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720000</v>
      </c>
      <c r="C9" s="3">
        <v>0</v>
      </c>
      <c r="D9" s="3">
        <v>0</v>
      </c>
      <c r="E9" s="3">
        <v>0</v>
      </c>
      <c r="F9" s="3">
        <v>0</v>
      </c>
      <c r="G9" s="3">
        <v>0</v>
      </c>
      <c r="H9" s="3">
        <v>0</v>
      </c>
      <c r="I9" s="3">
        <v>0</v>
      </c>
      <c r="J9" s="3">
        <v>0</v>
      </c>
      <c r="K9" s="3">
        <f t="shared" si="0"/>
        <v>720000</v>
      </c>
      <c r="L9" s="3">
        <f t="shared" si="0"/>
        <v>0</v>
      </c>
      <c r="M9" s="3">
        <f t="shared" si="0"/>
        <v>0</v>
      </c>
      <c r="N9" s="3">
        <f t="shared" si="1"/>
        <v>720000</v>
      </c>
      <c r="O9" s="1" t="s">
        <v>106</v>
      </c>
    </row>
    <row r="10" spans="1:15" x14ac:dyDescent="0.15">
      <c r="A10" s="1">
        <v>1978</v>
      </c>
      <c r="B10" s="3">
        <v>1092000</v>
      </c>
      <c r="C10" s="3">
        <v>0</v>
      </c>
      <c r="D10" s="3">
        <v>0</v>
      </c>
      <c r="E10" s="3">
        <v>0</v>
      </c>
      <c r="F10" s="3">
        <v>0</v>
      </c>
      <c r="G10" s="3">
        <v>0</v>
      </c>
      <c r="H10" s="3">
        <v>0</v>
      </c>
      <c r="I10" s="3">
        <v>0</v>
      </c>
      <c r="J10" s="3">
        <v>0</v>
      </c>
      <c r="K10" s="3">
        <f t="shared" si="0"/>
        <v>1092000</v>
      </c>
      <c r="L10" s="3">
        <f t="shared" si="0"/>
        <v>0</v>
      </c>
      <c r="M10" s="3">
        <f t="shared" si="0"/>
        <v>0</v>
      </c>
      <c r="N10" s="3">
        <f t="shared" si="1"/>
        <v>1092000</v>
      </c>
    </row>
    <row r="11" spans="1:15" x14ac:dyDescent="0.15">
      <c r="A11" s="1">
        <v>1979</v>
      </c>
      <c r="B11" s="3">
        <v>1160000</v>
      </c>
      <c r="C11" s="3">
        <v>0</v>
      </c>
      <c r="D11" s="3">
        <v>0</v>
      </c>
      <c r="E11" s="3">
        <v>0</v>
      </c>
      <c r="F11" s="3">
        <v>0</v>
      </c>
      <c r="G11" s="3">
        <v>0</v>
      </c>
      <c r="H11" s="3">
        <v>0</v>
      </c>
      <c r="I11" s="3">
        <v>0</v>
      </c>
      <c r="J11" s="3">
        <v>0</v>
      </c>
      <c r="K11" s="3">
        <f t="shared" si="0"/>
        <v>1160000</v>
      </c>
      <c r="L11" s="3">
        <f t="shared" si="0"/>
        <v>0</v>
      </c>
      <c r="M11" s="3">
        <f t="shared" si="0"/>
        <v>0</v>
      </c>
      <c r="N11" s="3">
        <f t="shared" si="1"/>
        <v>1160000</v>
      </c>
    </row>
    <row r="12" spans="1:15" x14ac:dyDescent="0.15">
      <c r="A12" s="1">
        <v>1980</v>
      </c>
      <c r="B12" s="3">
        <v>1458000</v>
      </c>
      <c r="C12" s="3">
        <v>0</v>
      </c>
      <c r="D12" s="3">
        <v>0</v>
      </c>
      <c r="E12" s="3">
        <v>0</v>
      </c>
      <c r="F12" s="3">
        <v>0</v>
      </c>
      <c r="G12" s="3">
        <v>0</v>
      </c>
      <c r="H12" s="3">
        <v>0</v>
      </c>
      <c r="I12" s="3">
        <v>0</v>
      </c>
      <c r="J12" s="3">
        <v>0</v>
      </c>
      <c r="K12" s="3">
        <f t="shared" si="0"/>
        <v>1458000</v>
      </c>
      <c r="L12" s="3">
        <f t="shared" si="0"/>
        <v>0</v>
      </c>
      <c r="M12" s="3">
        <f t="shared" si="0"/>
        <v>0</v>
      </c>
      <c r="N12" s="3">
        <f t="shared" si="1"/>
        <v>1458000</v>
      </c>
    </row>
    <row r="13" spans="1:15" x14ac:dyDescent="0.15">
      <c r="A13" s="1">
        <v>1981</v>
      </c>
      <c r="B13" s="3">
        <v>1458000</v>
      </c>
      <c r="C13" s="3">
        <v>0</v>
      </c>
      <c r="D13" s="3">
        <v>0</v>
      </c>
      <c r="E13" s="3">
        <v>0</v>
      </c>
      <c r="F13" s="3">
        <v>0</v>
      </c>
      <c r="G13" s="3">
        <v>0</v>
      </c>
      <c r="H13" s="3">
        <v>0</v>
      </c>
      <c r="I13" s="3">
        <v>0</v>
      </c>
      <c r="J13" s="3">
        <v>0</v>
      </c>
      <c r="K13" s="3">
        <f t="shared" si="0"/>
        <v>1458000</v>
      </c>
      <c r="L13" s="3">
        <f t="shared" si="0"/>
        <v>0</v>
      </c>
      <c r="M13" s="3">
        <f t="shared" si="0"/>
        <v>0</v>
      </c>
      <c r="N13" s="3">
        <f t="shared" si="1"/>
        <v>1458000</v>
      </c>
      <c r="O13" s="1" t="s">
        <v>137</v>
      </c>
    </row>
    <row r="14" spans="1:15" x14ac:dyDescent="0.15">
      <c r="A14" s="1">
        <v>1982</v>
      </c>
      <c r="B14" s="3">
        <v>1458000</v>
      </c>
      <c r="C14" s="3">
        <v>0</v>
      </c>
      <c r="D14" s="3">
        <v>0</v>
      </c>
      <c r="E14" s="3">
        <v>0</v>
      </c>
      <c r="F14" s="3">
        <v>0</v>
      </c>
      <c r="G14" s="3">
        <v>0</v>
      </c>
      <c r="H14" s="3">
        <v>0</v>
      </c>
      <c r="I14" s="3">
        <v>0</v>
      </c>
      <c r="J14" s="3">
        <v>0</v>
      </c>
      <c r="K14" s="3">
        <f t="shared" si="0"/>
        <v>1458000</v>
      </c>
      <c r="L14" s="3">
        <f t="shared" si="0"/>
        <v>0</v>
      </c>
      <c r="M14" s="3">
        <f t="shared" si="0"/>
        <v>0</v>
      </c>
      <c r="N14" s="3">
        <f t="shared" si="1"/>
        <v>1458000</v>
      </c>
      <c r="O14" s="1" t="s">
        <v>137</v>
      </c>
    </row>
    <row r="15" spans="1:15" x14ac:dyDescent="0.15">
      <c r="A15" s="1">
        <v>1983</v>
      </c>
      <c r="B15" s="3">
        <v>1458000</v>
      </c>
      <c r="C15" s="3">
        <v>0</v>
      </c>
      <c r="D15" s="3">
        <v>0</v>
      </c>
      <c r="E15" s="3">
        <v>0</v>
      </c>
      <c r="F15" s="3">
        <v>0</v>
      </c>
      <c r="G15" s="3">
        <v>0</v>
      </c>
      <c r="H15" s="3">
        <v>0</v>
      </c>
      <c r="I15" s="3">
        <v>0</v>
      </c>
      <c r="J15" s="3">
        <v>0</v>
      </c>
      <c r="K15" s="3">
        <f t="shared" si="0"/>
        <v>1458000</v>
      </c>
      <c r="L15" s="3">
        <f t="shared" si="0"/>
        <v>0</v>
      </c>
      <c r="M15" s="3">
        <f t="shared" si="0"/>
        <v>0</v>
      </c>
      <c r="N15" s="3">
        <f t="shared" si="1"/>
        <v>1458000</v>
      </c>
      <c r="O15" s="1" t="s">
        <v>137</v>
      </c>
    </row>
    <row r="16" spans="1:15" x14ac:dyDescent="0.15">
      <c r="A16" s="1">
        <v>1984</v>
      </c>
      <c r="B16" s="3">
        <v>1072000</v>
      </c>
      <c r="C16" s="3">
        <v>0</v>
      </c>
      <c r="D16" s="3">
        <v>0</v>
      </c>
      <c r="E16" s="3">
        <f>2000000+8433000</f>
        <v>10433000</v>
      </c>
      <c r="F16" s="3">
        <v>0</v>
      </c>
      <c r="G16" s="3">
        <v>0</v>
      </c>
      <c r="H16" s="3">
        <v>0</v>
      </c>
      <c r="I16" s="3">
        <v>0</v>
      </c>
      <c r="J16" s="3">
        <v>0</v>
      </c>
      <c r="K16" s="3">
        <f t="shared" si="0"/>
        <v>11505000</v>
      </c>
      <c r="L16" s="3">
        <f t="shared" si="0"/>
        <v>0</v>
      </c>
      <c r="M16" s="3">
        <f t="shared" si="0"/>
        <v>0</v>
      </c>
      <c r="N16" s="3">
        <f t="shared" si="1"/>
        <v>11505000</v>
      </c>
      <c r="O16" s="1" t="s">
        <v>159</v>
      </c>
    </row>
    <row r="17" spans="1:15" x14ac:dyDescent="0.15">
      <c r="A17" s="1">
        <v>1985</v>
      </c>
      <c r="B17" s="3">
        <v>0</v>
      </c>
      <c r="C17" s="3">
        <v>0</v>
      </c>
      <c r="D17" s="3">
        <v>1362000</v>
      </c>
      <c r="E17" s="3">
        <v>7843000</v>
      </c>
      <c r="F17" s="3">
        <v>590000</v>
      </c>
      <c r="G17" s="3">
        <v>2300000</v>
      </c>
      <c r="H17" s="3">
        <v>0</v>
      </c>
      <c r="I17" s="3">
        <v>0</v>
      </c>
      <c r="J17" s="3">
        <v>0</v>
      </c>
      <c r="K17" s="3">
        <f t="shared" si="0"/>
        <v>7843000</v>
      </c>
      <c r="L17" s="3">
        <f t="shared" si="0"/>
        <v>590000</v>
      </c>
      <c r="M17" s="3">
        <f t="shared" si="0"/>
        <v>3662000</v>
      </c>
      <c r="N17" s="3">
        <f t="shared" si="1"/>
        <v>12095000</v>
      </c>
    </row>
    <row r="18" spans="1:15" x14ac:dyDescent="0.15">
      <c r="A18" s="1">
        <v>1986</v>
      </c>
      <c r="B18" s="3">
        <v>0</v>
      </c>
      <c r="C18" s="3">
        <v>0</v>
      </c>
      <c r="D18" s="3">
        <v>1362000</v>
      </c>
      <c r="E18" s="3">
        <v>7843000</v>
      </c>
      <c r="F18" s="3">
        <v>590000</v>
      </c>
      <c r="G18" s="3">
        <v>2300000</v>
      </c>
      <c r="H18" s="3">
        <v>0</v>
      </c>
      <c r="I18" s="3">
        <v>0</v>
      </c>
      <c r="J18" s="3">
        <v>0</v>
      </c>
      <c r="K18" s="3">
        <f t="shared" si="0"/>
        <v>7843000</v>
      </c>
      <c r="L18" s="3">
        <f t="shared" si="0"/>
        <v>590000</v>
      </c>
      <c r="M18" s="3">
        <f t="shared" si="0"/>
        <v>3662000</v>
      </c>
      <c r="N18" s="3">
        <f t="shared" si="1"/>
        <v>12095000</v>
      </c>
      <c r="O18" s="1" t="s">
        <v>167</v>
      </c>
    </row>
    <row r="19" spans="1:15" x14ac:dyDescent="0.15">
      <c r="A19" s="1">
        <v>1987</v>
      </c>
      <c r="B19" s="3">
        <v>0</v>
      </c>
      <c r="C19" s="3">
        <v>0</v>
      </c>
      <c r="D19" s="3">
        <v>12248000</v>
      </c>
      <c r="E19" s="3">
        <v>0</v>
      </c>
      <c r="F19" s="3">
        <v>0</v>
      </c>
      <c r="G19" s="3">
        <v>0</v>
      </c>
      <c r="H19" s="3">
        <v>0</v>
      </c>
      <c r="I19" s="3">
        <v>0</v>
      </c>
      <c r="J19" s="3">
        <v>0</v>
      </c>
      <c r="K19" s="3">
        <f t="shared" si="0"/>
        <v>0</v>
      </c>
      <c r="L19" s="3">
        <f t="shared" si="0"/>
        <v>0</v>
      </c>
      <c r="M19" s="3">
        <f t="shared" si="0"/>
        <v>12248000</v>
      </c>
      <c r="N19" s="3">
        <f t="shared" si="1"/>
        <v>12248000</v>
      </c>
    </row>
    <row r="20" spans="1:15" x14ac:dyDescent="0.15">
      <c r="A20" s="1">
        <v>1988</v>
      </c>
      <c r="B20" s="3">
        <v>2801000</v>
      </c>
      <c r="C20" s="3">
        <v>1144000</v>
      </c>
      <c r="D20" s="3">
        <v>0</v>
      </c>
      <c r="E20" s="3">
        <f>2880000+8640000</f>
        <v>11520000</v>
      </c>
      <c r="F20" s="3">
        <f>120000+360000</f>
        <v>480000</v>
      </c>
      <c r="G20" s="3">
        <v>0</v>
      </c>
      <c r="H20" s="3">
        <v>0</v>
      </c>
      <c r="I20" s="3">
        <v>0</v>
      </c>
      <c r="J20" s="3">
        <v>0</v>
      </c>
      <c r="K20" s="3">
        <f t="shared" si="0"/>
        <v>14321000</v>
      </c>
      <c r="L20" s="3">
        <f t="shared" si="0"/>
        <v>1624000</v>
      </c>
      <c r="M20" s="3">
        <f t="shared" si="0"/>
        <v>0</v>
      </c>
      <c r="N20" s="3">
        <f t="shared" si="1"/>
        <v>15945000</v>
      </c>
      <c r="O20" s="1" t="s">
        <v>177</v>
      </c>
    </row>
    <row r="21" spans="1:15" x14ac:dyDescent="0.15">
      <c r="A21" s="1">
        <v>1989</v>
      </c>
      <c r="B21" s="3">
        <v>2769000</v>
      </c>
      <c r="C21" s="3">
        <v>1131000</v>
      </c>
      <c r="D21" s="3">
        <v>0</v>
      </c>
      <c r="E21" s="3">
        <f>3840000+8810000</f>
        <v>12650000</v>
      </c>
      <c r="F21" s="3">
        <f>160000+367000</f>
        <v>527000</v>
      </c>
      <c r="G21" s="3">
        <v>0</v>
      </c>
      <c r="H21" s="3">
        <v>0</v>
      </c>
      <c r="I21" s="3">
        <v>0</v>
      </c>
      <c r="J21" s="3">
        <v>0</v>
      </c>
      <c r="K21" s="3">
        <f t="shared" si="0"/>
        <v>15419000</v>
      </c>
      <c r="L21" s="3">
        <f t="shared" si="0"/>
        <v>1658000</v>
      </c>
      <c r="M21" s="3">
        <f t="shared" si="0"/>
        <v>0</v>
      </c>
      <c r="N21" s="3">
        <f t="shared" si="1"/>
        <v>17077000</v>
      </c>
    </row>
    <row r="22" spans="1:15" x14ac:dyDescent="0.15">
      <c r="A22" s="1">
        <v>1990</v>
      </c>
      <c r="B22" s="3">
        <v>2712000</v>
      </c>
      <c r="C22" s="3">
        <v>1086000</v>
      </c>
      <c r="D22" s="3">
        <v>0</v>
      </c>
      <c r="E22" s="3">
        <f>5000000+9100000</f>
        <v>14100000</v>
      </c>
      <c r="F22" s="3">
        <v>0</v>
      </c>
      <c r="G22" s="3">
        <v>0</v>
      </c>
      <c r="H22" s="3">
        <v>0</v>
      </c>
      <c r="I22" s="3">
        <v>0</v>
      </c>
      <c r="J22" s="3">
        <v>0</v>
      </c>
      <c r="K22" s="3">
        <f t="shared" ref="K22:M35" si="2">+B22+E22+H22</f>
        <v>16812000</v>
      </c>
      <c r="L22" s="3">
        <f t="shared" si="2"/>
        <v>1086000</v>
      </c>
      <c r="M22" s="3">
        <f t="shared" si="2"/>
        <v>0</v>
      </c>
      <c r="N22" s="3">
        <f t="shared" si="1"/>
        <v>17898000</v>
      </c>
    </row>
    <row r="23" spans="1:15" x14ac:dyDescent="0.15">
      <c r="A23" s="1">
        <v>1991</v>
      </c>
      <c r="B23" s="3">
        <v>2712000</v>
      </c>
      <c r="C23" s="3">
        <v>1086000</v>
      </c>
      <c r="D23" s="3">
        <v>0</v>
      </c>
      <c r="E23" s="3">
        <f>5000000+9100000</f>
        <v>14100000</v>
      </c>
      <c r="F23" s="3">
        <v>0</v>
      </c>
      <c r="G23" s="3">
        <v>0</v>
      </c>
      <c r="H23" s="3">
        <v>0</v>
      </c>
      <c r="I23" s="3">
        <v>0</v>
      </c>
      <c r="J23" s="3">
        <v>0</v>
      </c>
      <c r="K23" s="3">
        <f t="shared" si="2"/>
        <v>16812000</v>
      </c>
      <c r="L23" s="3">
        <f t="shared" si="2"/>
        <v>1086000</v>
      </c>
      <c r="M23" s="3">
        <f t="shared" si="2"/>
        <v>0</v>
      </c>
      <c r="N23" s="3">
        <f t="shared" si="1"/>
        <v>17898000</v>
      </c>
      <c r="O23" s="1" t="s">
        <v>167</v>
      </c>
    </row>
    <row r="24" spans="1:15" x14ac:dyDescent="0.15">
      <c r="A24" s="1">
        <v>1992</v>
      </c>
      <c r="B24" s="3">
        <v>2712000</v>
      </c>
      <c r="C24" s="3">
        <v>1086000</v>
      </c>
      <c r="D24" s="3">
        <v>0</v>
      </c>
      <c r="E24" s="3">
        <f>5000000+9100000</f>
        <v>14100000</v>
      </c>
      <c r="F24" s="3">
        <v>0</v>
      </c>
      <c r="G24" s="3">
        <v>0</v>
      </c>
      <c r="H24" s="3">
        <v>0</v>
      </c>
      <c r="I24" s="3">
        <v>0</v>
      </c>
      <c r="J24" s="3">
        <v>0</v>
      </c>
      <c r="K24" s="3">
        <f t="shared" si="2"/>
        <v>16812000</v>
      </c>
      <c r="L24" s="3">
        <f t="shared" si="2"/>
        <v>1086000</v>
      </c>
      <c r="M24" s="3">
        <f t="shared" si="2"/>
        <v>0</v>
      </c>
      <c r="N24" s="3">
        <f t="shared" si="1"/>
        <v>17898000</v>
      </c>
      <c r="O24" s="1" t="s">
        <v>167</v>
      </c>
    </row>
    <row r="25" spans="1:15" x14ac:dyDescent="0.15">
      <c r="A25" s="1">
        <v>1993</v>
      </c>
      <c r="B25" s="3">
        <v>3944000</v>
      </c>
      <c r="C25" s="3">
        <v>1856000</v>
      </c>
      <c r="D25" s="3">
        <v>0</v>
      </c>
      <c r="E25" s="3">
        <f>7546000+7340000+1287000</f>
        <v>16173000</v>
      </c>
      <c r="F25" s="3">
        <f>154000+306000</f>
        <v>460000</v>
      </c>
      <c r="G25" s="3">
        <v>0</v>
      </c>
      <c r="H25" s="3">
        <v>0</v>
      </c>
      <c r="I25" s="3">
        <v>0</v>
      </c>
      <c r="J25" s="3">
        <v>0</v>
      </c>
      <c r="K25" s="3">
        <f t="shared" si="2"/>
        <v>20117000</v>
      </c>
      <c r="L25" s="3">
        <f t="shared" si="2"/>
        <v>2316000</v>
      </c>
      <c r="M25" s="3">
        <f t="shared" si="2"/>
        <v>0</v>
      </c>
      <c r="N25" s="3">
        <f t="shared" si="1"/>
        <v>22433000</v>
      </c>
    </row>
    <row r="26" spans="1:15" x14ac:dyDescent="0.15">
      <c r="A26" s="1">
        <v>1994</v>
      </c>
      <c r="B26" s="3">
        <v>3944000</v>
      </c>
      <c r="C26" s="3">
        <v>1856000</v>
      </c>
      <c r="D26" s="3">
        <v>0</v>
      </c>
      <c r="E26" s="3">
        <f>7546000+7340000+1287000</f>
        <v>16173000</v>
      </c>
      <c r="F26" s="3">
        <f>154000+306000</f>
        <v>460000</v>
      </c>
      <c r="G26" s="3">
        <v>0</v>
      </c>
      <c r="H26" s="3">
        <v>0</v>
      </c>
      <c r="I26" s="3">
        <v>0</v>
      </c>
      <c r="J26" s="3">
        <v>0</v>
      </c>
      <c r="K26" s="3">
        <f t="shared" si="2"/>
        <v>20117000</v>
      </c>
      <c r="L26" s="3">
        <f t="shared" si="2"/>
        <v>2316000</v>
      </c>
      <c r="M26" s="3">
        <f t="shared" si="2"/>
        <v>0</v>
      </c>
      <c r="N26" s="3">
        <f t="shared" si="1"/>
        <v>22433000</v>
      </c>
      <c r="O26" s="1" t="s">
        <v>167</v>
      </c>
    </row>
    <row r="27" spans="1:15" x14ac:dyDescent="0.15">
      <c r="A27" s="1">
        <v>1995</v>
      </c>
      <c r="B27" s="3">
        <v>4258486</v>
      </c>
      <c r="C27" s="3">
        <v>0</v>
      </c>
      <c r="D27" s="3">
        <v>0</v>
      </c>
      <c r="E27" s="3">
        <f>22074000-B27</f>
        <v>17815514</v>
      </c>
      <c r="F27" s="3">
        <v>0</v>
      </c>
      <c r="G27" s="3">
        <v>0</v>
      </c>
      <c r="H27" s="3">
        <v>0</v>
      </c>
      <c r="I27" s="3">
        <v>0</v>
      </c>
      <c r="J27" s="3">
        <v>0</v>
      </c>
      <c r="K27" s="3">
        <f t="shared" si="2"/>
        <v>22074000</v>
      </c>
      <c r="L27" s="3">
        <f t="shared" si="2"/>
        <v>0</v>
      </c>
      <c r="M27" s="3">
        <f t="shared" si="2"/>
        <v>0</v>
      </c>
      <c r="N27" s="3">
        <f t="shared" si="1"/>
        <v>22074000</v>
      </c>
    </row>
    <row r="28" spans="1:15" x14ac:dyDescent="0.15">
      <c r="A28" s="1">
        <v>1996</v>
      </c>
      <c r="B28" s="3">
        <v>0</v>
      </c>
      <c r="C28" s="3">
        <v>0</v>
      </c>
      <c r="D28" s="3">
        <v>0</v>
      </c>
      <c r="E28" s="3">
        <v>23689000</v>
      </c>
      <c r="F28" s="3">
        <v>0</v>
      </c>
      <c r="G28" s="3">
        <v>0</v>
      </c>
      <c r="H28" s="3">
        <v>0</v>
      </c>
      <c r="I28" s="3">
        <v>0</v>
      </c>
      <c r="J28" s="3">
        <v>0</v>
      </c>
      <c r="K28" s="3">
        <f t="shared" si="2"/>
        <v>23689000</v>
      </c>
      <c r="L28" s="3">
        <f t="shared" si="2"/>
        <v>0</v>
      </c>
      <c r="M28" s="3">
        <f t="shared" si="2"/>
        <v>0</v>
      </c>
      <c r="N28" s="3">
        <f t="shared" si="1"/>
        <v>23689000</v>
      </c>
      <c r="O28" s="1" t="s">
        <v>212</v>
      </c>
    </row>
    <row r="29" spans="1:15" x14ac:dyDescent="0.15">
      <c r="A29" s="1">
        <v>1997</v>
      </c>
      <c r="B29" s="3">
        <v>0</v>
      </c>
      <c r="C29" s="3">
        <v>0</v>
      </c>
      <c r="D29" s="3">
        <v>0</v>
      </c>
      <c r="E29" s="3">
        <v>23824000</v>
      </c>
      <c r="F29" s="3">
        <v>0</v>
      </c>
      <c r="G29" s="3">
        <v>0</v>
      </c>
      <c r="H29" s="3">
        <v>0</v>
      </c>
      <c r="I29" s="3">
        <v>0</v>
      </c>
      <c r="J29" s="3">
        <v>0</v>
      </c>
      <c r="K29" s="3">
        <f t="shared" si="2"/>
        <v>23824000</v>
      </c>
      <c r="L29" s="3">
        <f t="shared" si="2"/>
        <v>0</v>
      </c>
      <c r="M29" s="3">
        <f t="shared" si="2"/>
        <v>0</v>
      </c>
      <c r="N29" s="3">
        <f t="shared" si="1"/>
        <v>23824000</v>
      </c>
    </row>
    <row r="30" spans="1:15" x14ac:dyDescent="0.15">
      <c r="A30" s="1">
        <v>1998</v>
      </c>
      <c r="B30" s="3">
        <v>5981656</v>
      </c>
      <c r="C30" s="3">
        <v>0</v>
      </c>
      <c r="D30" s="3">
        <v>0</v>
      </c>
      <c r="E30" s="3">
        <f>25520000-B30</f>
        <v>19538344</v>
      </c>
      <c r="F30" s="3">
        <v>0</v>
      </c>
      <c r="G30" s="3">
        <v>0</v>
      </c>
      <c r="H30" s="3">
        <v>0</v>
      </c>
      <c r="I30" s="3">
        <v>0</v>
      </c>
      <c r="J30" s="3">
        <v>0</v>
      </c>
      <c r="K30" s="3">
        <f t="shared" si="2"/>
        <v>25520000</v>
      </c>
      <c r="L30" s="3">
        <f t="shared" si="2"/>
        <v>0</v>
      </c>
      <c r="M30" s="3">
        <f t="shared" si="2"/>
        <v>0</v>
      </c>
      <c r="N30" s="3">
        <f t="shared" si="1"/>
        <v>25520000</v>
      </c>
      <c r="O30" s="1" t="s">
        <v>227</v>
      </c>
    </row>
    <row r="31" spans="1:15" x14ac:dyDescent="0.15">
      <c r="A31" s="1">
        <v>1999</v>
      </c>
      <c r="B31" s="3">
        <v>4381027</v>
      </c>
      <c r="C31" s="3">
        <v>0</v>
      </c>
      <c r="D31" s="3">
        <v>0</v>
      </c>
      <c r="E31" s="3">
        <f>18510000-B31</f>
        <v>14128973</v>
      </c>
      <c r="F31" s="3">
        <v>874000</v>
      </c>
      <c r="G31" s="3">
        <v>0</v>
      </c>
      <c r="H31" s="3">
        <v>0</v>
      </c>
      <c r="I31" s="3">
        <v>0</v>
      </c>
      <c r="J31" s="3">
        <v>0</v>
      </c>
      <c r="K31" s="3">
        <f t="shared" si="2"/>
        <v>18510000</v>
      </c>
      <c r="L31" s="3">
        <f t="shared" si="2"/>
        <v>874000</v>
      </c>
      <c r="M31" s="3">
        <f t="shared" si="2"/>
        <v>0</v>
      </c>
      <c r="N31" s="3">
        <f t="shared" si="1"/>
        <v>19384000</v>
      </c>
    </row>
    <row r="32" spans="1:15" x14ac:dyDescent="0.15">
      <c r="A32" s="1">
        <v>2000</v>
      </c>
      <c r="B32" s="3">
        <v>28153304</v>
      </c>
      <c r="C32" s="3">
        <v>0</v>
      </c>
      <c r="D32" s="3">
        <v>0</v>
      </c>
      <c r="E32" s="3">
        <f>34004000-B32</f>
        <v>5850696</v>
      </c>
      <c r="F32" s="3">
        <v>6223000</v>
      </c>
      <c r="G32" s="3">
        <v>0</v>
      </c>
      <c r="H32" s="3">
        <v>0</v>
      </c>
      <c r="I32" s="3">
        <v>0</v>
      </c>
      <c r="J32" s="3">
        <v>0</v>
      </c>
      <c r="K32" s="3">
        <f t="shared" si="2"/>
        <v>34004000</v>
      </c>
      <c r="L32" s="3">
        <f t="shared" si="2"/>
        <v>6223000</v>
      </c>
      <c r="M32" s="3">
        <f t="shared" si="2"/>
        <v>0</v>
      </c>
      <c r="N32" s="3">
        <f t="shared" si="1"/>
        <v>40227000</v>
      </c>
      <c r="O32" s="1" t="s">
        <v>243</v>
      </c>
    </row>
    <row r="33" spans="1:15" x14ac:dyDescent="0.15">
      <c r="A33" s="1">
        <v>2001</v>
      </c>
      <c r="B33" s="3">
        <f>10509180+17894008</f>
        <v>28403188</v>
      </c>
      <c r="C33" s="3">
        <v>0</v>
      </c>
      <c r="D33" s="3">
        <v>0</v>
      </c>
      <c r="E33" s="3">
        <f>40231000-B33</f>
        <v>11827812</v>
      </c>
      <c r="F33" s="3">
        <v>829000</v>
      </c>
      <c r="G33" s="3">
        <v>0</v>
      </c>
      <c r="H33" s="3">
        <v>0</v>
      </c>
      <c r="I33" s="3">
        <v>0</v>
      </c>
      <c r="J33" s="3">
        <v>0</v>
      </c>
      <c r="K33" s="3">
        <f t="shared" si="2"/>
        <v>40231000</v>
      </c>
      <c r="L33" s="3">
        <f t="shared" si="2"/>
        <v>829000</v>
      </c>
      <c r="M33" s="3">
        <f t="shared" si="2"/>
        <v>0</v>
      </c>
      <c r="N33" s="3">
        <f t="shared" si="1"/>
        <v>41060000</v>
      </c>
    </row>
    <row r="34" spans="1:15" x14ac:dyDescent="0.15">
      <c r="A34" s="1">
        <v>2002</v>
      </c>
      <c r="B34" s="3">
        <v>28705142</v>
      </c>
      <c r="C34" s="3">
        <v>0</v>
      </c>
      <c r="D34" s="3">
        <v>0</v>
      </c>
      <c r="E34" s="3">
        <f>35602000-B34</f>
        <v>6896858</v>
      </c>
      <c r="F34" s="3">
        <v>4602000</v>
      </c>
      <c r="G34" s="3">
        <v>0</v>
      </c>
      <c r="H34" s="3">
        <v>0</v>
      </c>
      <c r="I34" s="3">
        <v>0</v>
      </c>
      <c r="J34" s="3">
        <v>0</v>
      </c>
      <c r="K34" s="3">
        <f t="shared" si="2"/>
        <v>35602000</v>
      </c>
      <c r="L34" s="3">
        <f t="shared" si="2"/>
        <v>4602000</v>
      </c>
      <c r="M34" s="3">
        <f t="shared" si="2"/>
        <v>0</v>
      </c>
      <c r="N34" s="3">
        <f t="shared" si="1"/>
        <v>40204000</v>
      </c>
    </row>
    <row r="35" spans="1:15" x14ac:dyDescent="0.15">
      <c r="A35" s="1">
        <v>2003</v>
      </c>
      <c r="B35" s="3">
        <v>19928686</v>
      </c>
      <c r="C35" s="3">
        <v>0</v>
      </c>
      <c r="D35" s="3">
        <v>0</v>
      </c>
      <c r="E35" s="3">
        <v>16271776</v>
      </c>
      <c r="F35" s="3">
        <v>4405351</v>
      </c>
      <c r="G35" s="3">
        <v>0</v>
      </c>
      <c r="H35" s="3">
        <v>0</v>
      </c>
      <c r="I35" s="3">
        <v>0</v>
      </c>
      <c r="J35" s="3">
        <v>0</v>
      </c>
      <c r="K35" s="3">
        <f t="shared" si="2"/>
        <v>36200462</v>
      </c>
      <c r="L35" s="3">
        <f t="shared" si="2"/>
        <v>4405351</v>
      </c>
      <c r="M35" s="3">
        <f t="shared" si="2"/>
        <v>0</v>
      </c>
      <c r="N35" s="3">
        <f t="shared" si="1"/>
        <v>40605813</v>
      </c>
    </row>
    <row r="36" spans="1:15" x14ac:dyDescent="0.15">
      <c r="A36" s="1">
        <v>2004</v>
      </c>
      <c r="B36" s="3">
        <v>18806262</v>
      </c>
      <c r="C36" s="3">
        <v>0</v>
      </c>
      <c r="D36" s="3">
        <v>0</v>
      </c>
      <c r="E36" s="3">
        <v>12192587</v>
      </c>
      <c r="F36" s="3">
        <v>5468169</v>
      </c>
      <c r="G36" s="3">
        <v>0</v>
      </c>
      <c r="H36" s="3">
        <v>0</v>
      </c>
      <c r="I36" s="3">
        <v>0</v>
      </c>
      <c r="J36" s="3">
        <v>0</v>
      </c>
      <c r="K36" s="3">
        <v>30998849</v>
      </c>
      <c r="L36" s="3">
        <v>5468169</v>
      </c>
      <c r="M36" s="3">
        <v>0</v>
      </c>
      <c r="N36" s="3">
        <v>36467018</v>
      </c>
    </row>
    <row r="37" spans="1:15" x14ac:dyDescent="0.15">
      <c r="A37" s="1">
        <v>2005</v>
      </c>
      <c r="B37" s="3">
        <v>19855021</v>
      </c>
      <c r="C37" s="3">
        <v>0</v>
      </c>
      <c r="D37" s="3">
        <v>0</v>
      </c>
      <c r="E37" s="3">
        <v>11325904</v>
      </c>
      <c r="F37" s="3">
        <v>5891904</v>
      </c>
      <c r="G37" s="3">
        <v>0</v>
      </c>
      <c r="H37" s="3">
        <v>0</v>
      </c>
      <c r="I37" s="3">
        <v>0</v>
      </c>
      <c r="J37" s="3">
        <v>0</v>
      </c>
      <c r="K37" s="3">
        <v>31180925</v>
      </c>
      <c r="L37" s="3">
        <v>5891904</v>
      </c>
      <c r="M37" s="3">
        <v>0</v>
      </c>
      <c r="N37" s="3">
        <v>37072829</v>
      </c>
    </row>
    <row r="38" spans="1:15" x14ac:dyDescent="0.15">
      <c r="A38" s="1">
        <v>2006</v>
      </c>
      <c r="B38" s="3">
        <v>20453620</v>
      </c>
      <c r="C38" s="3">
        <v>0</v>
      </c>
      <c r="D38" s="3">
        <v>0</v>
      </c>
      <c r="E38" s="3">
        <v>13386119</v>
      </c>
      <c r="F38" s="3">
        <v>5510102</v>
      </c>
      <c r="G38" s="3">
        <v>0</v>
      </c>
      <c r="H38" s="3">
        <v>0</v>
      </c>
      <c r="I38" s="3">
        <v>0</v>
      </c>
      <c r="J38" s="3">
        <v>0</v>
      </c>
      <c r="K38" s="3">
        <v>33839739</v>
      </c>
      <c r="L38" s="3">
        <v>5510102</v>
      </c>
      <c r="M38" s="3">
        <v>0</v>
      </c>
      <c r="N38" s="3">
        <v>39349841</v>
      </c>
    </row>
    <row r="39" spans="1:15" x14ac:dyDescent="0.15">
      <c r="A39" s="1">
        <v>2007</v>
      </c>
      <c r="B39" s="3">
        <v>19921497</v>
      </c>
      <c r="C39" s="3">
        <v>0</v>
      </c>
      <c r="D39" s="3">
        <v>0</v>
      </c>
      <c r="E39" s="3">
        <v>13522939</v>
      </c>
      <c r="F39" s="3">
        <v>6010198</v>
      </c>
      <c r="G39" s="3">
        <v>0</v>
      </c>
      <c r="H39" s="3">
        <v>0</v>
      </c>
      <c r="I39" s="3">
        <v>0</v>
      </c>
      <c r="J39" s="3">
        <v>0</v>
      </c>
      <c r="K39" s="3">
        <v>33444436</v>
      </c>
      <c r="L39" s="3">
        <v>6010198</v>
      </c>
      <c r="M39" s="3">
        <v>0</v>
      </c>
      <c r="N39" s="3">
        <v>39454634</v>
      </c>
    </row>
    <row r="40" spans="1:15" x14ac:dyDescent="0.15">
      <c r="A40" s="1">
        <v>2008</v>
      </c>
      <c r="B40" s="3">
        <v>18962245</v>
      </c>
      <c r="C40" s="3">
        <v>0</v>
      </c>
      <c r="D40" s="3">
        <v>0</v>
      </c>
      <c r="E40" s="3">
        <v>12928507</v>
      </c>
      <c r="F40" s="3">
        <v>5353551</v>
      </c>
      <c r="G40" s="3">
        <v>0</v>
      </c>
      <c r="H40" s="3">
        <v>0</v>
      </c>
      <c r="I40" s="3">
        <v>0</v>
      </c>
      <c r="J40" s="3">
        <v>0</v>
      </c>
      <c r="K40" s="3">
        <v>31890752</v>
      </c>
      <c r="L40" s="3">
        <v>5353551</v>
      </c>
      <c r="M40" s="3">
        <v>0</v>
      </c>
      <c r="N40" s="3">
        <v>37244303</v>
      </c>
    </row>
    <row r="41" spans="1:15" x14ac:dyDescent="0.15">
      <c r="A41" s="1">
        <v>2009</v>
      </c>
      <c r="B41" s="3">
        <v>18480989</v>
      </c>
      <c r="C41" s="3">
        <v>0</v>
      </c>
      <c r="D41" s="3">
        <v>0</v>
      </c>
      <c r="E41" s="3">
        <v>14458940</v>
      </c>
      <c r="F41" s="3">
        <v>4164788</v>
      </c>
      <c r="G41" s="3">
        <v>0</v>
      </c>
      <c r="H41" s="3">
        <v>0</v>
      </c>
      <c r="I41" s="3">
        <v>0</v>
      </c>
      <c r="J41" s="3">
        <v>0</v>
      </c>
      <c r="K41" s="3">
        <v>32939929</v>
      </c>
      <c r="L41" s="3">
        <v>4164788</v>
      </c>
      <c r="M41" s="3">
        <v>0</v>
      </c>
      <c r="N41" s="3">
        <v>37104717</v>
      </c>
    </row>
    <row r="42" spans="1:15" x14ac:dyDescent="0.15">
      <c r="A42" s="1">
        <v>2010</v>
      </c>
      <c r="B42" s="3">
        <v>18578221</v>
      </c>
      <c r="C42" s="3">
        <v>0</v>
      </c>
      <c r="D42" s="3">
        <v>0</v>
      </c>
      <c r="E42" s="3">
        <v>11727437</v>
      </c>
      <c r="F42" s="3">
        <v>4375366</v>
      </c>
      <c r="G42" s="3">
        <v>0</v>
      </c>
      <c r="H42" s="3">
        <v>0</v>
      </c>
      <c r="I42" s="3">
        <v>0</v>
      </c>
      <c r="J42" s="3">
        <v>0</v>
      </c>
      <c r="K42" s="3">
        <v>30305658</v>
      </c>
      <c r="L42" s="3">
        <v>4375366</v>
      </c>
      <c r="M42" s="3">
        <v>0</v>
      </c>
      <c r="N42" s="3">
        <v>34681024</v>
      </c>
    </row>
    <row r="43" spans="1:15" x14ac:dyDescent="0.15">
      <c r="A43" s="1">
        <v>2011</v>
      </c>
      <c r="B43" s="3">
        <v>19092100</v>
      </c>
      <c r="C43" s="3">
        <v>0</v>
      </c>
      <c r="D43" s="3">
        <v>0</v>
      </c>
      <c r="E43" s="3">
        <v>11873825</v>
      </c>
      <c r="F43" s="3">
        <v>4533806</v>
      </c>
      <c r="G43" s="3">
        <v>0</v>
      </c>
      <c r="H43" s="3">
        <v>22352063</v>
      </c>
      <c r="I43" s="3">
        <v>1105690</v>
      </c>
      <c r="J43" s="3">
        <v>0</v>
      </c>
      <c r="K43" s="3">
        <v>53317988</v>
      </c>
      <c r="L43" s="3">
        <v>5639496</v>
      </c>
      <c r="M43" s="3">
        <v>0</v>
      </c>
      <c r="N43" s="3">
        <v>58957484</v>
      </c>
      <c r="O43" s="1" t="s">
        <v>313</v>
      </c>
    </row>
    <row r="44" spans="1:15" x14ac:dyDescent="0.15">
      <c r="A44" s="1">
        <v>2012</v>
      </c>
      <c r="B44" s="3">
        <v>18457532</v>
      </c>
      <c r="C44" s="3">
        <v>0</v>
      </c>
      <c r="D44" s="3">
        <v>0</v>
      </c>
      <c r="E44" s="3">
        <v>35049248</v>
      </c>
      <c r="F44" s="3">
        <v>5744155</v>
      </c>
      <c r="G44" s="3">
        <v>0</v>
      </c>
      <c r="H44" s="3">
        <v>0</v>
      </c>
      <c r="I44" s="3">
        <v>0</v>
      </c>
      <c r="J44" s="3">
        <v>0</v>
      </c>
      <c r="K44" s="3">
        <v>53506780</v>
      </c>
      <c r="L44" s="3">
        <v>5744155</v>
      </c>
      <c r="M44" s="3">
        <v>0</v>
      </c>
      <c r="N44" s="3">
        <v>59250935</v>
      </c>
      <c r="O44" s="1" t="s">
        <v>314</v>
      </c>
    </row>
    <row r="45" spans="1:15" x14ac:dyDescent="0.15">
      <c r="A45" s="1">
        <v>2013</v>
      </c>
      <c r="B45" s="3">
        <v>18388130</v>
      </c>
      <c r="C45" s="3">
        <v>0</v>
      </c>
      <c r="D45" s="3">
        <v>0</v>
      </c>
      <c r="E45" s="3">
        <v>13707932</v>
      </c>
      <c r="F45" s="3">
        <v>4515916</v>
      </c>
      <c r="G45" s="3">
        <v>0</v>
      </c>
      <c r="H45" s="3">
        <v>0</v>
      </c>
      <c r="I45" s="3">
        <v>0</v>
      </c>
      <c r="J45" s="3">
        <v>0</v>
      </c>
      <c r="K45" s="3">
        <v>32096062</v>
      </c>
      <c r="L45" s="3">
        <v>4515916</v>
      </c>
      <c r="M45" s="3">
        <v>0</v>
      </c>
      <c r="N45" s="3">
        <v>36611978</v>
      </c>
    </row>
    <row r="46" spans="1:15" x14ac:dyDescent="0.15">
      <c r="A46" s="1">
        <v>2014</v>
      </c>
      <c r="B46" s="3">
        <v>15108610</v>
      </c>
      <c r="C46" s="3">
        <v>0</v>
      </c>
      <c r="D46" s="3">
        <v>0</v>
      </c>
      <c r="E46" s="3">
        <v>14051079</v>
      </c>
      <c r="F46" s="3">
        <v>4498978</v>
      </c>
      <c r="G46" s="3">
        <v>0</v>
      </c>
      <c r="H46" s="3">
        <v>0</v>
      </c>
      <c r="I46" s="3">
        <v>0</v>
      </c>
      <c r="J46" s="3">
        <v>0</v>
      </c>
      <c r="K46" s="3">
        <v>29159689</v>
      </c>
      <c r="L46" s="3">
        <v>4498978</v>
      </c>
      <c r="M46" s="3">
        <v>0</v>
      </c>
      <c r="N46" s="3">
        <v>33658667</v>
      </c>
    </row>
    <row r="47" spans="1:15" x14ac:dyDescent="0.15">
      <c r="A47" s="1">
        <v>2015</v>
      </c>
      <c r="B47" s="3">
        <v>14868937</v>
      </c>
      <c r="C47" s="3">
        <v>0</v>
      </c>
      <c r="D47" s="3">
        <v>0</v>
      </c>
      <c r="E47" s="3">
        <v>13005964</v>
      </c>
      <c r="F47" s="3">
        <v>4346711</v>
      </c>
      <c r="G47" s="3">
        <v>0</v>
      </c>
      <c r="H47" s="3">
        <v>0</v>
      </c>
      <c r="I47" s="3">
        <v>0</v>
      </c>
      <c r="J47" s="3">
        <v>0</v>
      </c>
      <c r="K47" s="3">
        <v>27874901</v>
      </c>
      <c r="L47" s="3">
        <v>4346711</v>
      </c>
      <c r="M47" s="3">
        <v>0</v>
      </c>
      <c r="N47" s="3">
        <v>32221612</v>
      </c>
    </row>
    <row r="48" spans="1:15" x14ac:dyDescent="0.15">
      <c r="A48" s="1">
        <v>2016</v>
      </c>
      <c r="B48" s="3">
        <v>4953210</v>
      </c>
      <c r="C48" s="3">
        <v>0</v>
      </c>
      <c r="D48" s="3">
        <v>0</v>
      </c>
      <c r="E48" s="3">
        <v>2712031</v>
      </c>
      <c r="F48" s="3">
        <v>999160</v>
      </c>
      <c r="G48" s="3">
        <v>0</v>
      </c>
      <c r="H48" s="3">
        <v>0</v>
      </c>
      <c r="I48" s="3">
        <v>0</v>
      </c>
      <c r="J48" s="3">
        <v>0</v>
      </c>
      <c r="K48" s="3">
        <v>7665241</v>
      </c>
      <c r="L48" s="3">
        <v>999160</v>
      </c>
      <c r="M48" s="3">
        <v>0</v>
      </c>
      <c r="N48" s="3">
        <v>8664401</v>
      </c>
      <c r="O48" s="1" t="s">
        <v>315</v>
      </c>
    </row>
  </sheetData>
  <phoneticPr fontId="0" type="noConversion"/>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68</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1933525</v>
      </c>
      <c r="C6" s="3">
        <v>0</v>
      </c>
      <c r="D6" s="3">
        <v>0</v>
      </c>
      <c r="E6" s="3">
        <v>0</v>
      </c>
      <c r="F6" s="3">
        <v>0</v>
      </c>
      <c r="G6" s="3">
        <v>0</v>
      </c>
      <c r="H6" s="3">
        <v>0</v>
      </c>
      <c r="I6" s="3">
        <v>0</v>
      </c>
      <c r="J6" s="3">
        <v>0</v>
      </c>
      <c r="K6" s="3">
        <f t="shared" ref="K6:M21" si="0">+B6+E6+H6</f>
        <v>1933525</v>
      </c>
      <c r="L6" s="3">
        <f t="shared" si="0"/>
        <v>0</v>
      </c>
      <c r="M6" s="3">
        <f t="shared" si="0"/>
        <v>0</v>
      </c>
      <c r="N6" s="3">
        <f t="shared" ref="N6:N35" si="1">+M6+L6+K6</f>
        <v>1933525</v>
      </c>
      <c r="O6" s="1" t="s">
        <v>66</v>
      </c>
    </row>
    <row r="7" spans="1:15" x14ac:dyDescent="0.15">
      <c r="A7" s="1">
        <v>1975</v>
      </c>
      <c r="B7" s="3">
        <v>1958000</v>
      </c>
      <c r="C7" s="3">
        <v>0</v>
      </c>
      <c r="D7" s="3">
        <v>0</v>
      </c>
      <c r="E7" s="3">
        <f>66000+14000+3000</f>
        <v>83000</v>
      </c>
      <c r="F7" s="3">
        <v>0</v>
      </c>
      <c r="G7" s="3">
        <v>0</v>
      </c>
      <c r="H7" s="3">
        <v>0</v>
      </c>
      <c r="I7" s="3">
        <v>0</v>
      </c>
      <c r="J7" s="3">
        <v>0</v>
      </c>
      <c r="K7" s="3">
        <f t="shared" si="0"/>
        <v>2041000</v>
      </c>
      <c r="L7" s="3">
        <f t="shared" si="0"/>
        <v>0</v>
      </c>
      <c r="M7" s="3">
        <f t="shared" si="0"/>
        <v>0</v>
      </c>
      <c r="N7" s="3">
        <f t="shared" si="1"/>
        <v>2041000</v>
      </c>
    </row>
    <row r="8" spans="1:15" x14ac:dyDescent="0.15">
      <c r="A8" s="1">
        <v>1976</v>
      </c>
      <c r="B8" s="3">
        <v>2013000</v>
      </c>
      <c r="C8" s="3">
        <v>0</v>
      </c>
      <c r="D8" s="3">
        <v>0</v>
      </c>
      <c r="E8" s="3">
        <f>68000+11000+3000</f>
        <v>82000</v>
      </c>
      <c r="F8" s="3">
        <v>0</v>
      </c>
      <c r="G8" s="3">
        <v>0</v>
      </c>
      <c r="H8" s="3">
        <v>0</v>
      </c>
      <c r="I8" s="3">
        <v>0</v>
      </c>
      <c r="J8" s="3">
        <v>0</v>
      </c>
      <c r="K8" s="3">
        <f t="shared" si="0"/>
        <v>2095000</v>
      </c>
      <c r="L8" s="3">
        <f t="shared" si="0"/>
        <v>0</v>
      </c>
      <c r="M8" s="3">
        <f t="shared" si="0"/>
        <v>0</v>
      </c>
      <c r="N8" s="3">
        <f t="shared" si="1"/>
        <v>2095000</v>
      </c>
    </row>
    <row r="9" spans="1:15" x14ac:dyDescent="0.15">
      <c r="A9" s="1">
        <v>1977</v>
      </c>
      <c r="B9" s="3">
        <v>2300000</v>
      </c>
      <c r="C9" s="3">
        <v>0</v>
      </c>
      <c r="D9" s="3">
        <v>0</v>
      </c>
      <c r="E9" s="3">
        <f>70000+15000+3000</f>
        <v>88000</v>
      </c>
      <c r="F9" s="3">
        <v>0</v>
      </c>
      <c r="G9" s="3">
        <v>0</v>
      </c>
      <c r="H9" s="3">
        <v>0</v>
      </c>
      <c r="I9" s="3">
        <v>0</v>
      </c>
      <c r="J9" s="3">
        <v>0</v>
      </c>
      <c r="K9" s="3">
        <f t="shared" si="0"/>
        <v>2388000</v>
      </c>
      <c r="L9" s="3">
        <f t="shared" si="0"/>
        <v>0</v>
      </c>
      <c r="M9" s="3">
        <f t="shared" si="0"/>
        <v>0</v>
      </c>
      <c r="N9" s="3">
        <f t="shared" si="1"/>
        <v>2388000</v>
      </c>
    </row>
    <row r="10" spans="1:15" x14ac:dyDescent="0.15">
      <c r="A10" s="1">
        <v>1978</v>
      </c>
      <c r="B10" s="3">
        <v>2092000</v>
      </c>
      <c r="C10" s="3">
        <v>0</v>
      </c>
      <c r="D10" s="3">
        <v>0</v>
      </c>
      <c r="E10" s="3">
        <f>40000+10000+3000+652000</f>
        <v>705000</v>
      </c>
      <c r="F10" s="3">
        <v>0</v>
      </c>
      <c r="G10" s="3">
        <v>0</v>
      </c>
      <c r="H10" s="3">
        <v>0</v>
      </c>
      <c r="I10" s="3">
        <v>0</v>
      </c>
      <c r="J10" s="3">
        <v>0</v>
      </c>
      <c r="K10" s="3">
        <f t="shared" si="0"/>
        <v>2797000</v>
      </c>
      <c r="L10" s="3">
        <f t="shared" si="0"/>
        <v>0</v>
      </c>
      <c r="M10" s="3">
        <f t="shared" si="0"/>
        <v>0</v>
      </c>
      <c r="N10" s="3">
        <f t="shared" si="1"/>
        <v>2797000</v>
      </c>
      <c r="O10" s="1" t="s">
        <v>119</v>
      </c>
    </row>
    <row r="11" spans="1:15" x14ac:dyDescent="0.15">
      <c r="A11" s="1">
        <v>1979</v>
      </c>
      <c r="B11" s="3">
        <v>1069000</v>
      </c>
      <c r="C11" s="3">
        <v>0</v>
      </c>
      <c r="D11" s="3">
        <v>0</v>
      </c>
      <c r="E11" s="3">
        <f>641000+53000+11000+2000+1529000</f>
        <v>2236000</v>
      </c>
      <c r="F11" s="3">
        <v>0</v>
      </c>
      <c r="G11" s="3">
        <v>0</v>
      </c>
      <c r="H11" s="3">
        <v>0</v>
      </c>
      <c r="I11" s="3">
        <v>0</v>
      </c>
      <c r="J11" s="3">
        <v>0</v>
      </c>
      <c r="K11" s="3">
        <f t="shared" si="0"/>
        <v>3305000</v>
      </c>
      <c r="L11" s="3">
        <f t="shared" si="0"/>
        <v>0</v>
      </c>
      <c r="M11" s="3">
        <f t="shared" si="0"/>
        <v>0</v>
      </c>
      <c r="N11" s="3">
        <f t="shared" si="1"/>
        <v>3305000</v>
      </c>
      <c r="O11" s="1" t="s">
        <v>120</v>
      </c>
    </row>
    <row r="12" spans="1:15" x14ac:dyDescent="0.15">
      <c r="A12" s="1">
        <v>1980</v>
      </c>
      <c r="B12" s="3">
        <v>3792000</v>
      </c>
      <c r="C12" s="3">
        <v>0</v>
      </c>
      <c r="D12" s="3">
        <v>0</v>
      </c>
      <c r="E12" s="3">
        <v>0</v>
      </c>
      <c r="F12" s="3">
        <v>0</v>
      </c>
      <c r="G12" s="3">
        <v>0</v>
      </c>
      <c r="H12" s="3">
        <v>0</v>
      </c>
      <c r="I12" s="3">
        <v>0</v>
      </c>
      <c r="J12" s="3">
        <v>0</v>
      </c>
      <c r="K12" s="3">
        <f t="shared" si="0"/>
        <v>3792000</v>
      </c>
      <c r="L12" s="3">
        <f t="shared" si="0"/>
        <v>0</v>
      </c>
      <c r="M12" s="3">
        <f t="shared" si="0"/>
        <v>0</v>
      </c>
      <c r="N12" s="3">
        <f t="shared" si="1"/>
        <v>3792000</v>
      </c>
      <c r="O12" s="1" t="s">
        <v>128</v>
      </c>
    </row>
    <row r="13" spans="1:15" x14ac:dyDescent="0.15">
      <c r="A13" s="1">
        <v>1981</v>
      </c>
      <c r="B13" s="3">
        <v>4616000</v>
      </c>
      <c r="C13" s="3">
        <v>0</v>
      </c>
      <c r="D13" s="3">
        <v>0</v>
      </c>
      <c r="E13" s="3">
        <v>0</v>
      </c>
      <c r="F13" s="3">
        <v>0</v>
      </c>
      <c r="G13" s="3">
        <v>0</v>
      </c>
      <c r="H13" s="3">
        <v>0</v>
      </c>
      <c r="I13" s="3">
        <v>0</v>
      </c>
      <c r="J13" s="3">
        <v>0</v>
      </c>
      <c r="K13" s="3">
        <f t="shared" si="0"/>
        <v>4616000</v>
      </c>
      <c r="L13" s="3">
        <f t="shared" si="0"/>
        <v>0</v>
      </c>
      <c r="M13" s="3">
        <f t="shared" si="0"/>
        <v>0</v>
      </c>
      <c r="N13" s="3">
        <f t="shared" si="1"/>
        <v>4616000</v>
      </c>
    </row>
    <row r="14" spans="1:15" x14ac:dyDescent="0.15">
      <c r="A14" s="1">
        <v>1982</v>
      </c>
      <c r="B14" s="3">
        <v>5936000</v>
      </c>
      <c r="C14" s="3">
        <v>0</v>
      </c>
      <c r="D14" s="3">
        <v>0</v>
      </c>
      <c r="E14" s="3">
        <v>0</v>
      </c>
      <c r="F14" s="3">
        <v>0</v>
      </c>
      <c r="G14" s="3">
        <v>0</v>
      </c>
      <c r="H14" s="3">
        <v>0</v>
      </c>
      <c r="I14" s="3">
        <v>0</v>
      </c>
      <c r="J14" s="3">
        <v>0</v>
      </c>
      <c r="K14" s="3">
        <f t="shared" si="0"/>
        <v>5936000</v>
      </c>
      <c r="L14" s="3">
        <f t="shared" si="0"/>
        <v>0</v>
      </c>
      <c r="M14" s="3">
        <f t="shared" si="0"/>
        <v>0</v>
      </c>
      <c r="N14" s="3">
        <f t="shared" si="1"/>
        <v>5936000</v>
      </c>
    </row>
    <row r="15" spans="1:15" x14ac:dyDescent="0.15">
      <c r="A15" s="1">
        <v>1983</v>
      </c>
      <c r="B15" s="3">
        <v>6823000</v>
      </c>
      <c r="C15" s="3">
        <v>0</v>
      </c>
      <c r="D15" s="3">
        <v>0</v>
      </c>
      <c r="E15" s="3">
        <v>0</v>
      </c>
      <c r="F15" s="3">
        <v>0</v>
      </c>
      <c r="G15" s="3">
        <v>0</v>
      </c>
      <c r="H15" s="3">
        <v>0</v>
      </c>
      <c r="I15" s="3">
        <v>0</v>
      </c>
      <c r="J15" s="3">
        <v>0</v>
      </c>
      <c r="K15" s="3">
        <f t="shared" si="0"/>
        <v>6823000</v>
      </c>
      <c r="L15" s="3">
        <f t="shared" si="0"/>
        <v>0</v>
      </c>
      <c r="M15" s="3">
        <f t="shared" si="0"/>
        <v>0</v>
      </c>
      <c r="N15" s="3">
        <f t="shared" si="1"/>
        <v>6823000</v>
      </c>
    </row>
    <row r="16" spans="1:15" x14ac:dyDescent="0.15">
      <c r="A16" s="1">
        <v>1984</v>
      </c>
      <c r="B16" s="3">
        <v>7393000</v>
      </c>
      <c r="C16" s="3">
        <v>0</v>
      </c>
      <c r="D16" s="3">
        <v>0</v>
      </c>
      <c r="E16" s="3">
        <v>0</v>
      </c>
      <c r="F16" s="3">
        <v>0</v>
      </c>
      <c r="G16" s="3">
        <v>0</v>
      </c>
      <c r="H16" s="3">
        <v>0</v>
      </c>
      <c r="I16" s="3">
        <v>0</v>
      </c>
      <c r="J16" s="3">
        <v>0</v>
      </c>
      <c r="K16" s="3">
        <f t="shared" si="0"/>
        <v>7393000</v>
      </c>
      <c r="L16" s="3">
        <f t="shared" si="0"/>
        <v>0</v>
      </c>
      <c r="M16" s="3">
        <f t="shared" si="0"/>
        <v>0</v>
      </c>
      <c r="N16" s="3">
        <f t="shared" si="1"/>
        <v>7393000</v>
      </c>
    </row>
    <row r="17" spans="1:15" x14ac:dyDescent="0.15">
      <c r="A17" s="1">
        <v>1985</v>
      </c>
      <c r="B17" s="3">
        <v>7737000</v>
      </c>
      <c r="C17" s="3">
        <v>0</v>
      </c>
      <c r="D17" s="3">
        <v>0</v>
      </c>
      <c r="E17" s="3">
        <v>0</v>
      </c>
      <c r="F17" s="3">
        <v>0</v>
      </c>
      <c r="G17" s="3">
        <v>0</v>
      </c>
      <c r="H17" s="3">
        <v>0</v>
      </c>
      <c r="I17" s="3">
        <v>0</v>
      </c>
      <c r="J17" s="3">
        <v>0</v>
      </c>
      <c r="K17" s="3">
        <f t="shared" si="0"/>
        <v>7737000</v>
      </c>
      <c r="L17" s="3">
        <f t="shared" si="0"/>
        <v>0</v>
      </c>
      <c r="M17" s="3">
        <f t="shared" si="0"/>
        <v>0</v>
      </c>
      <c r="N17" s="3">
        <f t="shared" si="1"/>
        <v>7737000</v>
      </c>
    </row>
    <row r="18" spans="1:15" x14ac:dyDescent="0.15">
      <c r="A18" s="1">
        <v>1986</v>
      </c>
      <c r="B18" s="3">
        <v>8149000</v>
      </c>
      <c r="C18" s="3">
        <v>0</v>
      </c>
      <c r="D18" s="3">
        <v>0</v>
      </c>
      <c r="E18" s="3">
        <v>0</v>
      </c>
      <c r="F18" s="3">
        <v>0</v>
      </c>
      <c r="G18" s="3">
        <v>0</v>
      </c>
      <c r="H18" s="3">
        <v>0</v>
      </c>
      <c r="I18" s="3">
        <v>0</v>
      </c>
      <c r="J18" s="3">
        <v>0</v>
      </c>
      <c r="K18" s="3">
        <f t="shared" si="0"/>
        <v>8149000</v>
      </c>
      <c r="L18" s="3">
        <f t="shared" si="0"/>
        <v>0</v>
      </c>
      <c r="M18" s="3">
        <f t="shared" si="0"/>
        <v>0</v>
      </c>
      <c r="N18" s="3">
        <f t="shared" si="1"/>
        <v>8149000</v>
      </c>
    </row>
    <row r="19" spans="1:15" x14ac:dyDescent="0.15">
      <c r="A19" s="1">
        <v>1987</v>
      </c>
      <c r="B19" s="3">
        <v>8412000</v>
      </c>
      <c r="C19" s="3">
        <v>0</v>
      </c>
      <c r="D19" s="3">
        <v>0</v>
      </c>
      <c r="E19" s="3">
        <v>0</v>
      </c>
      <c r="F19" s="3">
        <v>0</v>
      </c>
      <c r="G19" s="3">
        <v>0</v>
      </c>
      <c r="H19" s="3">
        <v>0</v>
      </c>
      <c r="I19" s="3">
        <v>0</v>
      </c>
      <c r="J19" s="3">
        <v>0</v>
      </c>
      <c r="K19" s="3">
        <f t="shared" si="0"/>
        <v>8412000</v>
      </c>
      <c r="L19" s="3">
        <f t="shared" si="0"/>
        <v>0</v>
      </c>
      <c r="M19" s="3">
        <f t="shared" si="0"/>
        <v>0</v>
      </c>
      <c r="N19" s="3">
        <f t="shared" si="1"/>
        <v>8412000</v>
      </c>
    </row>
    <row r="20" spans="1:15" x14ac:dyDescent="0.15">
      <c r="A20" s="1">
        <v>1988</v>
      </c>
      <c r="B20" s="3">
        <v>9226000</v>
      </c>
      <c r="C20" s="3">
        <v>0</v>
      </c>
      <c r="D20" s="3">
        <v>0</v>
      </c>
      <c r="E20" s="3">
        <v>0</v>
      </c>
      <c r="F20" s="3">
        <v>0</v>
      </c>
      <c r="G20" s="3">
        <v>0</v>
      </c>
      <c r="H20" s="3">
        <v>520000</v>
      </c>
      <c r="I20" s="3">
        <v>0</v>
      </c>
      <c r="J20" s="3">
        <v>0</v>
      </c>
      <c r="K20" s="3">
        <f t="shared" si="0"/>
        <v>9746000</v>
      </c>
      <c r="L20" s="3">
        <f t="shared" si="0"/>
        <v>0</v>
      </c>
      <c r="M20" s="3">
        <f t="shared" si="0"/>
        <v>0</v>
      </c>
      <c r="N20" s="3">
        <f t="shared" si="1"/>
        <v>9746000</v>
      </c>
      <c r="O20" s="1" t="s">
        <v>172</v>
      </c>
    </row>
    <row r="21" spans="1:15" x14ac:dyDescent="0.15">
      <c r="A21" s="1">
        <v>1989</v>
      </c>
      <c r="B21" s="3">
        <v>9130000</v>
      </c>
      <c r="C21" s="3">
        <v>0</v>
      </c>
      <c r="D21" s="3">
        <v>0</v>
      </c>
      <c r="E21" s="3">
        <v>0</v>
      </c>
      <c r="F21" s="3">
        <v>0</v>
      </c>
      <c r="G21" s="3">
        <v>0</v>
      </c>
      <c r="H21" s="3">
        <v>120000</v>
      </c>
      <c r="I21" s="3">
        <v>0</v>
      </c>
      <c r="J21" s="3">
        <v>0</v>
      </c>
      <c r="K21" s="3">
        <f t="shared" si="0"/>
        <v>9250000</v>
      </c>
      <c r="L21" s="3">
        <f t="shared" si="0"/>
        <v>0</v>
      </c>
      <c r="M21" s="3">
        <f t="shared" si="0"/>
        <v>0</v>
      </c>
      <c r="N21" s="3">
        <f t="shared" si="1"/>
        <v>9250000</v>
      </c>
    </row>
    <row r="22" spans="1:15" x14ac:dyDescent="0.15">
      <c r="A22" s="1">
        <v>1990</v>
      </c>
      <c r="B22" s="3">
        <v>10134000</v>
      </c>
      <c r="C22" s="3">
        <v>0</v>
      </c>
      <c r="D22" s="3">
        <v>0</v>
      </c>
      <c r="E22" s="3">
        <v>0</v>
      </c>
      <c r="F22" s="3">
        <v>0</v>
      </c>
      <c r="G22" s="3">
        <v>0</v>
      </c>
      <c r="H22" s="3">
        <v>120000</v>
      </c>
      <c r="I22" s="3">
        <v>0</v>
      </c>
      <c r="J22" s="3">
        <v>0</v>
      </c>
      <c r="K22" s="3">
        <f t="shared" ref="K22:M35" si="2">+B22+E22+H22</f>
        <v>10254000</v>
      </c>
      <c r="L22" s="3">
        <f t="shared" si="2"/>
        <v>0</v>
      </c>
      <c r="M22" s="3">
        <f t="shared" si="2"/>
        <v>0</v>
      </c>
      <c r="N22" s="3">
        <f t="shared" si="1"/>
        <v>10254000</v>
      </c>
    </row>
    <row r="23" spans="1:15" x14ac:dyDescent="0.15">
      <c r="A23" s="1">
        <v>1991</v>
      </c>
      <c r="B23" s="3">
        <v>10067000</v>
      </c>
      <c r="C23" s="3">
        <v>0</v>
      </c>
      <c r="D23" s="3">
        <v>0</v>
      </c>
      <c r="E23" s="3">
        <v>0</v>
      </c>
      <c r="F23" s="3">
        <v>0</v>
      </c>
      <c r="G23" s="3">
        <v>0</v>
      </c>
      <c r="H23" s="3">
        <v>123000</v>
      </c>
      <c r="I23" s="3">
        <v>0</v>
      </c>
      <c r="J23" s="3">
        <v>0</v>
      </c>
      <c r="K23" s="3">
        <f t="shared" si="2"/>
        <v>10190000</v>
      </c>
      <c r="L23" s="3">
        <f t="shared" si="2"/>
        <v>0</v>
      </c>
      <c r="M23" s="3">
        <f t="shared" si="2"/>
        <v>0</v>
      </c>
      <c r="N23" s="3">
        <f t="shared" si="1"/>
        <v>10190000</v>
      </c>
    </row>
    <row r="24" spans="1:15" x14ac:dyDescent="0.15">
      <c r="A24" s="1">
        <v>1992</v>
      </c>
      <c r="B24" s="3">
        <v>9084000</v>
      </c>
      <c r="C24" s="3">
        <v>0</v>
      </c>
      <c r="D24" s="3">
        <v>0</v>
      </c>
      <c r="E24" s="3">
        <v>0</v>
      </c>
      <c r="F24" s="3">
        <v>0</v>
      </c>
      <c r="G24" s="3">
        <v>0</v>
      </c>
      <c r="H24" s="3">
        <v>53000</v>
      </c>
      <c r="I24" s="3">
        <v>0</v>
      </c>
      <c r="J24" s="3">
        <v>0</v>
      </c>
      <c r="K24" s="3">
        <f t="shared" si="2"/>
        <v>9137000</v>
      </c>
      <c r="L24" s="3">
        <f t="shared" si="2"/>
        <v>0</v>
      </c>
      <c r="M24" s="3">
        <f t="shared" si="2"/>
        <v>0</v>
      </c>
      <c r="N24" s="3">
        <f t="shared" si="1"/>
        <v>9137000</v>
      </c>
    </row>
    <row r="25" spans="1:15" x14ac:dyDescent="0.15">
      <c r="A25" s="1">
        <v>1993</v>
      </c>
      <c r="B25" s="3">
        <v>9586000</v>
      </c>
      <c r="C25" s="3">
        <v>0</v>
      </c>
      <c r="D25" s="3">
        <v>0</v>
      </c>
      <c r="E25" s="3">
        <v>0</v>
      </c>
      <c r="F25" s="3">
        <v>0</v>
      </c>
      <c r="G25" s="3">
        <v>0</v>
      </c>
      <c r="H25" s="3">
        <v>0</v>
      </c>
      <c r="I25" s="3">
        <v>0</v>
      </c>
      <c r="J25" s="3">
        <v>0</v>
      </c>
      <c r="K25" s="3">
        <f t="shared" si="2"/>
        <v>9586000</v>
      </c>
      <c r="L25" s="3">
        <f t="shared" si="2"/>
        <v>0</v>
      </c>
      <c r="M25" s="3">
        <f t="shared" si="2"/>
        <v>0</v>
      </c>
      <c r="N25" s="3">
        <f t="shared" si="1"/>
        <v>9586000</v>
      </c>
    </row>
    <row r="26" spans="1:15" x14ac:dyDescent="0.15">
      <c r="A26" s="1">
        <v>1994</v>
      </c>
      <c r="B26" s="3">
        <v>6500000</v>
      </c>
      <c r="C26" s="3">
        <v>0</v>
      </c>
      <c r="D26" s="3">
        <v>0</v>
      </c>
      <c r="E26" s="3">
        <v>0</v>
      </c>
      <c r="F26" s="3">
        <v>0</v>
      </c>
      <c r="G26" s="3">
        <v>0</v>
      </c>
      <c r="H26" s="3">
        <v>0</v>
      </c>
      <c r="I26" s="3">
        <v>0</v>
      </c>
      <c r="J26" s="3">
        <v>0</v>
      </c>
      <c r="K26" s="3">
        <f t="shared" si="2"/>
        <v>6500000</v>
      </c>
      <c r="L26" s="3">
        <f t="shared" si="2"/>
        <v>0</v>
      </c>
      <c r="M26" s="3">
        <f t="shared" si="2"/>
        <v>0</v>
      </c>
      <c r="N26" s="3">
        <f t="shared" si="1"/>
        <v>6500000</v>
      </c>
    </row>
    <row r="27" spans="1:15" x14ac:dyDescent="0.15">
      <c r="A27" s="1">
        <v>1995</v>
      </c>
      <c r="B27" s="3">
        <v>6340000</v>
      </c>
      <c r="C27" s="3">
        <v>0</v>
      </c>
      <c r="D27" s="3">
        <v>0</v>
      </c>
      <c r="E27" s="3">
        <v>0</v>
      </c>
      <c r="F27" s="3">
        <v>0</v>
      </c>
      <c r="G27" s="3">
        <v>0</v>
      </c>
      <c r="H27" s="3">
        <v>0</v>
      </c>
      <c r="I27" s="3">
        <v>0</v>
      </c>
      <c r="J27" s="3">
        <v>0</v>
      </c>
      <c r="K27" s="3">
        <f t="shared" si="2"/>
        <v>6340000</v>
      </c>
      <c r="L27" s="3">
        <f t="shared" si="2"/>
        <v>0</v>
      </c>
      <c r="M27" s="3">
        <f t="shared" si="2"/>
        <v>0</v>
      </c>
      <c r="N27" s="3">
        <f t="shared" si="1"/>
        <v>6340000</v>
      </c>
    </row>
    <row r="28" spans="1:15" x14ac:dyDescent="0.15">
      <c r="A28" s="1">
        <v>1996</v>
      </c>
      <c r="B28" s="3">
        <v>5740711</v>
      </c>
      <c r="C28" s="3">
        <v>0</v>
      </c>
      <c r="D28" s="3">
        <v>0</v>
      </c>
      <c r="E28" s="3">
        <v>0</v>
      </c>
      <c r="F28" s="3">
        <v>0</v>
      </c>
      <c r="G28" s="3">
        <v>0</v>
      </c>
      <c r="H28" s="3">
        <v>0</v>
      </c>
      <c r="I28" s="3">
        <v>0</v>
      </c>
      <c r="J28" s="3">
        <v>0</v>
      </c>
      <c r="K28" s="3">
        <f t="shared" si="2"/>
        <v>5740711</v>
      </c>
      <c r="L28" s="3">
        <f t="shared" si="2"/>
        <v>0</v>
      </c>
      <c r="M28" s="3">
        <f t="shared" si="2"/>
        <v>0</v>
      </c>
      <c r="N28" s="3">
        <f t="shared" si="1"/>
        <v>5740711</v>
      </c>
    </row>
    <row r="29" spans="1:15" x14ac:dyDescent="0.15">
      <c r="A29" s="1">
        <v>1997</v>
      </c>
      <c r="B29" s="3">
        <v>4239360</v>
      </c>
      <c r="C29" s="3">
        <v>0</v>
      </c>
      <c r="D29" s="3">
        <v>0</v>
      </c>
      <c r="E29" s="3">
        <f>5699000-B29</f>
        <v>1459640</v>
      </c>
      <c r="F29" s="3">
        <v>0</v>
      </c>
      <c r="G29" s="3">
        <v>0</v>
      </c>
      <c r="H29" s="3">
        <v>0</v>
      </c>
      <c r="I29" s="3">
        <v>0</v>
      </c>
      <c r="J29" s="3">
        <v>0</v>
      </c>
      <c r="K29" s="3">
        <f t="shared" si="2"/>
        <v>5699000</v>
      </c>
      <c r="L29" s="3">
        <f t="shared" si="2"/>
        <v>0</v>
      </c>
      <c r="M29" s="3">
        <f t="shared" si="2"/>
        <v>0</v>
      </c>
      <c r="N29" s="3">
        <f t="shared" si="1"/>
        <v>5699000</v>
      </c>
    </row>
    <row r="30" spans="1:15" x14ac:dyDescent="0.15">
      <c r="A30" s="1">
        <v>1998</v>
      </c>
      <c r="B30" s="3">
        <f>3054105+1374949+1582964</f>
        <v>6012018</v>
      </c>
      <c r="C30" s="3">
        <v>0</v>
      </c>
      <c r="D30" s="3">
        <v>0</v>
      </c>
      <c r="E30" s="3">
        <v>0</v>
      </c>
      <c r="F30" s="3">
        <v>0</v>
      </c>
      <c r="G30" s="3">
        <v>0</v>
      </c>
      <c r="H30" s="3">
        <v>0</v>
      </c>
      <c r="I30" s="3">
        <v>0</v>
      </c>
      <c r="J30" s="3">
        <v>0</v>
      </c>
      <c r="K30" s="3">
        <f t="shared" si="2"/>
        <v>6012018</v>
      </c>
      <c r="L30" s="3">
        <f t="shared" si="2"/>
        <v>0</v>
      </c>
      <c r="M30" s="3">
        <f t="shared" si="2"/>
        <v>0</v>
      </c>
      <c r="N30" s="3">
        <f t="shared" si="1"/>
        <v>6012018</v>
      </c>
      <c r="O30" s="1" t="s">
        <v>228</v>
      </c>
    </row>
    <row r="31" spans="1:15" x14ac:dyDescent="0.15">
      <c r="A31" s="1">
        <v>1999</v>
      </c>
      <c r="B31" s="3">
        <v>5717136</v>
      </c>
      <c r="C31" s="3">
        <v>0</v>
      </c>
      <c r="D31" s="3">
        <v>0</v>
      </c>
      <c r="E31" s="3">
        <v>0</v>
      </c>
      <c r="F31" s="3">
        <v>0</v>
      </c>
      <c r="G31" s="3">
        <v>0</v>
      </c>
      <c r="H31" s="3">
        <v>0</v>
      </c>
      <c r="I31" s="3">
        <v>0</v>
      </c>
      <c r="J31" s="3">
        <v>0</v>
      </c>
      <c r="K31" s="3">
        <f t="shared" si="2"/>
        <v>5717136</v>
      </c>
      <c r="L31" s="3">
        <f t="shared" si="2"/>
        <v>0</v>
      </c>
      <c r="M31" s="3">
        <f t="shared" si="2"/>
        <v>0</v>
      </c>
      <c r="N31" s="3">
        <f t="shared" si="1"/>
        <v>5717136</v>
      </c>
    </row>
    <row r="32" spans="1:15" x14ac:dyDescent="0.15">
      <c r="A32" s="1">
        <v>2000</v>
      </c>
      <c r="B32" s="3">
        <v>6098118</v>
      </c>
      <c r="C32" s="3">
        <v>0</v>
      </c>
      <c r="D32" s="3">
        <v>0</v>
      </c>
      <c r="E32" s="3">
        <v>0</v>
      </c>
      <c r="F32" s="3">
        <v>0</v>
      </c>
      <c r="G32" s="3">
        <v>0</v>
      </c>
      <c r="H32" s="3">
        <v>0</v>
      </c>
      <c r="I32" s="3">
        <v>0</v>
      </c>
      <c r="J32" s="3">
        <v>0</v>
      </c>
      <c r="K32" s="3">
        <f t="shared" si="2"/>
        <v>6098118</v>
      </c>
      <c r="L32" s="3">
        <f t="shared" si="2"/>
        <v>0</v>
      </c>
      <c r="M32" s="3">
        <f t="shared" si="2"/>
        <v>0</v>
      </c>
      <c r="N32" s="3">
        <f t="shared" si="1"/>
        <v>6098118</v>
      </c>
    </row>
    <row r="33" spans="1:15" x14ac:dyDescent="0.15">
      <c r="A33" s="1">
        <v>2001</v>
      </c>
      <c r="B33" s="3">
        <f>3100243+1480474+1582788</f>
        <v>6163505</v>
      </c>
      <c r="C33" s="3">
        <v>0</v>
      </c>
      <c r="D33" s="3">
        <v>0</v>
      </c>
      <c r="E33" s="3">
        <v>0</v>
      </c>
      <c r="F33" s="3">
        <v>0</v>
      </c>
      <c r="G33" s="3">
        <v>0</v>
      </c>
      <c r="H33" s="3">
        <v>0</v>
      </c>
      <c r="I33" s="3">
        <v>0</v>
      </c>
      <c r="J33" s="3">
        <v>0</v>
      </c>
      <c r="K33" s="3">
        <f t="shared" si="2"/>
        <v>6163505</v>
      </c>
      <c r="L33" s="3">
        <f t="shared" si="2"/>
        <v>0</v>
      </c>
      <c r="M33" s="3">
        <f t="shared" si="2"/>
        <v>0</v>
      </c>
      <c r="N33" s="3">
        <f t="shared" si="1"/>
        <v>6163505</v>
      </c>
    </row>
    <row r="34" spans="1:15" x14ac:dyDescent="0.15">
      <c r="A34" s="1">
        <v>2002</v>
      </c>
      <c r="B34" s="3">
        <v>6077457</v>
      </c>
      <c r="C34" s="3">
        <v>0</v>
      </c>
      <c r="D34" s="3">
        <v>0</v>
      </c>
      <c r="E34" s="3">
        <v>0</v>
      </c>
      <c r="F34" s="3">
        <v>0</v>
      </c>
      <c r="G34" s="3">
        <v>0</v>
      </c>
      <c r="H34" s="3">
        <v>0</v>
      </c>
      <c r="I34" s="3">
        <v>0</v>
      </c>
      <c r="J34" s="3">
        <v>0</v>
      </c>
      <c r="K34" s="3">
        <f t="shared" si="2"/>
        <v>6077457</v>
      </c>
      <c r="L34" s="3">
        <f t="shared" si="2"/>
        <v>0</v>
      </c>
      <c r="M34" s="3">
        <f t="shared" si="2"/>
        <v>0</v>
      </c>
      <c r="N34" s="3">
        <f t="shared" si="1"/>
        <v>6077457</v>
      </c>
    </row>
    <row r="35" spans="1:15" x14ac:dyDescent="0.15">
      <c r="A35" s="1">
        <v>2003</v>
      </c>
      <c r="B35" s="3">
        <v>6309894</v>
      </c>
      <c r="C35" s="3">
        <v>0</v>
      </c>
      <c r="D35" s="3">
        <v>0</v>
      </c>
      <c r="E35" s="3">
        <v>0</v>
      </c>
      <c r="F35" s="3">
        <v>0</v>
      </c>
      <c r="G35" s="3">
        <v>0</v>
      </c>
      <c r="H35" s="3">
        <v>0</v>
      </c>
      <c r="I35" s="3">
        <v>0</v>
      </c>
      <c r="J35" s="3">
        <v>470269</v>
      </c>
      <c r="K35" s="3">
        <f t="shared" si="2"/>
        <v>6309894</v>
      </c>
      <c r="L35" s="3">
        <f t="shared" si="2"/>
        <v>0</v>
      </c>
      <c r="M35" s="3">
        <f t="shared" si="2"/>
        <v>470269</v>
      </c>
      <c r="N35" s="3">
        <f t="shared" si="1"/>
        <v>6780163</v>
      </c>
    </row>
    <row r="36" spans="1:15" x14ac:dyDescent="0.15">
      <c r="A36" s="1">
        <v>2004</v>
      </c>
      <c r="B36" s="3">
        <v>12171957</v>
      </c>
      <c r="C36" s="3">
        <v>0</v>
      </c>
      <c r="D36" s="3">
        <v>0</v>
      </c>
      <c r="E36" s="3">
        <v>124508</v>
      </c>
      <c r="F36" s="3">
        <v>0</v>
      </c>
      <c r="G36" s="3">
        <v>0</v>
      </c>
      <c r="H36" s="3">
        <v>0</v>
      </c>
      <c r="I36" s="3">
        <v>0</v>
      </c>
      <c r="J36" s="3">
        <v>0</v>
      </c>
      <c r="K36" s="3">
        <v>12296465</v>
      </c>
      <c r="L36" s="3">
        <v>0</v>
      </c>
      <c r="M36" s="3">
        <v>0</v>
      </c>
      <c r="N36" s="3">
        <v>12296465</v>
      </c>
      <c r="O36" s="1" t="s">
        <v>316</v>
      </c>
    </row>
    <row r="37" spans="1:15" x14ac:dyDescent="0.15">
      <c r="A37" s="1">
        <v>2005</v>
      </c>
      <c r="B37" s="3">
        <v>13820974</v>
      </c>
      <c r="C37" s="3">
        <v>0</v>
      </c>
      <c r="D37" s="3">
        <v>0</v>
      </c>
      <c r="E37" s="3">
        <v>0</v>
      </c>
      <c r="F37" s="3">
        <v>0</v>
      </c>
      <c r="G37" s="3">
        <v>0</v>
      </c>
      <c r="H37" s="3">
        <v>0</v>
      </c>
      <c r="I37" s="3">
        <v>0</v>
      </c>
      <c r="J37" s="3">
        <v>124508</v>
      </c>
      <c r="K37" s="3">
        <v>13820974</v>
      </c>
      <c r="L37" s="3">
        <v>0</v>
      </c>
      <c r="M37" s="3">
        <v>124508</v>
      </c>
      <c r="N37" s="3">
        <v>13945482</v>
      </c>
    </row>
    <row r="38" spans="1:15" x14ac:dyDescent="0.15">
      <c r="A38" s="1">
        <v>2006</v>
      </c>
      <c r="B38" s="3">
        <v>12883010</v>
      </c>
      <c r="C38" s="3">
        <v>0</v>
      </c>
      <c r="D38" s="3">
        <v>0</v>
      </c>
      <c r="E38" s="3">
        <v>0</v>
      </c>
      <c r="F38" s="3">
        <v>0</v>
      </c>
      <c r="G38" s="3">
        <v>0</v>
      </c>
      <c r="H38" s="3">
        <v>0</v>
      </c>
      <c r="I38" s="3">
        <v>0</v>
      </c>
      <c r="J38" s="3">
        <v>0</v>
      </c>
      <c r="K38" s="3">
        <v>12883010</v>
      </c>
      <c r="L38" s="3">
        <v>0</v>
      </c>
      <c r="M38" s="3">
        <v>0</v>
      </c>
      <c r="N38" s="3">
        <v>12883010</v>
      </c>
    </row>
    <row r="39" spans="1:15" x14ac:dyDescent="0.15">
      <c r="A39" s="1">
        <v>2007</v>
      </c>
      <c r="B39" s="3">
        <v>13020588</v>
      </c>
      <c r="C39" s="3">
        <v>0</v>
      </c>
      <c r="D39" s="3">
        <v>0</v>
      </c>
      <c r="E39" s="3">
        <v>0</v>
      </c>
      <c r="F39" s="3">
        <v>0</v>
      </c>
      <c r="G39" s="3">
        <v>0</v>
      </c>
      <c r="H39" s="3">
        <v>0</v>
      </c>
      <c r="I39" s="3">
        <v>0</v>
      </c>
      <c r="J39" s="3">
        <v>0</v>
      </c>
      <c r="K39" s="3">
        <v>13020588</v>
      </c>
      <c r="L39" s="3">
        <v>0</v>
      </c>
      <c r="M39" s="3">
        <v>0</v>
      </c>
      <c r="N39" s="3">
        <v>13020588</v>
      </c>
    </row>
    <row r="40" spans="1:15" x14ac:dyDescent="0.15">
      <c r="A40" s="1">
        <v>2008</v>
      </c>
      <c r="B40" s="3">
        <v>15336356</v>
      </c>
      <c r="C40" s="3">
        <v>0</v>
      </c>
      <c r="D40" s="3">
        <v>0</v>
      </c>
      <c r="E40" s="3">
        <v>0</v>
      </c>
      <c r="F40" s="3">
        <v>0</v>
      </c>
      <c r="G40" s="3">
        <v>0</v>
      </c>
      <c r="H40" s="3">
        <v>0</v>
      </c>
      <c r="I40" s="3">
        <v>0</v>
      </c>
      <c r="J40" s="3">
        <v>0</v>
      </c>
      <c r="K40" s="3">
        <v>15336356</v>
      </c>
      <c r="L40" s="3">
        <v>0</v>
      </c>
      <c r="M40" s="3">
        <v>0</v>
      </c>
      <c r="N40" s="3">
        <v>15336356</v>
      </c>
    </row>
    <row r="41" spans="1:15" x14ac:dyDescent="0.15">
      <c r="A41" s="1">
        <v>2009</v>
      </c>
      <c r="B41" s="3">
        <v>10652485</v>
      </c>
      <c r="C41" s="3">
        <v>0</v>
      </c>
      <c r="D41" s="3">
        <v>0</v>
      </c>
      <c r="E41" s="3">
        <v>0</v>
      </c>
      <c r="F41" s="3">
        <v>0</v>
      </c>
      <c r="G41" s="3">
        <v>0</v>
      </c>
      <c r="H41" s="3">
        <v>0</v>
      </c>
      <c r="I41" s="3">
        <v>0</v>
      </c>
      <c r="J41" s="3">
        <v>0</v>
      </c>
      <c r="K41" s="3">
        <v>10652485</v>
      </c>
      <c r="L41" s="3">
        <v>0</v>
      </c>
      <c r="M41" s="3">
        <v>0</v>
      </c>
      <c r="N41" s="3">
        <v>10652485</v>
      </c>
    </row>
    <row r="42" spans="1:15" x14ac:dyDescent="0.15">
      <c r="A42" s="1">
        <v>2010</v>
      </c>
      <c r="B42" s="3">
        <v>11001880</v>
      </c>
      <c r="C42" s="3">
        <v>0</v>
      </c>
      <c r="D42" s="3">
        <v>0</v>
      </c>
      <c r="E42" s="3">
        <v>0</v>
      </c>
      <c r="F42" s="3">
        <v>0</v>
      </c>
      <c r="G42" s="3">
        <v>0</v>
      </c>
      <c r="H42" s="3">
        <v>0</v>
      </c>
      <c r="I42" s="3">
        <v>0</v>
      </c>
      <c r="J42" s="3">
        <v>0</v>
      </c>
      <c r="K42" s="3">
        <v>11001880</v>
      </c>
      <c r="L42" s="3">
        <v>0</v>
      </c>
      <c r="M42" s="3">
        <v>0</v>
      </c>
      <c r="N42" s="3">
        <v>11001880</v>
      </c>
    </row>
    <row r="43" spans="1:15" x14ac:dyDescent="0.15">
      <c r="A43" s="1">
        <v>2011</v>
      </c>
      <c r="B43" s="3">
        <v>13169812</v>
      </c>
      <c r="C43" s="3">
        <v>0</v>
      </c>
      <c r="D43" s="3">
        <v>0</v>
      </c>
      <c r="E43" s="3">
        <v>0</v>
      </c>
      <c r="F43" s="3">
        <v>0</v>
      </c>
      <c r="G43" s="3">
        <v>0</v>
      </c>
      <c r="H43" s="3">
        <v>0</v>
      </c>
      <c r="I43" s="3">
        <v>0</v>
      </c>
      <c r="J43" s="3">
        <v>0</v>
      </c>
      <c r="K43" s="3">
        <v>13169812</v>
      </c>
      <c r="L43" s="3">
        <v>0</v>
      </c>
      <c r="M43" s="3">
        <v>0</v>
      </c>
      <c r="N43" s="3">
        <v>13169812</v>
      </c>
    </row>
    <row r="44" spans="1:15" x14ac:dyDescent="0.15">
      <c r="A44" s="1">
        <v>2012</v>
      </c>
      <c r="B44" s="3">
        <v>12608867</v>
      </c>
      <c r="C44" s="3">
        <v>0</v>
      </c>
      <c r="D44" s="3">
        <v>0</v>
      </c>
      <c r="E44" s="3">
        <v>0</v>
      </c>
      <c r="F44" s="3">
        <v>0</v>
      </c>
      <c r="G44" s="3">
        <v>0</v>
      </c>
      <c r="H44" s="3">
        <v>0</v>
      </c>
      <c r="I44" s="3">
        <v>0</v>
      </c>
      <c r="J44" s="3">
        <v>0</v>
      </c>
      <c r="K44" s="3">
        <v>12608867</v>
      </c>
      <c r="L44" s="3">
        <v>0</v>
      </c>
      <c r="M44" s="3">
        <v>0</v>
      </c>
      <c r="N44" s="3">
        <v>12608867</v>
      </c>
    </row>
    <row r="45" spans="1:15" x14ac:dyDescent="0.15">
      <c r="A45" s="1">
        <v>2013</v>
      </c>
      <c r="B45" s="3">
        <v>12406003</v>
      </c>
      <c r="C45" s="3">
        <v>0</v>
      </c>
      <c r="D45" s="3">
        <v>0</v>
      </c>
      <c r="E45" s="3">
        <v>0</v>
      </c>
      <c r="F45" s="3">
        <v>0</v>
      </c>
      <c r="G45" s="3">
        <v>0</v>
      </c>
      <c r="H45" s="3">
        <v>0</v>
      </c>
      <c r="I45" s="3">
        <v>0</v>
      </c>
      <c r="J45" s="3">
        <v>0</v>
      </c>
      <c r="K45" s="3">
        <v>12406003</v>
      </c>
      <c r="L45" s="3">
        <v>0</v>
      </c>
      <c r="M45" s="3">
        <v>0</v>
      </c>
      <c r="N45" s="3">
        <v>12406003</v>
      </c>
    </row>
    <row r="46" spans="1:15" x14ac:dyDescent="0.15">
      <c r="A46" s="1">
        <v>2014</v>
      </c>
      <c r="B46" s="3">
        <v>11921059</v>
      </c>
      <c r="C46" s="3">
        <v>0</v>
      </c>
      <c r="D46" s="3">
        <v>0</v>
      </c>
      <c r="E46" s="3">
        <v>0</v>
      </c>
      <c r="F46" s="3">
        <v>0</v>
      </c>
      <c r="G46" s="3">
        <v>0</v>
      </c>
      <c r="H46" s="3">
        <v>0</v>
      </c>
      <c r="I46" s="3">
        <v>0</v>
      </c>
      <c r="J46" s="3">
        <v>0</v>
      </c>
      <c r="K46" s="3">
        <v>11921059</v>
      </c>
      <c r="L46" s="3">
        <v>0</v>
      </c>
      <c r="M46" s="3">
        <v>0</v>
      </c>
      <c r="N46" s="3">
        <v>11921059</v>
      </c>
    </row>
    <row r="47" spans="1:15" x14ac:dyDescent="0.15">
      <c r="A47" s="1">
        <v>2015</v>
      </c>
      <c r="B47" s="3">
        <v>7365566</v>
      </c>
      <c r="C47" s="3">
        <v>0</v>
      </c>
      <c r="D47" s="3">
        <v>0</v>
      </c>
      <c r="E47" s="3">
        <v>0</v>
      </c>
      <c r="F47" s="3">
        <v>0</v>
      </c>
      <c r="G47" s="3">
        <v>0</v>
      </c>
      <c r="H47" s="3">
        <v>0</v>
      </c>
      <c r="I47" s="3">
        <v>0</v>
      </c>
      <c r="J47" s="3">
        <v>0</v>
      </c>
      <c r="K47" s="3">
        <v>7365566</v>
      </c>
      <c r="L47" s="3">
        <v>0</v>
      </c>
      <c r="M47" s="3">
        <v>0</v>
      </c>
      <c r="N47" s="3">
        <v>7365566</v>
      </c>
    </row>
    <row r="48" spans="1:15" x14ac:dyDescent="0.15">
      <c r="A48" s="1">
        <v>2016</v>
      </c>
      <c r="B48" s="3">
        <v>7786472</v>
      </c>
      <c r="C48" s="3">
        <v>0</v>
      </c>
      <c r="D48" s="3">
        <v>0</v>
      </c>
      <c r="E48" s="3">
        <v>0</v>
      </c>
      <c r="F48" s="3">
        <v>0</v>
      </c>
      <c r="G48" s="3">
        <v>0</v>
      </c>
      <c r="H48" s="3">
        <v>0</v>
      </c>
      <c r="I48" s="3">
        <v>0</v>
      </c>
      <c r="J48" s="3">
        <v>0</v>
      </c>
      <c r="K48" s="3">
        <v>7786472</v>
      </c>
      <c r="L48" s="3">
        <v>0</v>
      </c>
      <c r="M48" s="3">
        <v>0</v>
      </c>
      <c r="N48" s="3">
        <v>7786472</v>
      </c>
    </row>
  </sheetData>
  <phoneticPr fontId="0"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zoomScale="85" workbookViewId="0"/>
  </sheetViews>
  <sheetFormatPr defaultColWidth="10.625" defaultRowHeight="11.25" x14ac:dyDescent="0.15"/>
  <cols>
    <col min="1" max="2" width="10.625" style="1"/>
    <col min="3" max="3" width="11.125" style="1" bestFit="1" customWidth="1"/>
    <col min="4" max="7" width="10.625" style="1"/>
    <col min="8" max="8" width="11.625" style="1" customWidth="1"/>
    <col min="9" max="10" width="10.625" style="1"/>
    <col min="11" max="11" width="12.625" style="1" customWidth="1"/>
    <col min="12" max="13" width="10.625" style="1"/>
    <col min="14" max="14" width="12.5" style="1" customWidth="1"/>
    <col min="15" max="16384" width="10.625" style="1"/>
  </cols>
  <sheetData>
    <row r="1" spans="1:15" x14ac:dyDescent="0.15">
      <c r="A1" s="1" t="s">
        <v>69</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3849600</v>
      </c>
      <c r="C6" s="3">
        <v>0</v>
      </c>
      <c r="D6" s="3">
        <v>0</v>
      </c>
      <c r="E6" s="3">
        <v>0</v>
      </c>
      <c r="F6" s="3">
        <v>0</v>
      </c>
      <c r="G6" s="3">
        <v>0</v>
      </c>
      <c r="H6" s="3">
        <v>0</v>
      </c>
      <c r="I6" s="3">
        <v>0</v>
      </c>
      <c r="J6" s="3">
        <v>0</v>
      </c>
      <c r="K6" s="3">
        <f t="shared" ref="K6:M21" si="0">+B6+E6+H6</f>
        <v>3849600</v>
      </c>
      <c r="L6" s="3">
        <f t="shared" si="0"/>
        <v>0</v>
      </c>
      <c r="M6" s="3">
        <f t="shared" si="0"/>
        <v>0</v>
      </c>
      <c r="N6" s="3">
        <f t="shared" ref="N6:N35" si="1">+M6+L6+K6</f>
        <v>3849600</v>
      </c>
      <c r="O6" s="1" t="s">
        <v>41</v>
      </c>
    </row>
    <row r="7" spans="1:15" x14ac:dyDescent="0.15">
      <c r="A7" s="1">
        <v>1975</v>
      </c>
      <c r="B7" s="3">
        <v>6291000</v>
      </c>
      <c r="C7" s="3">
        <v>0</v>
      </c>
      <c r="D7" s="3">
        <v>0</v>
      </c>
      <c r="E7" s="3">
        <v>0</v>
      </c>
      <c r="F7" s="3">
        <v>0</v>
      </c>
      <c r="G7" s="3">
        <v>0</v>
      </c>
      <c r="H7" s="3">
        <v>0</v>
      </c>
      <c r="I7" s="3">
        <v>0</v>
      </c>
      <c r="J7" s="3">
        <v>0</v>
      </c>
      <c r="K7" s="3">
        <f t="shared" si="0"/>
        <v>6291000</v>
      </c>
      <c r="L7" s="3">
        <f t="shared" si="0"/>
        <v>0</v>
      </c>
      <c r="M7" s="3">
        <f t="shared" si="0"/>
        <v>0</v>
      </c>
      <c r="N7" s="3">
        <f t="shared" si="1"/>
        <v>6291000</v>
      </c>
    </row>
    <row r="8" spans="1:15" x14ac:dyDescent="0.15">
      <c r="A8" s="1">
        <v>1976</v>
      </c>
      <c r="B8" s="3">
        <v>7360000</v>
      </c>
      <c r="C8" s="3">
        <v>0</v>
      </c>
      <c r="D8" s="3">
        <v>0</v>
      </c>
      <c r="E8" s="3">
        <v>0</v>
      </c>
      <c r="F8" s="3">
        <v>0</v>
      </c>
      <c r="G8" s="3">
        <v>0</v>
      </c>
      <c r="H8" s="3">
        <v>0</v>
      </c>
      <c r="I8" s="3">
        <v>0</v>
      </c>
      <c r="J8" s="3">
        <v>0</v>
      </c>
      <c r="K8" s="3">
        <f t="shared" si="0"/>
        <v>7360000</v>
      </c>
      <c r="L8" s="3">
        <f t="shared" si="0"/>
        <v>0</v>
      </c>
      <c r="M8" s="3">
        <f t="shared" si="0"/>
        <v>0</v>
      </c>
      <c r="N8" s="3">
        <f t="shared" si="1"/>
        <v>7360000</v>
      </c>
    </row>
    <row r="9" spans="1:15" x14ac:dyDescent="0.15">
      <c r="A9" s="1">
        <v>1977</v>
      </c>
      <c r="B9" s="3">
        <v>7716000</v>
      </c>
      <c r="C9" s="3">
        <v>0</v>
      </c>
      <c r="D9" s="3">
        <v>0</v>
      </c>
      <c r="E9" s="3">
        <v>0</v>
      </c>
      <c r="F9" s="3">
        <v>0</v>
      </c>
      <c r="G9" s="3">
        <v>0</v>
      </c>
      <c r="H9" s="3">
        <v>0</v>
      </c>
      <c r="I9" s="3">
        <v>0</v>
      </c>
      <c r="J9" s="3">
        <v>0</v>
      </c>
      <c r="K9" s="3">
        <f t="shared" si="0"/>
        <v>7716000</v>
      </c>
      <c r="L9" s="3">
        <f t="shared" si="0"/>
        <v>0</v>
      </c>
      <c r="M9" s="3">
        <f t="shared" si="0"/>
        <v>0</v>
      </c>
      <c r="N9" s="3">
        <f t="shared" si="1"/>
        <v>7716000</v>
      </c>
    </row>
    <row r="10" spans="1:15" x14ac:dyDescent="0.15">
      <c r="A10" s="1">
        <v>1978</v>
      </c>
      <c r="B10" s="3">
        <v>8907000</v>
      </c>
      <c r="C10" s="3">
        <v>0</v>
      </c>
      <c r="D10" s="3">
        <v>0</v>
      </c>
      <c r="E10" s="3">
        <v>0</v>
      </c>
      <c r="F10" s="3">
        <v>0</v>
      </c>
      <c r="G10" s="3">
        <v>0</v>
      </c>
      <c r="H10" s="3">
        <v>0</v>
      </c>
      <c r="I10" s="3">
        <v>0</v>
      </c>
      <c r="J10" s="3">
        <v>0</v>
      </c>
      <c r="K10" s="3">
        <f t="shared" si="0"/>
        <v>8907000</v>
      </c>
      <c r="L10" s="3">
        <f t="shared" si="0"/>
        <v>0</v>
      </c>
      <c r="M10" s="3">
        <f t="shared" si="0"/>
        <v>0</v>
      </c>
      <c r="N10" s="3">
        <f t="shared" si="1"/>
        <v>8907000</v>
      </c>
    </row>
    <row r="11" spans="1:15" x14ac:dyDescent="0.15">
      <c r="A11" s="1">
        <v>1979</v>
      </c>
      <c r="B11" s="3">
        <v>9839000</v>
      </c>
      <c r="C11" s="3">
        <v>0</v>
      </c>
      <c r="D11" s="3">
        <v>0</v>
      </c>
      <c r="E11" s="3">
        <v>0</v>
      </c>
      <c r="F11" s="3">
        <v>0</v>
      </c>
      <c r="G11" s="3">
        <v>0</v>
      </c>
      <c r="H11" s="3">
        <v>0</v>
      </c>
      <c r="I11" s="3">
        <v>0</v>
      </c>
      <c r="J11" s="3">
        <v>0</v>
      </c>
      <c r="K11" s="3">
        <f t="shared" si="0"/>
        <v>9839000</v>
      </c>
      <c r="L11" s="3">
        <f t="shared" si="0"/>
        <v>0</v>
      </c>
      <c r="M11" s="3">
        <f t="shared" si="0"/>
        <v>0</v>
      </c>
      <c r="N11" s="3">
        <f t="shared" si="1"/>
        <v>9839000</v>
      </c>
    </row>
    <row r="12" spans="1:15" x14ac:dyDescent="0.15">
      <c r="A12" s="1">
        <v>1980</v>
      </c>
      <c r="B12" s="3">
        <v>10930000</v>
      </c>
      <c r="C12" s="3">
        <v>0</v>
      </c>
      <c r="D12" s="3">
        <v>0</v>
      </c>
      <c r="E12" s="3">
        <v>0</v>
      </c>
      <c r="F12" s="3">
        <v>0</v>
      </c>
      <c r="G12" s="3">
        <v>0</v>
      </c>
      <c r="H12" s="3">
        <v>0</v>
      </c>
      <c r="I12" s="3">
        <v>0</v>
      </c>
      <c r="J12" s="3">
        <v>0</v>
      </c>
      <c r="K12" s="3">
        <f t="shared" si="0"/>
        <v>10930000</v>
      </c>
      <c r="L12" s="3">
        <f t="shared" si="0"/>
        <v>0</v>
      </c>
      <c r="M12" s="3">
        <f t="shared" si="0"/>
        <v>0</v>
      </c>
      <c r="N12" s="3">
        <f t="shared" si="1"/>
        <v>10930000</v>
      </c>
    </row>
    <row r="13" spans="1:15" x14ac:dyDescent="0.15">
      <c r="A13" s="1">
        <v>1981</v>
      </c>
      <c r="B13" s="3">
        <v>11069000</v>
      </c>
      <c r="C13" s="3">
        <v>0</v>
      </c>
      <c r="D13" s="3">
        <v>0</v>
      </c>
      <c r="E13" s="3">
        <v>0</v>
      </c>
      <c r="F13" s="3">
        <v>0</v>
      </c>
      <c r="G13" s="3">
        <v>0</v>
      </c>
      <c r="H13" s="3">
        <v>0</v>
      </c>
      <c r="I13" s="3">
        <v>0</v>
      </c>
      <c r="J13" s="3">
        <v>0</v>
      </c>
      <c r="K13" s="3">
        <f t="shared" si="0"/>
        <v>11069000</v>
      </c>
      <c r="L13" s="3">
        <f t="shared" si="0"/>
        <v>0</v>
      </c>
      <c r="M13" s="3">
        <f t="shared" si="0"/>
        <v>0</v>
      </c>
      <c r="N13" s="3">
        <f t="shared" si="1"/>
        <v>11069000</v>
      </c>
    </row>
    <row r="14" spans="1:15" x14ac:dyDescent="0.15">
      <c r="A14" s="1">
        <v>1982</v>
      </c>
      <c r="B14" s="3">
        <v>12631000</v>
      </c>
      <c r="C14" s="3">
        <v>0</v>
      </c>
      <c r="D14" s="3">
        <v>0</v>
      </c>
      <c r="E14" s="3">
        <v>0</v>
      </c>
      <c r="F14" s="3">
        <v>0</v>
      </c>
      <c r="G14" s="3">
        <v>0</v>
      </c>
      <c r="H14" s="3">
        <v>0</v>
      </c>
      <c r="I14" s="3">
        <v>0</v>
      </c>
      <c r="J14" s="3">
        <v>0</v>
      </c>
      <c r="K14" s="3">
        <f t="shared" si="0"/>
        <v>12631000</v>
      </c>
      <c r="L14" s="3">
        <f t="shared" si="0"/>
        <v>0</v>
      </c>
      <c r="M14" s="3">
        <f t="shared" si="0"/>
        <v>0</v>
      </c>
      <c r="N14" s="3">
        <f t="shared" si="1"/>
        <v>12631000</v>
      </c>
    </row>
    <row r="15" spans="1:15" x14ac:dyDescent="0.15">
      <c r="A15" s="1">
        <v>1983</v>
      </c>
      <c r="B15" s="3">
        <v>12981000</v>
      </c>
      <c r="C15" s="3">
        <v>0</v>
      </c>
      <c r="D15" s="3">
        <v>0</v>
      </c>
      <c r="E15" s="3">
        <v>0</v>
      </c>
      <c r="F15" s="3">
        <v>0</v>
      </c>
      <c r="G15" s="3">
        <v>0</v>
      </c>
      <c r="H15" s="3">
        <v>0</v>
      </c>
      <c r="I15" s="3">
        <v>0</v>
      </c>
      <c r="J15" s="3">
        <v>0</v>
      </c>
      <c r="K15" s="3">
        <f t="shared" si="0"/>
        <v>12981000</v>
      </c>
      <c r="L15" s="3">
        <f t="shared" si="0"/>
        <v>0</v>
      </c>
      <c r="M15" s="3">
        <f t="shared" si="0"/>
        <v>0</v>
      </c>
      <c r="N15" s="3">
        <f t="shared" si="1"/>
        <v>12981000</v>
      </c>
    </row>
    <row r="16" spans="1:15" x14ac:dyDescent="0.15">
      <c r="A16" s="1">
        <v>1984</v>
      </c>
      <c r="B16" s="3">
        <v>12578000</v>
      </c>
      <c r="C16" s="3">
        <v>0</v>
      </c>
      <c r="D16" s="3">
        <v>0</v>
      </c>
      <c r="E16" s="3">
        <v>0</v>
      </c>
      <c r="F16" s="3">
        <v>0</v>
      </c>
      <c r="G16" s="3">
        <v>0</v>
      </c>
      <c r="H16" s="3">
        <v>0</v>
      </c>
      <c r="I16" s="3">
        <v>0</v>
      </c>
      <c r="J16" s="3">
        <v>0</v>
      </c>
      <c r="K16" s="3">
        <f t="shared" si="0"/>
        <v>12578000</v>
      </c>
      <c r="L16" s="3">
        <f t="shared" si="0"/>
        <v>0</v>
      </c>
      <c r="M16" s="3">
        <f t="shared" si="0"/>
        <v>0</v>
      </c>
      <c r="N16" s="3">
        <f t="shared" si="1"/>
        <v>12578000</v>
      </c>
    </row>
    <row r="17" spans="1:15" x14ac:dyDescent="0.15">
      <c r="A17" s="1">
        <v>1985</v>
      </c>
      <c r="B17" s="3">
        <v>13728000</v>
      </c>
      <c r="C17" s="3">
        <v>0</v>
      </c>
      <c r="D17" s="3">
        <v>0</v>
      </c>
      <c r="E17" s="3">
        <v>0</v>
      </c>
      <c r="F17" s="3">
        <v>0</v>
      </c>
      <c r="G17" s="3">
        <v>0</v>
      </c>
      <c r="H17" s="3">
        <v>0</v>
      </c>
      <c r="I17" s="3">
        <v>0</v>
      </c>
      <c r="J17" s="3">
        <v>0</v>
      </c>
      <c r="K17" s="3">
        <f t="shared" si="0"/>
        <v>13728000</v>
      </c>
      <c r="L17" s="3">
        <f t="shared" si="0"/>
        <v>0</v>
      </c>
      <c r="M17" s="3">
        <f t="shared" si="0"/>
        <v>0</v>
      </c>
      <c r="N17" s="3">
        <f t="shared" si="1"/>
        <v>13728000</v>
      </c>
    </row>
    <row r="18" spans="1:15" x14ac:dyDescent="0.15">
      <c r="A18" s="1">
        <v>1986</v>
      </c>
      <c r="B18" s="3">
        <v>13726000</v>
      </c>
      <c r="C18" s="3">
        <v>0</v>
      </c>
      <c r="D18" s="3">
        <v>0</v>
      </c>
      <c r="E18" s="3">
        <v>0</v>
      </c>
      <c r="F18" s="3">
        <v>0</v>
      </c>
      <c r="G18" s="3">
        <v>0</v>
      </c>
      <c r="H18" s="3">
        <v>0</v>
      </c>
      <c r="I18" s="3">
        <v>0</v>
      </c>
      <c r="J18" s="3">
        <v>0</v>
      </c>
      <c r="K18" s="3">
        <f t="shared" si="0"/>
        <v>13726000</v>
      </c>
      <c r="L18" s="3">
        <f t="shared" si="0"/>
        <v>0</v>
      </c>
      <c r="M18" s="3">
        <f t="shared" si="0"/>
        <v>0</v>
      </c>
      <c r="N18" s="3">
        <f t="shared" si="1"/>
        <v>13726000</v>
      </c>
      <c r="O18" s="1" t="s">
        <v>145</v>
      </c>
    </row>
    <row r="19" spans="1:15" x14ac:dyDescent="0.15">
      <c r="A19" s="1">
        <v>1987</v>
      </c>
      <c r="B19" s="3">
        <v>16415000</v>
      </c>
      <c r="C19" s="3">
        <v>0</v>
      </c>
      <c r="D19" s="3">
        <v>0</v>
      </c>
      <c r="E19" s="3">
        <v>0</v>
      </c>
      <c r="F19" s="3">
        <v>0</v>
      </c>
      <c r="G19" s="3">
        <v>0</v>
      </c>
      <c r="H19" s="3">
        <v>0</v>
      </c>
      <c r="I19" s="3">
        <v>0</v>
      </c>
      <c r="J19" s="3">
        <v>0</v>
      </c>
      <c r="K19" s="3">
        <f t="shared" si="0"/>
        <v>16415000</v>
      </c>
      <c r="L19" s="3">
        <f t="shared" si="0"/>
        <v>0</v>
      </c>
      <c r="M19" s="3">
        <f t="shared" si="0"/>
        <v>0</v>
      </c>
      <c r="N19" s="3">
        <f t="shared" si="1"/>
        <v>16415000</v>
      </c>
    </row>
    <row r="20" spans="1:15" x14ac:dyDescent="0.15">
      <c r="A20" s="1">
        <v>1988</v>
      </c>
      <c r="B20" s="3">
        <v>16460000</v>
      </c>
      <c r="C20" s="3">
        <v>0</v>
      </c>
      <c r="D20" s="3">
        <v>0</v>
      </c>
      <c r="E20" s="3">
        <v>0</v>
      </c>
      <c r="F20" s="3">
        <v>0</v>
      </c>
      <c r="G20" s="3">
        <v>0</v>
      </c>
      <c r="H20" s="3">
        <v>0</v>
      </c>
      <c r="I20" s="3">
        <v>0</v>
      </c>
      <c r="J20" s="3">
        <v>0</v>
      </c>
      <c r="K20" s="3">
        <f t="shared" si="0"/>
        <v>16460000</v>
      </c>
      <c r="L20" s="3">
        <f t="shared" si="0"/>
        <v>0</v>
      </c>
      <c r="M20" s="3">
        <f t="shared" si="0"/>
        <v>0</v>
      </c>
      <c r="N20" s="3">
        <f t="shared" si="1"/>
        <v>16460000</v>
      </c>
    </row>
    <row r="21" spans="1:15" x14ac:dyDescent="0.15">
      <c r="A21" s="1">
        <v>1989</v>
      </c>
      <c r="B21" s="3">
        <v>17828000</v>
      </c>
      <c r="C21" s="3">
        <v>0</v>
      </c>
      <c r="D21" s="3">
        <v>0</v>
      </c>
      <c r="E21" s="3">
        <v>0</v>
      </c>
      <c r="F21" s="3">
        <v>0</v>
      </c>
      <c r="G21" s="3">
        <v>0</v>
      </c>
      <c r="H21" s="3">
        <v>0</v>
      </c>
      <c r="I21" s="3">
        <v>0</v>
      </c>
      <c r="J21" s="3">
        <v>0</v>
      </c>
      <c r="K21" s="3">
        <f t="shared" si="0"/>
        <v>17828000</v>
      </c>
      <c r="L21" s="3">
        <f t="shared" si="0"/>
        <v>0</v>
      </c>
      <c r="M21" s="3">
        <f t="shared" si="0"/>
        <v>0</v>
      </c>
      <c r="N21" s="3">
        <f t="shared" si="1"/>
        <v>17828000</v>
      </c>
    </row>
    <row r="22" spans="1:15" x14ac:dyDescent="0.15">
      <c r="A22" s="1">
        <v>1990</v>
      </c>
      <c r="B22" s="3">
        <v>18191000</v>
      </c>
      <c r="C22" s="3">
        <v>0</v>
      </c>
      <c r="D22" s="3">
        <v>0</v>
      </c>
      <c r="E22" s="3">
        <v>0</v>
      </c>
      <c r="F22" s="3">
        <v>0</v>
      </c>
      <c r="G22" s="3">
        <v>0</v>
      </c>
      <c r="H22" s="3">
        <v>0</v>
      </c>
      <c r="I22" s="3">
        <v>0</v>
      </c>
      <c r="J22" s="3">
        <v>0</v>
      </c>
      <c r="K22" s="3">
        <f t="shared" ref="K22:M35" si="2">+B22+E22+H22</f>
        <v>18191000</v>
      </c>
      <c r="L22" s="3">
        <f t="shared" si="2"/>
        <v>0</v>
      </c>
      <c r="M22" s="3">
        <f t="shared" si="2"/>
        <v>0</v>
      </c>
      <c r="N22" s="3">
        <f t="shared" si="1"/>
        <v>18191000</v>
      </c>
    </row>
    <row r="23" spans="1:15" x14ac:dyDescent="0.15">
      <c r="A23" s="1">
        <v>1991</v>
      </c>
      <c r="B23" s="3">
        <v>18079000</v>
      </c>
      <c r="C23" s="3">
        <v>0</v>
      </c>
      <c r="D23" s="3">
        <v>0</v>
      </c>
      <c r="E23" s="3">
        <v>0</v>
      </c>
      <c r="F23" s="3">
        <v>0</v>
      </c>
      <c r="G23" s="3">
        <v>0</v>
      </c>
      <c r="H23" s="3">
        <v>0</v>
      </c>
      <c r="I23" s="3">
        <v>0</v>
      </c>
      <c r="J23" s="3">
        <v>0</v>
      </c>
      <c r="K23" s="3">
        <f t="shared" si="2"/>
        <v>18079000</v>
      </c>
      <c r="L23" s="3">
        <f t="shared" si="2"/>
        <v>0</v>
      </c>
      <c r="M23" s="3">
        <f t="shared" si="2"/>
        <v>0</v>
      </c>
      <c r="N23" s="3">
        <f t="shared" si="1"/>
        <v>18079000</v>
      </c>
    </row>
    <row r="24" spans="1:15" x14ac:dyDescent="0.15">
      <c r="A24" s="1">
        <v>1992</v>
      </c>
      <c r="B24" s="3">
        <v>16966000</v>
      </c>
      <c r="C24" s="3">
        <v>0</v>
      </c>
      <c r="D24" s="3">
        <v>0</v>
      </c>
      <c r="E24" s="3">
        <v>0</v>
      </c>
      <c r="F24" s="3">
        <v>0</v>
      </c>
      <c r="G24" s="3">
        <v>0</v>
      </c>
      <c r="H24" s="3">
        <v>0</v>
      </c>
      <c r="I24" s="3">
        <v>0</v>
      </c>
      <c r="J24" s="3">
        <v>0</v>
      </c>
      <c r="K24" s="3">
        <f t="shared" si="2"/>
        <v>16966000</v>
      </c>
      <c r="L24" s="3">
        <f t="shared" si="2"/>
        <v>0</v>
      </c>
      <c r="M24" s="3">
        <f t="shared" si="2"/>
        <v>0</v>
      </c>
      <c r="N24" s="3">
        <f t="shared" si="1"/>
        <v>16966000</v>
      </c>
    </row>
    <row r="25" spans="1:15" x14ac:dyDescent="0.15">
      <c r="A25" s="1">
        <v>1993</v>
      </c>
      <c r="B25" s="3">
        <v>17105000</v>
      </c>
      <c r="C25" s="3">
        <v>0</v>
      </c>
      <c r="D25" s="3">
        <v>0</v>
      </c>
      <c r="E25" s="3">
        <v>0</v>
      </c>
      <c r="F25" s="3">
        <v>0</v>
      </c>
      <c r="G25" s="3">
        <v>0</v>
      </c>
      <c r="H25" s="3">
        <v>0</v>
      </c>
      <c r="I25" s="3">
        <v>0</v>
      </c>
      <c r="J25" s="3">
        <v>0</v>
      </c>
      <c r="K25" s="3">
        <f t="shared" si="2"/>
        <v>17105000</v>
      </c>
      <c r="L25" s="3">
        <f t="shared" si="2"/>
        <v>0</v>
      </c>
      <c r="M25" s="3">
        <f t="shared" si="2"/>
        <v>0</v>
      </c>
      <c r="N25" s="3">
        <f t="shared" si="1"/>
        <v>17105000</v>
      </c>
    </row>
    <row r="26" spans="1:15" x14ac:dyDescent="0.15">
      <c r="A26" s="1">
        <v>1994</v>
      </c>
      <c r="B26" s="3">
        <v>16795000</v>
      </c>
      <c r="C26" s="3">
        <v>0</v>
      </c>
      <c r="D26" s="3">
        <v>0</v>
      </c>
      <c r="E26" s="3">
        <v>0</v>
      </c>
      <c r="F26" s="3">
        <v>0</v>
      </c>
      <c r="G26" s="3">
        <v>0</v>
      </c>
      <c r="H26" s="3">
        <v>0</v>
      </c>
      <c r="I26" s="3">
        <v>0</v>
      </c>
      <c r="J26" s="3">
        <v>0</v>
      </c>
      <c r="K26" s="3">
        <f t="shared" si="2"/>
        <v>16795000</v>
      </c>
      <c r="L26" s="3">
        <f t="shared" si="2"/>
        <v>0</v>
      </c>
      <c r="M26" s="3">
        <f t="shared" si="2"/>
        <v>0</v>
      </c>
      <c r="N26" s="3">
        <f t="shared" si="1"/>
        <v>16795000</v>
      </c>
    </row>
    <row r="27" spans="1:15" x14ac:dyDescent="0.15">
      <c r="A27" s="1">
        <v>1995</v>
      </c>
      <c r="B27" s="3">
        <v>17297000</v>
      </c>
      <c r="C27" s="3">
        <v>0</v>
      </c>
      <c r="D27" s="3">
        <v>0</v>
      </c>
      <c r="E27" s="3">
        <v>0</v>
      </c>
      <c r="F27" s="3">
        <v>0</v>
      </c>
      <c r="G27" s="3">
        <v>0</v>
      </c>
      <c r="H27" s="3">
        <v>0</v>
      </c>
      <c r="I27" s="3">
        <v>0</v>
      </c>
      <c r="J27" s="3">
        <v>0</v>
      </c>
      <c r="K27" s="3">
        <f t="shared" si="2"/>
        <v>17297000</v>
      </c>
      <c r="L27" s="3">
        <f t="shared" si="2"/>
        <v>0</v>
      </c>
      <c r="M27" s="3">
        <f t="shared" si="2"/>
        <v>0</v>
      </c>
      <c r="N27" s="3">
        <f t="shared" si="1"/>
        <v>17297000</v>
      </c>
    </row>
    <row r="28" spans="1:15" x14ac:dyDescent="0.15">
      <c r="A28" s="1">
        <v>1996</v>
      </c>
      <c r="B28" s="3">
        <v>18622092</v>
      </c>
      <c r="C28" s="3">
        <v>0</v>
      </c>
      <c r="D28" s="3">
        <v>0</v>
      </c>
      <c r="E28" s="3">
        <v>0</v>
      </c>
      <c r="F28" s="3">
        <v>0</v>
      </c>
      <c r="G28" s="3">
        <v>0</v>
      </c>
      <c r="H28" s="3">
        <v>0</v>
      </c>
      <c r="I28" s="3">
        <v>0</v>
      </c>
      <c r="J28" s="3">
        <v>0</v>
      </c>
      <c r="K28" s="3">
        <f t="shared" si="2"/>
        <v>18622092</v>
      </c>
      <c r="L28" s="3">
        <f t="shared" si="2"/>
        <v>0</v>
      </c>
      <c r="M28" s="3">
        <f t="shared" si="2"/>
        <v>0</v>
      </c>
      <c r="N28" s="3">
        <f t="shared" si="1"/>
        <v>18622092</v>
      </c>
    </row>
    <row r="29" spans="1:15" x14ac:dyDescent="0.15">
      <c r="A29" s="1">
        <v>1997</v>
      </c>
      <c r="B29" s="3">
        <v>21540215</v>
      </c>
      <c r="C29" s="3">
        <v>0</v>
      </c>
      <c r="D29" s="3">
        <v>0</v>
      </c>
      <c r="E29" s="3">
        <v>0</v>
      </c>
      <c r="F29" s="3">
        <v>0</v>
      </c>
      <c r="G29" s="3">
        <v>0</v>
      </c>
      <c r="H29" s="3">
        <v>0</v>
      </c>
      <c r="I29" s="3">
        <v>0</v>
      </c>
      <c r="J29" s="3">
        <v>0</v>
      </c>
      <c r="K29" s="3">
        <f t="shared" si="2"/>
        <v>21540215</v>
      </c>
      <c r="L29" s="3">
        <f t="shared" si="2"/>
        <v>0</v>
      </c>
      <c r="M29" s="3">
        <f t="shared" si="2"/>
        <v>0</v>
      </c>
      <c r="N29" s="3">
        <f t="shared" si="1"/>
        <v>21540215</v>
      </c>
    </row>
    <row r="30" spans="1:15" x14ac:dyDescent="0.15">
      <c r="A30" s="1">
        <v>1998</v>
      </c>
      <c r="B30" s="3">
        <v>21916585</v>
      </c>
      <c r="C30" s="3">
        <v>0</v>
      </c>
      <c r="D30" s="3">
        <v>0</v>
      </c>
      <c r="E30" s="3">
        <v>0</v>
      </c>
      <c r="F30" s="3">
        <v>0</v>
      </c>
      <c r="G30" s="3">
        <v>0</v>
      </c>
      <c r="H30" s="3">
        <v>0</v>
      </c>
      <c r="I30" s="3">
        <v>0</v>
      </c>
      <c r="J30" s="3">
        <v>0</v>
      </c>
      <c r="K30" s="3">
        <f t="shared" si="2"/>
        <v>21916585</v>
      </c>
      <c r="L30" s="3">
        <f t="shared" si="2"/>
        <v>0</v>
      </c>
      <c r="M30" s="3">
        <f t="shared" si="2"/>
        <v>0</v>
      </c>
      <c r="N30" s="3">
        <f t="shared" si="1"/>
        <v>21916585</v>
      </c>
    </row>
    <row r="31" spans="1:15" x14ac:dyDescent="0.15">
      <c r="A31" s="1">
        <v>1999</v>
      </c>
      <c r="B31" s="3">
        <v>22852757</v>
      </c>
      <c r="C31" s="3">
        <v>0</v>
      </c>
      <c r="D31" s="3">
        <v>0</v>
      </c>
      <c r="E31" s="3">
        <v>0</v>
      </c>
      <c r="F31" s="3">
        <v>0</v>
      </c>
      <c r="G31" s="3">
        <v>0</v>
      </c>
      <c r="H31" s="3">
        <v>0</v>
      </c>
      <c r="I31" s="3">
        <v>0</v>
      </c>
      <c r="J31" s="3">
        <v>0</v>
      </c>
      <c r="K31" s="3">
        <f t="shared" si="2"/>
        <v>22852757</v>
      </c>
      <c r="L31" s="3">
        <f t="shared" si="2"/>
        <v>0</v>
      </c>
      <c r="M31" s="3">
        <f t="shared" si="2"/>
        <v>0</v>
      </c>
      <c r="N31" s="3">
        <f t="shared" si="1"/>
        <v>22852757</v>
      </c>
    </row>
    <row r="32" spans="1:15" x14ac:dyDescent="0.15">
      <c r="A32" s="1">
        <v>2000</v>
      </c>
      <c r="B32" s="3">
        <f>12496429+20701305</f>
        <v>33197734</v>
      </c>
      <c r="C32" s="3">
        <v>0</v>
      </c>
      <c r="D32" s="3">
        <v>0</v>
      </c>
      <c r="E32" s="3">
        <v>0</v>
      </c>
      <c r="F32" s="3">
        <v>0</v>
      </c>
      <c r="G32" s="3">
        <v>0</v>
      </c>
      <c r="H32" s="3">
        <v>55624000</v>
      </c>
      <c r="I32" s="3">
        <v>0</v>
      </c>
      <c r="J32" s="3">
        <v>0</v>
      </c>
      <c r="K32" s="3">
        <f t="shared" si="2"/>
        <v>88821734</v>
      </c>
      <c r="L32" s="3">
        <f t="shared" si="2"/>
        <v>0</v>
      </c>
      <c r="M32" s="3">
        <f t="shared" si="2"/>
        <v>0</v>
      </c>
      <c r="N32" s="3">
        <f t="shared" si="1"/>
        <v>88821734</v>
      </c>
      <c r="O32" s="1" t="s">
        <v>239</v>
      </c>
    </row>
    <row r="33" spans="1:15" x14ac:dyDescent="0.15">
      <c r="A33" s="1">
        <v>2001</v>
      </c>
      <c r="B33" s="3">
        <f>11199673+2627086+25271254</f>
        <v>39098013</v>
      </c>
      <c r="C33" s="3">
        <v>0</v>
      </c>
      <c r="D33" s="3">
        <v>0</v>
      </c>
      <c r="E33" s="3">
        <v>0</v>
      </c>
      <c r="F33" s="3">
        <v>0</v>
      </c>
      <c r="G33" s="3">
        <v>0</v>
      </c>
      <c r="H33" s="3">
        <v>58997000</v>
      </c>
      <c r="I33" s="3">
        <v>0</v>
      </c>
      <c r="J33" s="3">
        <v>0</v>
      </c>
      <c r="K33" s="3">
        <f t="shared" si="2"/>
        <v>98095013</v>
      </c>
      <c r="L33" s="3">
        <f t="shared" si="2"/>
        <v>0</v>
      </c>
      <c r="M33" s="3">
        <f t="shared" si="2"/>
        <v>0</v>
      </c>
      <c r="N33" s="3">
        <f t="shared" si="1"/>
        <v>98095013</v>
      </c>
      <c r="O33" s="1" t="s">
        <v>319</v>
      </c>
    </row>
    <row r="34" spans="1:15" x14ac:dyDescent="0.15">
      <c r="A34" s="1">
        <v>2002</v>
      </c>
      <c r="B34" s="3">
        <f>12000000+22971182</f>
        <v>34971182</v>
      </c>
      <c r="C34" s="3">
        <v>0</v>
      </c>
      <c r="D34" s="3">
        <v>0</v>
      </c>
      <c r="E34" s="3">
        <v>0</v>
      </c>
      <c r="F34" s="3">
        <v>0</v>
      </c>
      <c r="G34" s="3">
        <v>0</v>
      </c>
      <c r="H34" s="3">
        <v>67068000</v>
      </c>
      <c r="I34" s="3">
        <v>0</v>
      </c>
      <c r="J34" s="3">
        <v>0</v>
      </c>
      <c r="K34" s="3">
        <f t="shared" si="2"/>
        <v>102039182</v>
      </c>
      <c r="L34" s="3">
        <f t="shared" si="2"/>
        <v>0</v>
      </c>
      <c r="M34" s="3">
        <f t="shared" si="2"/>
        <v>0</v>
      </c>
      <c r="N34" s="3">
        <f t="shared" si="1"/>
        <v>102039182</v>
      </c>
    </row>
    <row r="35" spans="1:15" x14ac:dyDescent="0.15">
      <c r="A35" s="1">
        <v>2003</v>
      </c>
      <c r="B35" s="3">
        <v>26126785</v>
      </c>
      <c r="C35" s="3">
        <v>0</v>
      </c>
      <c r="D35" s="3">
        <v>12037058</v>
      </c>
      <c r="E35" s="3">
        <v>0</v>
      </c>
      <c r="F35" s="3">
        <v>0</v>
      </c>
      <c r="G35" s="3">
        <v>29712051</v>
      </c>
      <c r="H35" s="3">
        <v>111935079</v>
      </c>
      <c r="I35" s="3">
        <v>1316550</v>
      </c>
      <c r="J35" s="3">
        <v>19398729</v>
      </c>
      <c r="K35" s="3">
        <f t="shared" si="2"/>
        <v>138061864</v>
      </c>
      <c r="L35" s="3">
        <f t="shared" si="2"/>
        <v>1316550</v>
      </c>
      <c r="M35" s="3">
        <f t="shared" si="2"/>
        <v>61147838</v>
      </c>
      <c r="N35" s="3">
        <f t="shared" si="1"/>
        <v>200526252</v>
      </c>
      <c r="O35" s="1" t="s">
        <v>260</v>
      </c>
    </row>
    <row r="36" spans="1:15" x14ac:dyDescent="0.15">
      <c r="A36" s="1">
        <v>2004</v>
      </c>
      <c r="B36" s="3">
        <v>41181130</v>
      </c>
      <c r="C36" s="3">
        <v>11043</v>
      </c>
      <c r="D36" s="3">
        <v>0</v>
      </c>
      <c r="E36" s="3">
        <v>0</v>
      </c>
      <c r="F36" s="3">
        <v>0</v>
      </c>
      <c r="G36" s="3">
        <v>0</v>
      </c>
      <c r="H36" s="3">
        <v>184116228</v>
      </c>
      <c r="I36" s="3">
        <v>1682600</v>
      </c>
      <c r="J36" s="3">
        <v>0</v>
      </c>
      <c r="K36" s="3">
        <v>225297358</v>
      </c>
      <c r="L36" s="3">
        <v>1693643</v>
      </c>
      <c r="M36" s="3">
        <v>0</v>
      </c>
      <c r="N36" s="3">
        <v>226991001</v>
      </c>
    </row>
    <row r="37" spans="1:15" x14ac:dyDescent="0.15">
      <c r="A37" s="1">
        <v>2005</v>
      </c>
      <c r="B37" s="3">
        <v>45847676</v>
      </c>
      <c r="C37" s="3">
        <v>0</v>
      </c>
      <c r="D37" s="3">
        <v>0</v>
      </c>
      <c r="E37" s="3">
        <v>0</v>
      </c>
      <c r="F37" s="3">
        <v>0</v>
      </c>
      <c r="G37" s="3">
        <v>0</v>
      </c>
      <c r="H37" s="3">
        <v>196897216</v>
      </c>
      <c r="I37" s="3">
        <v>1637900</v>
      </c>
      <c r="J37" s="3">
        <v>0</v>
      </c>
      <c r="K37" s="3">
        <v>242744892</v>
      </c>
      <c r="L37" s="3">
        <v>1637900</v>
      </c>
      <c r="M37" s="3">
        <v>0</v>
      </c>
      <c r="N37" s="3">
        <v>244382792</v>
      </c>
    </row>
    <row r="38" spans="1:15" x14ac:dyDescent="0.15">
      <c r="A38" s="1">
        <v>2006</v>
      </c>
      <c r="B38" s="3">
        <v>46310797</v>
      </c>
      <c r="C38" s="3">
        <v>0</v>
      </c>
      <c r="D38" s="3">
        <v>0</v>
      </c>
      <c r="E38" s="3">
        <v>0</v>
      </c>
      <c r="F38" s="3">
        <v>0</v>
      </c>
      <c r="G38" s="3">
        <v>0</v>
      </c>
      <c r="H38" s="3">
        <v>209432837</v>
      </c>
      <c r="I38" s="3">
        <v>1739900</v>
      </c>
      <c r="J38" s="3">
        <v>0</v>
      </c>
      <c r="K38" s="3">
        <v>255743634</v>
      </c>
      <c r="L38" s="3">
        <v>1739900</v>
      </c>
      <c r="M38" s="3">
        <v>0</v>
      </c>
      <c r="N38" s="3">
        <v>257483534</v>
      </c>
    </row>
    <row r="39" spans="1:15" x14ac:dyDescent="0.15">
      <c r="A39" s="1">
        <v>2007</v>
      </c>
      <c r="B39" s="3">
        <v>50319980</v>
      </c>
      <c r="C39" s="3">
        <v>0</v>
      </c>
      <c r="D39" s="3">
        <v>0</v>
      </c>
      <c r="E39" s="3">
        <v>0</v>
      </c>
      <c r="F39" s="3">
        <v>0</v>
      </c>
      <c r="G39" s="3">
        <v>0</v>
      </c>
      <c r="H39" s="3">
        <v>220918805</v>
      </c>
      <c r="I39" s="3">
        <v>2047600</v>
      </c>
      <c r="J39" s="3">
        <v>0</v>
      </c>
      <c r="K39" s="3">
        <v>271238785</v>
      </c>
      <c r="L39" s="3">
        <v>2047600</v>
      </c>
      <c r="M39" s="3">
        <v>0</v>
      </c>
      <c r="N39" s="3">
        <v>273286385</v>
      </c>
    </row>
    <row r="40" spans="1:15" x14ac:dyDescent="0.15">
      <c r="A40" s="1">
        <v>2008</v>
      </c>
      <c r="B40" s="3">
        <v>56126358</v>
      </c>
      <c r="C40" s="3">
        <v>0</v>
      </c>
      <c r="D40" s="3">
        <v>0</v>
      </c>
      <c r="E40" s="3">
        <v>0</v>
      </c>
      <c r="F40" s="3">
        <v>0</v>
      </c>
      <c r="G40" s="3">
        <v>0</v>
      </c>
      <c r="H40" s="3">
        <v>239500966</v>
      </c>
      <c r="I40" s="3">
        <v>2444100</v>
      </c>
      <c r="J40" s="3">
        <v>0</v>
      </c>
      <c r="K40" s="3">
        <v>295627324</v>
      </c>
      <c r="L40" s="3">
        <v>2444100</v>
      </c>
      <c r="M40" s="3">
        <v>0</v>
      </c>
      <c r="N40" s="3">
        <v>298071424</v>
      </c>
    </row>
    <row r="41" spans="1:15" x14ac:dyDescent="0.15">
      <c r="A41" s="1">
        <v>2009</v>
      </c>
      <c r="B41" s="3">
        <v>65464204</v>
      </c>
      <c r="C41" s="3">
        <v>0</v>
      </c>
      <c r="D41" s="3">
        <v>0</v>
      </c>
      <c r="E41" s="3">
        <v>0</v>
      </c>
      <c r="F41" s="3">
        <v>0</v>
      </c>
      <c r="G41" s="3">
        <v>0</v>
      </c>
      <c r="H41" s="3">
        <v>251604256</v>
      </c>
      <c r="I41" s="3">
        <v>2444100</v>
      </c>
      <c r="J41" s="3">
        <v>0</v>
      </c>
      <c r="K41" s="3">
        <v>317068460</v>
      </c>
      <c r="L41" s="3">
        <v>2444100</v>
      </c>
      <c r="M41" s="3">
        <v>0</v>
      </c>
      <c r="N41" s="3">
        <v>319512560</v>
      </c>
    </row>
    <row r="42" spans="1:15" x14ac:dyDescent="0.15">
      <c r="A42" s="1">
        <v>2010</v>
      </c>
      <c r="B42" s="3">
        <v>61533811</v>
      </c>
      <c r="C42" s="3">
        <v>0</v>
      </c>
      <c r="D42" s="3">
        <v>0</v>
      </c>
      <c r="E42" s="3">
        <v>0</v>
      </c>
      <c r="F42" s="3">
        <v>0</v>
      </c>
      <c r="G42" s="3">
        <v>0</v>
      </c>
      <c r="H42" s="3">
        <v>261267369</v>
      </c>
      <c r="I42" s="3">
        <v>2445000</v>
      </c>
      <c r="J42" s="3">
        <v>0</v>
      </c>
      <c r="K42" s="3">
        <v>322801180</v>
      </c>
      <c r="L42" s="3">
        <v>2445000</v>
      </c>
      <c r="M42" s="3">
        <v>0</v>
      </c>
      <c r="N42" s="3">
        <v>325246180</v>
      </c>
    </row>
    <row r="43" spans="1:15" x14ac:dyDescent="0.15">
      <c r="A43" s="1">
        <v>2011</v>
      </c>
      <c r="B43" s="3">
        <v>60374062</v>
      </c>
      <c r="C43" s="3">
        <v>0</v>
      </c>
      <c r="D43" s="3">
        <v>0</v>
      </c>
      <c r="E43" s="3">
        <v>0</v>
      </c>
      <c r="F43" s="3">
        <v>0</v>
      </c>
      <c r="G43" s="3">
        <v>0</v>
      </c>
      <c r="H43" s="3">
        <v>264974129</v>
      </c>
      <c r="I43" s="3">
        <v>2445000</v>
      </c>
      <c r="J43" s="3">
        <v>0</v>
      </c>
      <c r="K43" s="3">
        <v>325348191</v>
      </c>
      <c r="L43" s="3">
        <v>2445000</v>
      </c>
      <c r="M43" s="3">
        <v>0</v>
      </c>
      <c r="N43" s="3">
        <v>327793191</v>
      </c>
    </row>
    <row r="44" spans="1:15" x14ac:dyDescent="0.15">
      <c r="A44" s="1">
        <v>2012</v>
      </c>
      <c r="B44" s="3">
        <v>51840113</v>
      </c>
      <c r="C44" s="3">
        <v>0</v>
      </c>
      <c r="D44" s="3">
        <v>0</v>
      </c>
      <c r="E44" s="3">
        <v>0</v>
      </c>
      <c r="F44" s="3">
        <v>0</v>
      </c>
      <c r="G44" s="3">
        <v>0</v>
      </c>
      <c r="H44" s="3">
        <v>272879315</v>
      </c>
      <c r="I44" s="3">
        <v>2861000</v>
      </c>
      <c r="J44" s="3">
        <v>0</v>
      </c>
      <c r="K44" s="3">
        <v>324719428</v>
      </c>
      <c r="L44" s="3">
        <v>2861000</v>
      </c>
      <c r="M44" s="3">
        <v>0</v>
      </c>
      <c r="N44" s="3">
        <v>327580428</v>
      </c>
    </row>
    <row r="45" spans="1:15" x14ac:dyDescent="0.15">
      <c r="A45" s="1">
        <v>2013</v>
      </c>
      <c r="B45" s="3">
        <v>59503775</v>
      </c>
      <c r="C45" s="3">
        <v>0</v>
      </c>
      <c r="D45" s="3">
        <v>0</v>
      </c>
      <c r="E45" s="3">
        <v>0</v>
      </c>
      <c r="F45" s="3">
        <v>0</v>
      </c>
      <c r="G45" s="3">
        <v>0</v>
      </c>
      <c r="H45" s="3">
        <v>293714929</v>
      </c>
      <c r="I45" s="3">
        <v>0</v>
      </c>
      <c r="J45" s="3">
        <v>0</v>
      </c>
      <c r="K45" s="3">
        <v>353218704</v>
      </c>
      <c r="L45" s="3">
        <v>0</v>
      </c>
      <c r="M45" s="3">
        <v>0</v>
      </c>
      <c r="N45" s="3">
        <v>353218704</v>
      </c>
      <c r="O45" s="1" t="s">
        <v>320</v>
      </c>
    </row>
    <row r="46" spans="1:15" x14ac:dyDescent="0.15">
      <c r="A46" s="1">
        <v>2014</v>
      </c>
      <c r="B46" s="3">
        <v>60641049</v>
      </c>
      <c r="C46" s="3">
        <v>0</v>
      </c>
      <c r="D46" s="3">
        <v>0</v>
      </c>
      <c r="E46" s="3">
        <v>0</v>
      </c>
      <c r="F46" s="3">
        <v>0</v>
      </c>
      <c r="G46" s="3">
        <v>0</v>
      </c>
      <c r="H46" s="3">
        <v>295893702</v>
      </c>
      <c r="I46" s="3">
        <v>3068750</v>
      </c>
      <c r="J46" s="3">
        <v>0</v>
      </c>
      <c r="K46" s="3">
        <v>356534751</v>
      </c>
      <c r="L46" s="3">
        <v>3068750</v>
      </c>
      <c r="M46" s="3">
        <v>0</v>
      </c>
      <c r="N46" s="3">
        <v>359603501</v>
      </c>
    </row>
    <row r="47" spans="1:15" x14ac:dyDescent="0.15">
      <c r="A47" s="1">
        <v>2015</v>
      </c>
      <c r="B47" s="3">
        <v>62740441</v>
      </c>
      <c r="C47" s="3">
        <v>0</v>
      </c>
      <c r="D47" s="3">
        <v>0</v>
      </c>
      <c r="E47" s="3">
        <v>0</v>
      </c>
      <c r="F47" s="3">
        <v>0</v>
      </c>
      <c r="G47" s="3">
        <v>0</v>
      </c>
      <c r="H47" s="3">
        <v>303294495</v>
      </c>
      <c r="I47" s="3">
        <v>3185300</v>
      </c>
      <c r="J47" s="3">
        <v>0</v>
      </c>
      <c r="K47" s="3">
        <v>366034936</v>
      </c>
      <c r="L47" s="3">
        <v>3185300</v>
      </c>
      <c r="M47" s="3">
        <v>0</v>
      </c>
      <c r="N47" s="3">
        <v>369220236</v>
      </c>
    </row>
    <row r="48" spans="1:15" x14ac:dyDescent="0.15">
      <c r="A48" s="1">
        <v>2016</v>
      </c>
      <c r="B48" s="3">
        <v>65242296</v>
      </c>
      <c r="C48" s="3">
        <v>0</v>
      </c>
      <c r="D48" s="3">
        <v>0</v>
      </c>
      <c r="E48" s="3">
        <v>0</v>
      </c>
      <c r="F48" s="3">
        <v>0</v>
      </c>
      <c r="G48" s="3">
        <v>0</v>
      </c>
      <c r="H48" s="3">
        <v>316335198</v>
      </c>
      <c r="I48" s="3">
        <v>3235650</v>
      </c>
      <c r="J48" s="3">
        <v>0</v>
      </c>
      <c r="K48" s="3">
        <v>381577494</v>
      </c>
      <c r="L48" s="3">
        <v>3235650</v>
      </c>
      <c r="M48" s="3">
        <v>0</v>
      </c>
      <c r="N48" s="3">
        <v>384813144</v>
      </c>
    </row>
    <row r="84" spans="1:15" ht="12.75" x14ac:dyDescent="0.2">
      <c r="A84" s="13">
        <v>2004</v>
      </c>
      <c r="B84" s="12" t="s">
        <v>317</v>
      </c>
      <c r="C84" s="12">
        <v>15097121</v>
      </c>
      <c r="D84" s="12">
        <v>11043</v>
      </c>
      <c r="E84" s="12">
        <v>0</v>
      </c>
      <c r="F84" s="12">
        <v>0</v>
      </c>
      <c r="G84" s="12">
        <v>0</v>
      </c>
      <c r="H84" s="12">
        <v>0</v>
      </c>
      <c r="I84" s="12">
        <v>184116228</v>
      </c>
      <c r="J84" s="12">
        <v>1682600</v>
      </c>
      <c r="K84" s="12">
        <v>0</v>
      </c>
      <c r="L84" s="12">
        <v>199213349</v>
      </c>
      <c r="M84" s="12">
        <v>1693643</v>
      </c>
      <c r="N84" s="12">
        <v>0</v>
      </c>
      <c r="O84" s="12">
        <v>200906992</v>
      </c>
    </row>
    <row r="85" spans="1:15" ht="12.75" x14ac:dyDescent="0.2">
      <c r="A85" s="13">
        <v>2005</v>
      </c>
      <c r="B85" s="12" t="s">
        <v>317</v>
      </c>
      <c r="C85" s="12">
        <v>17569883</v>
      </c>
      <c r="D85" s="12">
        <v>0</v>
      </c>
      <c r="E85" s="12">
        <v>0</v>
      </c>
      <c r="F85" s="12">
        <v>0</v>
      </c>
      <c r="G85" s="12">
        <v>0</v>
      </c>
      <c r="H85" s="12">
        <v>0</v>
      </c>
      <c r="I85" s="12">
        <v>196897216</v>
      </c>
      <c r="J85" s="12">
        <v>1637900</v>
      </c>
      <c r="K85" s="12">
        <v>0</v>
      </c>
      <c r="L85" s="12">
        <v>214467099</v>
      </c>
      <c r="M85" s="12">
        <v>1637900</v>
      </c>
      <c r="N85" s="12">
        <v>0</v>
      </c>
      <c r="O85" s="12">
        <v>216104999</v>
      </c>
    </row>
    <row r="86" spans="1:15" ht="12.75" x14ac:dyDescent="0.2">
      <c r="A86" s="13">
        <v>2006</v>
      </c>
      <c r="B86" s="12" t="s">
        <v>317</v>
      </c>
      <c r="C86" s="12">
        <v>17692531</v>
      </c>
      <c r="D86" s="12">
        <v>0</v>
      </c>
      <c r="E86" s="12">
        <v>0</v>
      </c>
      <c r="F86" s="12">
        <v>0</v>
      </c>
      <c r="G86" s="12">
        <v>0</v>
      </c>
      <c r="H86" s="12">
        <v>0</v>
      </c>
      <c r="I86" s="12">
        <v>209432837</v>
      </c>
      <c r="J86" s="12">
        <v>1739900</v>
      </c>
      <c r="K86" s="12">
        <v>0</v>
      </c>
      <c r="L86" s="12">
        <v>227125368</v>
      </c>
      <c r="M86" s="12">
        <v>1739900</v>
      </c>
      <c r="N86" s="12">
        <v>0</v>
      </c>
      <c r="O86" s="12">
        <v>228865268</v>
      </c>
    </row>
    <row r="87" spans="1:15" ht="12.75" x14ac:dyDescent="0.2">
      <c r="A87" s="13">
        <v>2007</v>
      </c>
      <c r="B87" s="12" t="s">
        <v>317</v>
      </c>
      <c r="C87" s="12">
        <v>19251792</v>
      </c>
      <c r="D87" s="12">
        <v>0</v>
      </c>
      <c r="E87" s="12">
        <v>0</v>
      </c>
      <c r="F87" s="12">
        <v>0</v>
      </c>
      <c r="G87" s="12">
        <v>0</v>
      </c>
      <c r="H87" s="12">
        <v>0</v>
      </c>
      <c r="I87" s="12">
        <v>220918805</v>
      </c>
      <c r="J87" s="12">
        <v>2047600</v>
      </c>
      <c r="K87" s="12">
        <v>0</v>
      </c>
      <c r="L87" s="12">
        <v>240170597</v>
      </c>
      <c r="M87" s="12">
        <v>2047600</v>
      </c>
      <c r="N87" s="12">
        <v>0</v>
      </c>
      <c r="O87" s="12">
        <v>242218197</v>
      </c>
    </row>
    <row r="88" spans="1:15" ht="12.75" x14ac:dyDescent="0.2">
      <c r="A88" s="13">
        <v>2008</v>
      </c>
      <c r="B88" s="12" t="s">
        <v>317</v>
      </c>
      <c r="C88" s="12">
        <v>18764331</v>
      </c>
      <c r="D88" s="12">
        <v>0</v>
      </c>
      <c r="E88" s="12">
        <v>0</v>
      </c>
      <c r="F88" s="12">
        <v>0</v>
      </c>
      <c r="G88" s="12">
        <v>0</v>
      </c>
      <c r="H88" s="12">
        <v>0</v>
      </c>
      <c r="I88" s="12">
        <v>239500966</v>
      </c>
      <c r="J88" s="12">
        <v>2444100</v>
      </c>
      <c r="K88" s="12">
        <v>0</v>
      </c>
      <c r="L88" s="12">
        <v>258265297</v>
      </c>
      <c r="M88" s="12">
        <v>2444100</v>
      </c>
      <c r="N88" s="12">
        <v>0</v>
      </c>
      <c r="O88" s="12">
        <v>260709397</v>
      </c>
    </row>
    <row r="89" spans="1:15" ht="12.75" x14ac:dyDescent="0.2">
      <c r="A89" s="13">
        <v>2009</v>
      </c>
      <c r="B89" s="12" t="s">
        <v>317</v>
      </c>
      <c r="C89" s="12">
        <v>26989583</v>
      </c>
      <c r="D89" s="12">
        <v>0</v>
      </c>
      <c r="E89" s="12">
        <v>0</v>
      </c>
      <c r="F89" s="12">
        <v>0</v>
      </c>
      <c r="G89" s="12">
        <v>0</v>
      </c>
      <c r="H89" s="12">
        <v>0</v>
      </c>
      <c r="I89" s="12">
        <v>251604256</v>
      </c>
      <c r="J89" s="12">
        <v>2444100</v>
      </c>
      <c r="K89" s="12">
        <v>0</v>
      </c>
      <c r="L89" s="12">
        <v>278593839</v>
      </c>
      <c r="M89" s="12">
        <v>2444100</v>
      </c>
      <c r="N89" s="12">
        <v>0</v>
      </c>
      <c r="O89" s="12">
        <v>281037939</v>
      </c>
    </row>
    <row r="90" spans="1:15" ht="12.75" x14ac:dyDescent="0.2">
      <c r="A90" s="13">
        <v>2010</v>
      </c>
      <c r="B90" s="12" t="s">
        <v>317</v>
      </c>
      <c r="C90" s="12">
        <v>26775963</v>
      </c>
      <c r="D90" s="12">
        <v>0</v>
      </c>
      <c r="E90" s="12">
        <v>0</v>
      </c>
      <c r="F90" s="12">
        <v>0</v>
      </c>
      <c r="G90" s="12">
        <v>0</v>
      </c>
      <c r="H90" s="12">
        <v>0</v>
      </c>
      <c r="I90" s="12">
        <v>261267369</v>
      </c>
      <c r="J90" s="12">
        <v>2445000</v>
      </c>
      <c r="K90" s="12">
        <v>0</v>
      </c>
      <c r="L90" s="12">
        <v>288043332</v>
      </c>
      <c r="M90" s="12">
        <v>2445000</v>
      </c>
      <c r="N90" s="12">
        <v>0</v>
      </c>
      <c r="O90" s="12">
        <v>290488332</v>
      </c>
    </row>
    <row r="91" spans="1:15" ht="12.75" x14ac:dyDescent="0.2">
      <c r="A91" s="13">
        <v>2011</v>
      </c>
      <c r="B91" s="12" t="s">
        <v>317</v>
      </c>
      <c r="C91" s="12">
        <v>26331253</v>
      </c>
      <c r="D91" s="12">
        <v>0</v>
      </c>
      <c r="E91" s="12">
        <v>0</v>
      </c>
      <c r="F91" s="12">
        <v>0</v>
      </c>
      <c r="G91" s="12">
        <v>0</v>
      </c>
      <c r="H91" s="12">
        <v>0</v>
      </c>
      <c r="I91" s="12">
        <v>264974129</v>
      </c>
      <c r="J91" s="12">
        <v>2445000</v>
      </c>
      <c r="K91" s="12">
        <v>0</v>
      </c>
      <c r="L91" s="12">
        <v>291305382</v>
      </c>
      <c r="M91" s="12">
        <v>2445000</v>
      </c>
      <c r="N91" s="12">
        <v>0</v>
      </c>
      <c r="O91" s="12">
        <v>293750382</v>
      </c>
    </row>
    <row r="92" spans="1:15" ht="12.75" x14ac:dyDescent="0.2">
      <c r="A92" s="13">
        <v>2012</v>
      </c>
      <c r="B92" s="12" t="s">
        <v>317</v>
      </c>
      <c r="C92" s="12">
        <v>19510576</v>
      </c>
      <c r="D92" s="12">
        <v>0</v>
      </c>
      <c r="E92" s="12">
        <v>0</v>
      </c>
      <c r="F92" s="12">
        <v>0</v>
      </c>
      <c r="G92" s="12">
        <v>0</v>
      </c>
      <c r="H92" s="12">
        <v>0</v>
      </c>
      <c r="I92" s="12">
        <v>272879315</v>
      </c>
      <c r="J92" s="12">
        <v>2861000</v>
      </c>
      <c r="K92" s="12">
        <v>0</v>
      </c>
      <c r="L92" s="12">
        <v>292389891</v>
      </c>
      <c r="M92" s="12">
        <v>2861000</v>
      </c>
      <c r="N92" s="12">
        <v>0</v>
      </c>
      <c r="O92" s="12">
        <v>295250891</v>
      </c>
    </row>
    <row r="93" spans="1:15" ht="12.75" x14ac:dyDescent="0.2">
      <c r="A93" s="13">
        <v>2013</v>
      </c>
      <c r="B93" s="12" t="s">
        <v>317</v>
      </c>
      <c r="C93" s="12">
        <v>23377455</v>
      </c>
      <c r="D93" s="12">
        <v>0</v>
      </c>
      <c r="E93" s="12">
        <v>0</v>
      </c>
      <c r="F93" s="12">
        <v>0</v>
      </c>
      <c r="G93" s="12">
        <v>0</v>
      </c>
      <c r="H93" s="12">
        <v>0</v>
      </c>
      <c r="I93" s="12">
        <v>293714929</v>
      </c>
      <c r="J93" s="12">
        <v>0</v>
      </c>
      <c r="K93" s="12">
        <v>0</v>
      </c>
      <c r="L93" s="12">
        <v>317092384</v>
      </c>
      <c r="M93" s="12">
        <v>0</v>
      </c>
      <c r="N93" s="12">
        <v>0</v>
      </c>
      <c r="O93" s="12">
        <v>317092384</v>
      </c>
    </row>
    <row r="94" spans="1:15" ht="12.75" x14ac:dyDescent="0.2">
      <c r="A94" s="13">
        <v>2014</v>
      </c>
      <c r="B94" s="12" t="s">
        <v>317</v>
      </c>
      <c r="C94" s="12">
        <v>24990722</v>
      </c>
      <c r="D94" s="12">
        <v>0</v>
      </c>
      <c r="E94" s="12">
        <v>0</v>
      </c>
      <c r="F94" s="12">
        <v>0</v>
      </c>
      <c r="G94" s="12">
        <v>0</v>
      </c>
      <c r="H94" s="12">
        <v>0</v>
      </c>
      <c r="I94" s="12">
        <v>295893702</v>
      </c>
      <c r="J94" s="12">
        <v>3068750</v>
      </c>
      <c r="K94" s="12">
        <v>0</v>
      </c>
      <c r="L94" s="12">
        <v>320884424</v>
      </c>
      <c r="M94" s="12">
        <v>3068750</v>
      </c>
      <c r="N94" s="12">
        <v>0</v>
      </c>
      <c r="O94" s="12">
        <v>323953174</v>
      </c>
    </row>
    <row r="95" spans="1:15" ht="12.75" x14ac:dyDescent="0.2">
      <c r="A95" s="13">
        <v>2015</v>
      </c>
      <c r="B95" s="12" t="s">
        <v>317</v>
      </c>
      <c r="C95" s="12">
        <v>27083705</v>
      </c>
      <c r="D95" s="12">
        <v>0</v>
      </c>
      <c r="E95" s="12">
        <v>0</v>
      </c>
      <c r="F95" s="12">
        <v>0</v>
      </c>
      <c r="G95" s="12">
        <v>0</v>
      </c>
      <c r="H95" s="12">
        <v>0</v>
      </c>
      <c r="I95" s="12">
        <v>303294495</v>
      </c>
      <c r="J95" s="12">
        <v>3185300</v>
      </c>
      <c r="K95" s="12">
        <v>0</v>
      </c>
      <c r="L95" s="12">
        <v>330378200</v>
      </c>
      <c r="M95" s="12">
        <v>3185300</v>
      </c>
      <c r="N95" s="12">
        <v>0</v>
      </c>
      <c r="O95" s="12">
        <v>333563500</v>
      </c>
    </row>
    <row r="96" spans="1:15" ht="12.75" x14ac:dyDescent="0.2">
      <c r="A96" s="13">
        <v>2016</v>
      </c>
      <c r="B96" s="12" t="s">
        <v>317</v>
      </c>
      <c r="C96" s="12">
        <v>28218382</v>
      </c>
      <c r="D96" s="12">
        <v>0</v>
      </c>
      <c r="E96" s="12">
        <v>0</v>
      </c>
      <c r="F96" s="12">
        <v>0</v>
      </c>
      <c r="G96" s="12">
        <v>0</v>
      </c>
      <c r="H96" s="12">
        <v>0</v>
      </c>
      <c r="I96" s="12">
        <v>316335198</v>
      </c>
      <c r="J96" s="12">
        <v>3235650</v>
      </c>
      <c r="K96" s="12">
        <v>0</v>
      </c>
      <c r="L96" s="12">
        <v>344553580</v>
      </c>
      <c r="M96" s="12">
        <v>3235650</v>
      </c>
      <c r="N96" s="12">
        <v>0</v>
      </c>
      <c r="O96" s="12">
        <v>347789230</v>
      </c>
    </row>
    <row r="97" spans="1:15" ht="12.75" x14ac:dyDescent="0.2">
      <c r="A97" s="13">
        <v>2004</v>
      </c>
      <c r="B97" s="12" t="s">
        <v>318</v>
      </c>
      <c r="C97" s="12">
        <v>26084009</v>
      </c>
      <c r="D97" s="12">
        <v>0</v>
      </c>
      <c r="E97" s="12">
        <v>0</v>
      </c>
      <c r="F97" s="12">
        <v>0</v>
      </c>
      <c r="G97" s="12">
        <v>0</v>
      </c>
      <c r="H97" s="12">
        <v>0</v>
      </c>
      <c r="I97" s="12">
        <v>0</v>
      </c>
      <c r="J97" s="12">
        <v>0</v>
      </c>
      <c r="K97" s="12">
        <v>0</v>
      </c>
      <c r="L97" s="12">
        <v>26084009</v>
      </c>
      <c r="M97" s="12">
        <v>0</v>
      </c>
      <c r="N97" s="12">
        <v>0</v>
      </c>
      <c r="O97" s="12">
        <v>26084009</v>
      </c>
    </row>
    <row r="98" spans="1:15" ht="12.75" x14ac:dyDescent="0.2">
      <c r="A98" s="13">
        <v>2005</v>
      </c>
      <c r="B98" s="12" t="s">
        <v>318</v>
      </c>
      <c r="C98" s="12">
        <v>28277793</v>
      </c>
      <c r="D98" s="12">
        <v>0</v>
      </c>
      <c r="E98" s="12">
        <v>0</v>
      </c>
      <c r="F98" s="12">
        <v>0</v>
      </c>
      <c r="G98" s="12">
        <v>0</v>
      </c>
      <c r="H98" s="12">
        <v>0</v>
      </c>
      <c r="I98" s="12">
        <v>0</v>
      </c>
      <c r="J98" s="12">
        <v>0</v>
      </c>
      <c r="K98" s="12">
        <v>0</v>
      </c>
      <c r="L98" s="12">
        <v>28277793</v>
      </c>
      <c r="M98" s="12">
        <v>0</v>
      </c>
      <c r="N98" s="12">
        <v>0</v>
      </c>
      <c r="O98" s="12">
        <v>28277793</v>
      </c>
    </row>
    <row r="99" spans="1:15" ht="12.75" x14ac:dyDescent="0.2">
      <c r="A99" s="13">
        <v>2006</v>
      </c>
      <c r="B99" s="12" t="s">
        <v>318</v>
      </c>
      <c r="C99" s="12">
        <v>28618266</v>
      </c>
      <c r="D99" s="12">
        <v>0</v>
      </c>
      <c r="E99" s="12">
        <v>0</v>
      </c>
      <c r="F99" s="12">
        <v>0</v>
      </c>
      <c r="G99" s="12">
        <v>0</v>
      </c>
      <c r="H99" s="12">
        <v>0</v>
      </c>
      <c r="I99" s="12">
        <v>0</v>
      </c>
      <c r="J99" s="12">
        <v>0</v>
      </c>
      <c r="K99" s="12">
        <v>0</v>
      </c>
      <c r="L99" s="12">
        <v>28618266</v>
      </c>
      <c r="M99" s="12">
        <v>0</v>
      </c>
      <c r="N99" s="12">
        <v>0</v>
      </c>
      <c r="O99" s="12">
        <v>28618266</v>
      </c>
    </row>
    <row r="100" spans="1:15" ht="12.75" x14ac:dyDescent="0.2">
      <c r="A100" s="13">
        <v>2007</v>
      </c>
      <c r="B100" s="12" t="s">
        <v>318</v>
      </c>
      <c r="C100" s="12">
        <v>31068188</v>
      </c>
      <c r="D100" s="12">
        <v>0</v>
      </c>
      <c r="E100" s="12">
        <v>0</v>
      </c>
      <c r="F100" s="12">
        <v>0</v>
      </c>
      <c r="G100" s="12">
        <v>0</v>
      </c>
      <c r="H100" s="12">
        <v>0</v>
      </c>
      <c r="I100" s="12">
        <v>0</v>
      </c>
      <c r="J100" s="12">
        <v>0</v>
      </c>
      <c r="K100" s="12">
        <v>0</v>
      </c>
      <c r="L100" s="12">
        <v>31068188</v>
      </c>
      <c r="M100" s="12">
        <v>0</v>
      </c>
      <c r="N100" s="12">
        <v>0</v>
      </c>
      <c r="O100" s="12">
        <v>31068188</v>
      </c>
    </row>
    <row r="101" spans="1:15" ht="12.75" x14ac:dyDescent="0.2">
      <c r="A101" s="13">
        <v>2008</v>
      </c>
      <c r="B101" s="12" t="s">
        <v>318</v>
      </c>
      <c r="C101" s="12">
        <v>37362027</v>
      </c>
      <c r="D101" s="12">
        <v>0</v>
      </c>
      <c r="E101" s="12">
        <v>0</v>
      </c>
      <c r="F101" s="12">
        <v>0</v>
      </c>
      <c r="G101" s="12">
        <v>0</v>
      </c>
      <c r="H101" s="12">
        <v>0</v>
      </c>
      <c r="I101" s="12">
        <v>0</v>
      </c>
      <c r="J101" s="12">
        <v>0</v>
      </c>
      <c r="K101" s="12">
        <v>0</v>
      </c>
      <c r="L101" s="12">
        <v>37362027</v>
      </c>
      <c r="M101" s="12">
        <v>0</v>
      </c>
      <c r="N101" s="12">
        <v>0</v>
      </c>
      <c r="O101" s="12">
        <v>37362027</v>
      </c>
    </row>
    <row r="102" spans="1:15" ht="12.75" x14ac:dyDescent="0.2">
      <c r="A102" s="13">
        <v>2009</v>
      </c>
      <c r="B102" s="12" t="s">
        <v>318</v>
      </c>
      <c r="C102" s="12">
        <v>38474621</v>
      </c>
      <c r="D102" s="12">
        <v>0</v>
      </c>
      <c r="E102" s="12">
        <v>0</v>
      </c>
      <c r="F102" s="12">
        <v>0</v>
      </c>
      <c r="G102" s="12">
        <v>0</v>
      </c>
      <c r="H102" s="12">
        <v>0</v>
      </c>
      <c r="I102" s="12">
        <v>0</v>
      </c>
      <c r="J102" s="12">
        <v>0</v>
      </c>
      <c r="K102" s="12">
        <v>0</v>
      </c>
      <c r="L102" s="12">
        <v>38474621</v>
      </c>
      <c r="M102" s="12">
        <v>0</v>
      </c>
      <c r="N102" s="12">
        <v>0</v>
      </c>
      <c r="O102" s="12">
        <v>38474621</v>
      </c>
    </row>
    <row r="103" spans="1:15" ht="12.75" x14ac:dyDescent="0.2">
      <c r="A103" s="13">
        <v>2010</v>
      </c>
      <c r="B103" s="12" t="s">
        <v>318</v>
      </c>
      <c r="C103" s="12">
        <v>34757848</v>
      </c>
      <c r="D103" s="12">
        <v>0</v>
      </c>
      <c r="E103" s="12">
        <v>0</v>
      </c>
      <c r="F103" s="12">
        <v>0</v>
      </c>
      <c r="G103" s="12">
        <v>0</v>
      </c>
      <c r="H103" s="12">
        <v>0</v>
      </c>
      <c r="I103" s="12">
        <v>0</v>
      </c>
      <c r="J103" s="12">
        <v>0</v>
      </c>
      <c r="K103" s="12">
        <v>0</v>
      </c>
      <c r="L103" s="12">
        <v>34757848</v>
      </c>
      <c r="M103" s="12">
        <v>0</v>
      </c>
      <c r="N103" s="12">
        <v>0</v>
      </c>
      <c r="O103" s="12">
        <v>34757848</v>
      </c>
    </row>
    <row r="104" spans="1:15" ht="12.75" x14ac:dyDescent="0.2">
      <c r="A104" s="13">
        <v>2011</v>
      </c>
      <c r="B104" s="12" t="s">
        <v>318</v>
      </c>
      <c r="C104" s="12">
        <v>34042809</v>
      </c>
      <c r="D104" s="12">
        <v>0</v>
      </c>
      <c r="E104" s="12">
        <v>0</v>
      </c>
      <c r="F104" s="12">
        <v>0</v>
      </c>
      <c r="G104" s="12">
        <v>0</v>
      </c>
      <c r="H104" s="12">
        <v>0</v>
      </c>
      <c r="I104" s="12">
        <v>0</v>
      </c>
      <c r="J104" s="12">
        <v>0</v>
      </c>
      <c r="K104" s="12">
        <v>0</v>
      </c>
      <c r="L104" s="12">
        <v>34042809</v>
      </c>
      <c r="M104" s="12">
        <v>0</v>
      </c>
      <c r="N104" s="12">
        <v>0</v>
      </c>
      <c r="O104" s="12">
        <v>34042809</v>
      </c>
    </row>
    <row r="105" spans="1:15" ht="12.75" x14ac:dyDescent="0.2">
      <c r="A105" s="13">
        <v>2012</v>
      </c>
      <c r="B105" s="12" t="s">
        <v>318</v>
      </c>
      <c r="C105" s="12">
        <v>32329537</v>
      </c>
      <c r="D105" s="12">
        <v>0</v>
      </c>
      <c r="E105" s="12">
        <v>0</v>
      </c>
      <c r="F105" s="12">
        <v>0</v>
      </c>
      <c r="G105" s="12">
        <v>0</v>
      </c>
      <c r="H105" s="12">
        <v>0</v>
      </c>
      <c r="I105" s="12">
        <v>0</v>
      </c>
      <c r="J105" s="12">
        <v>0</v>
      </c>
      <c r="K105" s="12">
        <v>0</v>
      </c>
      <c r="L105" s="12">
        <v>32329537</v>
      </c>
      <c r="M105" s="12">
        <v>0</v>
      </c>
      <c r="N105" s="12">
        <v>0</v>
      </c>
      <c r="O105" s="12">
        <v>32329537</v>
      </c>
    </row>
    <row r="106" spans="1:15" ht="12.75" x14ac:dyDescent="0.2">
      <c r="A106" s="13">
        <v>2013</v>
      </c>
      <c r="B106" s="12" t="s">
        <v>318</v>
      </c>
      <c r="C106" s="12">
        <v>36126320</v>
      </c>
      <c r="D106" s="12">
        <v>0</v>
      </c>
      <c r="E106" s="12">
        <v>0</v>
      </c>
      <c r="F106" s="12">
        <v>0</v>
      </c>
      <c r="G106" s="12">
        <v>0</v>
      </c>
      <c r="H106" s="12">
        <v>0</v>
      </c>
      <c r="I106" s="12">
        <v>0</v>
      </c>
      <c r="J106" s="12">
        <v>0</v>
      </c>
      <c r="K106" s="12">
        <v>0</v>
      </c>
      <c r="L106" s="12">
        <v>36126320</v>
      </c>
      <c r="M106" s="12">
        <v>0</v>
      </c>
      <c r="N106" s="12">
        <v>0</v>
      </c>
      <c r="O106" s="12">
        <v>36126320</v>
      </c>
    </row>
    <row r="107" spans="1:15" ht="12.75" x14ac:dyDescent="0.2">
      <c r="A107" s="13">
        <v>2014</v>
      </c>
      <c r="B107" s="12" t="s">
        <v>318</v>
      </c>
      <c r="C107" s="12">
        <v>35650327</v>
      </c>
      <c r="D107" s="12">
        <v>0</v>
      </c>
      <c r="E107" s="12">
        <v>0</v>
      </c>
      <c r="F107" s="12">
        <v>0</v>
      </c>
      <c r="G107" s="12">
        <v>0</v>
      </c>
      <c r="H107" s="12">
        <v>0</v>
      </c>
      <c r="I107" s="12">
        <v>0</v>
      </c>
      <c r="J107" s="12">
        <v>0</v>
      </c>
      <c r="K107" s="12">
        <v>0</v>
      </c>
      <c r="L107" s="12">
        <v>35650327</v>
      </c>
      <c r="M107" s="12">
        <v>0</v>
      </c>
      <c r="N107" s="12">
        <v>0</v>
      </c>
      <c r="O107" s="12">
        <v>35650327</v>
      </c>
    </row>
    <row r="108" spans="1:15" ht="12.75" x14ac:dyDescent="0.2">
      <c r="A108" s="13">
        <v>2015</v>
      </c>
      <c r="B108" s="12" t="s">
        <v>318</v>
      </c>
      <c r="C108" s="12">
        <v>35656736</v>
      </c>
      <c r="D108" s="12">
        <v>0</v>
      </c>
      <c r="E108" s="12">
        <v>0</v>
      </c>
      <c r="F108" s="12">
        <v>0</v>
      </c>
      <c r="G108" s="12">
        <v>0</v>
      </c>
      <c r="H108" s="12">
        <v>0</v>
      </c>
      <c r="I108" s="12">
        <v>0</v>
      </c>
      <c r="J108" s="12">
        <v>0</v>
      </c>
      <c r="K108" s="12">
        <v>0</v>
      </c>
      <c r="L108" s="12">
        <v>35656736</v>
      </c>
      <c r="M108" s="12">
        <v>0</v>
      </c>
      <c r="N108" s="12">
        <v>0</v>
      </c>
      <c r="O108" s="12">
        <v>35656736</v>
      </c>
    </row>
    <row r="109" spans="1:15" ht="12.75" x14ac:dyDescent="0.2">
      <c r="A109" s="13">
        <v>2016</v>
      </c>
      <c r="B109" s="12" t="s">
        <v>318</v>
      </c>
      <c r="C109" s="12">
        <v>37023914</v>
      </c>
      <c r="D109" s="12">
        <v>0</v>
      </c>
      <c r="E109" s="12">
        <v>0</v>
      </c>
      <c r="F109" s="12">
        <v>0</v>
      </c>
      <c r="G109" s="12">
        <v>0</v>
      </c>
      <c r="H109" s="12">
        <v>0</v>
      </c>
      <c r="I109" s="12">
        <v>0</v>
      </c>
      <c r="J109" s="12">
        <v>0</v>
      </c>
      <c r="K109" s="12">
        <v>0</v>
      </c>
      <c r="L109" s="12">
        <v>37023914</v>
      </c>
      <c r="M109" s="12">
        <v>0</v>
      </c>
      <c r="N109" s="12">
        <v>0</v>
      </c>
      <c r="O109" s="12">
        <v>37023914</v>
      </c>
    </row>
    <row r="112" spans="1:15" ht="12.75" x14ac:dyDescent="0.2">
      <c r="A112" s="13">
        <v>2004</v>
      </c>
      <c r="B112" s="14">
        <v>41181130</v>
      </c>
      <c r="C112" s="14">
        <v>11043</v>
      </c>
      <c r="D112" s="14">
        <v>0</v>
      </c>
      <c r="E112" s="14">
        <v>0</v>
      </c>
      <c r="F112" s="14">
        <v>0</v>
      </c>
      <c r="G112" s="14">
        <v>0</v>
      </c>
      <c r="H112" s="14">
        <v>184116228</v>
      </c>
      <c r="I112" s="14">
        <v>1682600</v>
      </c>
      <c r="J112" s="14">
        <v>0</v>
      </c>
      <c r="K112" s="14">
        <v>225297358</v>
      </c>
      <c r="L112" s="14">
        <v>1693643</v>
      </c>
      <c r="M112" s="14">
        <v>0</v>
      </c>
      <c r="N112" s="14">
        <v>226991001</v>
      </c>
      <c r="O112" s="14"/>
    </row>
    <row r="113" spans="1:15" ht="12.75" x14ac:dyDescent="0.2">
      <c r="A113" s="13">
        <v>2005</v>
      </c>
      <c r="B113" s="14">
        <v>45847676</v>
      </c>
      <c r="C113" s="14">
        <v>0</v>
      </c>
      <c r="D113" s="14">
        <v>0</v>
      </c>
      <c r="E113" s="14">
        <v>0</v>
      </c>
      <c r="F113" s="14">
        <v>0</v>
      </c>
      <c r="G113" s="14">
        <v>0</v>
      </c>
      <c r="H113" s="14">
        <v>196897216</v>
      </c>
      <c r="I113" s="14">
        <v>1637900</v>
      </c>
      <c r="J113" s="14">
        <v>0</v>
      </c>
      <c r="K113" s="14">
        <v>242744892</v>
      </c>
      <c r="L113" s="14">
        <v>1637900</v>
      </c>
      <c r="M113" s="14">
        <v>0</v>
      </c>
      <c r="N113" s="14">
        <v>244382792</v>
      </c>
      <c r="O113" s="14"/>
    </row>
    <row r="114" spans="1:15" ht="12.75" x14ac:dyDescent="0.2">
      <c r="A114" s="13">
        <v>2006</v>
      </c>
      <c r="B114" s="14">
        <v>46310797</v>
      </c>
      <c r="C114" s="14">
        <v>0</v>
      </c>
      <c r="D114" s="14">
        <v>0</v>
      </c>
      <c r="E114" s="14">
        <v>0</v>
      </c>
      <c r="F114" s="14">
        <v>0</v>
      </c>
      <c r="G114" s="14">
        <v>0</v>
      </c>
      <c r="H114" s="14">
        <v>209432837</v>
      </c>
      <c r="I114" s="14">
        <v>1739900</v>
      </c>
      <c r="J114" s="14">
        <v>0</v>
      </c>
      <c r="K114" s="14">
        <v>255743634</v>
      </c>
      <c r="L114" s="14">
        <v>1739900</v>
      </c>
      <c r="M114" s="14">
        <v>0</v>
      </c>
      <c r="N114" s="14">
        <v>257483534</v>
      </c>
      <c r="O114" s="14"/>
    </row>
    <row r="115" spans="1:15" ht="12.75" x14ac:dyDescent="0.2">
      <c r="A115" s="13">
        <v>2007</v>
      </c>
      <c r="B115" s="14">
        <v>50319980</v>
      </c>
      <c r="C115" s="14">
        <v>0</v>
      </c>
      <c r="D115" s="14">
        <v>0</v>
      </c>
      <c r="E115" s="14">
        <v>0</v>
      </c>
      <c r="F115" s="14">
        <v>0</v>
      </c>
      <c r="G115" s="14">
        <v>0</v>
      </c>
      <c r="H115" s="14">
        <v>220918805</v>
      </c>
      <c r="I115" s="14">
        <v>2047600</v>
      </c>
      <c r="J115" s="14">
        <v>0</v>
      </c>
      <c r="K115" s="14">
        <v>271238785</v>
      </c>
      <c r="L115" s="14">
        <v>2047600</v>
      </c>
      <c r="M115" s="14">
        <v>0</v>
      </c>
      <c r="N115" s="14">
        <v>273286385</v>
      </c>
      <c r="O115" s="14"/>
    </row>
    <row r="116" spans="1:15" ht="12.75" x14ac:dyDescent="0.2">
      <c r="A116" s="13">
        <v>2008</v>
      </c>
      <c r="B116" s="14">
        <v>56126358</v>
      </c>
      <c r="C116" s="14">
        <v>0</v>
      </c>
      <c r="D116" s="14">
        <v>0</v>
      </c>
      <c r="E116" s="14">
        <v>0</v>
      </c>
      <c r="F116" s="14">
        <v>0</v>
      </c>
      <c r="G116" s="14">
        <v>0</v>
      </c>
      <c r="H116" s="14">
        <v>239500966</v>
      </c>
      <c r="I116" s="14">
        <v>2444100</v>
      </c>
      <c r="J116" s="14">
        <v>0</v>
      </c>
      <c r="K116" s="14">
        <v>295627324</v>
      </c>
      <c r="L116" s="14">
        <v>2444100</v>
      </c>
      <c r="M116" s="14">
        <v>0</v>
      </c>
      <c r="N116" s="14">
        <v>298071424</v>
      </c>
      <c r="O116" s="14"/>
    </row>
    <row r="117" spans="1:15" ht="12.75" x14ac:dyDescent="0.2">
      <c r="A117" s="13">
        <v>2009</v>
      </c>
      <c r="B117" s="14">
        <v>65464204</v>
      </c>
      <c r="C117" s="14">
        <v>0</v>
      </c>
      <c r="D117" s="14">
        <v>0</v>
      </c>
      <c r="E117" s="14">
        <v>0</v>
      </c>
      <c r="F117" s="14">
        <v>0</v>
      </c>
      <c r="G117" s="14">
        <v>0</v>
      </c>
      <c r="H117" s="14">
        <v>251604256</v>
      </c>
      <c r="I117" s="14">
        <v>2444100</v>
      </c>
      <c r="J117" s="14">
        <v>0</v>
      </c>
      <c r="K117" s="14">
        <v>317068460</v>
      </c>
      <c r="L117" s="14">
        <v>2444100</v>
      </c>
      <c r="M117" s="14">
        <v>0</v>
      </c>
      <c r="N117" s="14">
        <v>319512560</v>
      </c>
      <c r="O117" s="14"/>
    </row>
    <row r="118" spans="1:15" ht="12.75" x14ac:dyDescent="0.2">
      <c r="A118" s="13">
        <v>2010</v>
      </c>
      <c r="B118" s="14">
        <v>61533811</v>
      </c>
      <c r="C118" s="14">
        <v>0</v>
      </c>
      <c r="D118" s="14">
        <v>0</v>
      </c>
      <c r="E118" s="14">
        <v>0</v>
      </c>
      <c r="F118" s="14">
        <v>0</v>
      </c>
      <c r="G118" s="14">
        <v>0</v>
      </c>
      <c r="H118" s="14">
        <v>261267369</v>
      </c>
      <c r="I118" s="14">
        <v>2445000</v>
      </c>
      <c r="J118" s="14">
        <v>0</v>
      </c>
      <c r="K118" s="14">
        <v>322801180</v>
      </c>
      <c r="L118" s="14">
        <v>2445000</v>
      </c>
      <c r="M118" s="14">
        <v>0</v>
      </c>
      <c r="N118" s="14">
        <v>325246180</v>
      </c>
      <c r="O118" s="14"/>
    </row>
    <row r="119" spans="1:15" ht="12.75" x14ac:dyDescent="0.2">
      <c r="A119" s="13">
        <v>2011</v>
      </c>
      <c r="B119" s="14">
        <v>60374062</v>
      </c>
      <c r="C119" s="14">
        <v>0</v>
      </c>
      <c r="D119" s="14">
        <v>0</v>
      </c>
      <c r="E119" s="14">
        <v>0</v>
      </c>
      <c r="F119" s="14">
        <v>0</v>
      </c>
      <c r="G119" s="14">
        <v>0</v>
      </c>
      <c r="H119" s="14">
        <v>264974129</v>
      </c>
      <c r="I119" s="14">
        <v>2445000</v>
      </c>
      <c r="J119" s="14">
        <v>0</v>
      </c>
      <c r="K119" s="14">
        <v>325348191</v>
      </c>
      <c r="L119" s="14">
        <v>2445000</v>
      </c>
      <c r="M119" s="14">
        <v>0</v>
      </c>
      <c r="N119" s="14">
        <v>327793191</v>
      </c>
      <c r="O119" s="14"/>
    </row>
    <row r="120" spans="1:15" ht="12.75" x14ac:dyDescent="0.2">
      <c r="A120" s="13">
        <v>2012</v>
      </c>
      <c r="B120" s="14">
        <v>51840113</v>
      </c>
      <c r="C120" s="14">
        <v>0</v>
      </c>
      <c r="D120" s="14">
        <v>0</v>
      </c>
      <c r="E120" s="14">
        <v>0</v>
      </c>
      <c r="F120" s="14">
        <v>0</v>
      </c>
      <c r="G120" s="14">
        <v>0</v>
      </c>
      <c r="H120" s="14">
        <v>272879315</v>
      </c>
      <c r="I120" s="14">
        <v>2861000</v>
      </c>
      <c r="J120" s="14">
        <v>0</v>
      </c>
      <c r="K120" s="14">
        <v>324719428</v>
      </c>
      <c r="L120" s="14">
        <v>2861000</v>
      </c>
      <c r="M120" s="14">
        <v>0</v>
      </c>
      <c r="N120" s="14">
        <v>327580428</v>
      </c>
      <c r="O120" s="14"/>
    </row>
    <row r="121" spans="1:15" ht="12.75" x14ac:dyDescent="0.2">
      <c r="A121" s="13">
        <v>2013</v>
      </c>
      <c r="B121" s="14">
        <v>59503775</v>
      </c>
      <c r="C121" s="14">
        <v>0</v>
      </c>
      <c r="D121" s="14">
        <v>0</v>
      </c>
      <c r="E121" s="14">
        <v>0</v>
      </c>
      <c r="F121" s="14">
        <v>0</v>
      </c>
      <c r="G121" s="14">
        <v>0</v>
      </c>
      <c r="H121" s="14">
        <v>293714929</v>
      </c>
      <c r="I121" s="14">
        <v>0</v>
      </c>
      <c r="J121" s="14">
        <v>0</v>
      </c>
      <c r="K121" s="14">
        <v>353218704</v>
      </c>
      <c r="L121" s="14">
        <v>0</v>
      </c>
      <c r="M121" s="14">
        <v>0</v>
      </c>
      <c r="N121" s="14">
        <v>353218704</v>
      </c>
      <c r="O121" s="14"/>
    </row>
    <row r="122" spans="1:15" ht="12.75" x14ac:dyDescent="0.2">
      <c r="A122" s="13">
        <v>2014</v>
      </c>
      <c r="B122" s="14">
        <v>60641049</v>
      </c>
      <c r="C122" s="14">
        <v>0</v>
      </c>
      <c r="D122" s="14">
        <v>0</v>
      </c>
      <c r="E122" s="14">
        <v>0</v>
      </c>
      <c r="F122" s="14">
        <v>0</v>
      </c>
      <c r="G122" s="14">
        <v>0</v>
      </c>
      <c r="H122" s="14">
        <v>295893702</v>
      </c>
      <c r="I122" s="14">
        <v>3068750</v>
      </c>
      <c r="J122" s="14">
        <v>0</v>
      </c>
      <c r="K122" s="14">
        <v>356534751</v>
      </c>
      <c r="L122" s="14">
        <v>3068750</v>
      </c>
      <c r="M122" s="14">
        <v>0</v>
      </c>
      <c r="N122" s="14">
        <v>359603501</v>
      </c>
      <c r="O122" s="14"/>
    </row>
    <row r="123" spans="1:15" ht="12.75" x14ac:dyDescent="0.2">
      <c r="A123" s="13">
        <v>2015</v>
      </c>
      <c r="B123" s="14">
        <v>62740441</v>
      </c>
      <c r="C123" s="14">
        <v>0</v>
      </c>
      <c r="D123" s="14">
        <v>0</v>
      </c>
      <c r="E123" s="14">
        <v>0</v>
      </c>
      <c r="F123" s="14">
        <v>0</v>
      </c>
      <c r="G123" s="14">
        <v>0</v>
      </c>
      <c r="H123" s="14">
        <v>303294495</v>
      </c>
      <c r="I123" s="14">
        <v>3185300</v>
      </c>
      <c r="J123" s="14">
        <v>0</v>
      </c>
      <c r="K123" s="14">
        <v>366034936</v>
      </c>
      <c r="L123" s="14">
        <v>3185300</v>
      </c>
      <c r="M123" s="14">
        <v>0</v>
      </c>
      <c r="N123" s="14">
        <v>369220236</v>
      </c>
      <c r="O123" s="14"/>
    </row>
    <row r="124" spans="1:15" ht="12.75" x14ac:dyDescent="0.2">
      <c r="A124" s="13">
        <v>2016</v>
      </c>
      <c r="B124" s="14">
        <v>65242296</v>
      </c>
      <c r="C124" s="14">
        <v>0</v>
      </c>
      <c r="D124" s="14">
        <v>0</v>
      </c>
      <c r="E124" s="14">
        <v>0</v>
      </c>
      <c r="F124" s="14">
        <v>0</v>
      </c>
      <c r="G124" s="14">
        <v>0</v>
      </c>
      <c r="H124" s="14">
        <v>316335198</v>
      </c>
      <c r="I124" s="14">
        <v>3235650</v>
      </c>
      <c r="J124" s="14">
        <v>0</v>
      </c>
      <c r="K124" s="14">
        <v>381577494</v>
      </c>
      <c r="L124" s="14">
        <v>3235650</v>
      </c>
      <c r="M124" s="14">
        <v>0</v>
      </c>
      <c r="N124" s="14">
        <v>384813144</v>
      </c>
      <c r="O124" s="14"/>
    </row>
  </sheetData>
  <phoneticPr fontId="0" type="noConversion"/>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70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231000</v>
      </c>
      <c r="C7" s="3">
        <v>0</v>
      </c>
      <c r="D7" s="3">
        <v>0</v>
      </c>
      <c r="E7" s="3">
        <v>0</v>
      </c>
      <c r="F7" s="3">
        <v>0</v>
      </c>
      <c r="G7" s="3">
        <v>0</v>
      </c>
      <c r="H7" s="3">
        <v>0</v>
      </c>
      <c r="I7" s="3">
        <v>0</v>
      </c>
      <c r="J7" s="3">
        <v>0</v>
      </c>
      <c r="K7" s="3">
        <f t="shared" si="0"/>
        <v>231000</v>
      </c>
      <c r="L7" s="3">
        <f t="shared" si="0"/>
        <v>0</v>
      </c>
      <c r="M7" s="3">
        <f t="shared" si="0"/>
        <v>0</v>
      </c>
      <c r="N7" s="3">
        <f t="shared" si="1"/>
        <v>231000</v>
      </c>
      <c r="O7" s="1" t="s">
        <v>90</v>
      </c>
    </row>
    <row r="8" spans="1:15" x14ac:dyDescent="0.15">
      <c r="A8" s="1">
        <v>1976</v>
      </c>
      <c r="B8" s="3">
        <v>207000</v>
      </c>
      <c r="C8" s="3">
        <v>0</v>
      </c>
      <c r="D8" s="3">
        <v>0</v>
      </c>
      <c r="E8" s="3">
        <v>0</v>
      </c>
      <c r="F8" s="3">
        <v>0</v>
      </c>
      <c r="G8" s="3">
        <v>0</v>
      </c>
      <c r="H8" s="3">
        <v>0</v>
      </c>
      <c r="I8" s="3">
        <v>0</v>
      </c>
      <c r="J8" s="3">
        <v>0</v>
      </c>
      <c r="K8" s="3">
        <f t="shared" si="0"/>
        <v>207000</v>
      </c>
      <c r="L8" s="3">
        <f t="shared" si="0"/>
        <v>0</v>
      </c>
      <c r="M8" s="3">
        <f t="shared" si="0"/>
        <v>0</v>
      </c>
      <c r="N8" s="3">
        <f t="shared" si="1"/>
        <v>207000</v>
      </c>
    </row>
    <row r="9" spans="1:15" x14ac:dyDescent="0.15">
      <c r="A9" s="1">
        <v>1977</v>
      </c>
      <c r="B9" s="3">
        <v>243000</v>
      </c>
      <c r="C9" s="3">
        <v>0</v>
      </c>
      <c r="D9" s="3">
        <v>0</v>
      </c>
      <c r="E9" s="3">
        <v>0</v>
      </c>
      <c r="F9" s="3">
        <v>0</v>
      </c>
      <c r="G9" s="3">
        <v>0</v>
      </c>
      <c r="H9" s="3">
        <v>0</v>
      </c>
      <c r="I9" s="3">
        <v>0</v>
      </c>
      <c r="J9" s="3">
        <v>0</v>
      </c>
      <c r="K9" s="3">
        <f t="shared" si="0"/>
        <v>243000</v>
      </c>
      <c r="L9" s="3">
        <f t="shared" si="0"/>
        <v>0</v>
      </c>
      <c r="M9" s="3">
        <f t="shared" si="0"/>
        <v>0</v>
      </c>
      <c r="N9" s="3">
        <f t="shared" si="1"/>
        <v>243000</v>
      </c>
    </row>
    <row r="10" spans="1:15" x14ac:dyDescent="0.15">
      <c r="A10" s="1">
        <v>1978</v>
      </c>
      <c r="B10" s="3">
        <v>236000</v>
      </c>
      <c r="C10" s="3">
        <v>0</v>
      </c>
      <c r="D10" s="3">
        <v>0</v>
      </c>
      <c r="E10" s="3">
        <v>0</v>
      </c>
      <c r="F10" s="3">
        <v>0</v>
      </c>
      <c r="G10" s="3">
        <v>0</v>
      </c>
      <c r="H10" s="3">
        <v>0</v>
      </c>
      <c r="I10" s="3">
        <v>0</v>
      </c>
      <c r="J10" s="3">
        <v>0</v>
      </c>
      <c r="K10" s="3">
        <f t="shared" si="0"/>
        <v>236000</v>
      </c>
      <c r="L10" s="3">
        <f t="shared" si="0"/>
        <v>0</v>
      </c>
      <c r="M10" s="3">
        <f t="shared" si="0"/>
        <v>0</v>
      </c>
      <c r="N10" s="3">
        <f t="shared" si="1"/>
        <v>236000</v>
      </c>
    </row>
    <row r="11" spans="1:15" x14ac:dyDescent="0.15">
      <c r="A11" s="1">
        <v>1979</v>
      </c>
      <c r="B11" s="3">
        <v>265000</v>
      </c>
      <c r="C11" s="3">
        <v>0</v>
      </c>
      <c r="D11" s="3">
        <v>0</v>
      </c>
      <c r="E11" s="3">
        <v>0</v>
      </c>
      <c r="F11" s="3">
        <v>0</v>
      </c>
      <c r="G11" s="3">
        <v>0</v>
      </c>
      <c r="H11" s="3">
        <v>0</v>
      </c>
      <c r="I11" s="3">
        <v>0</v>
      </c>
      <c r="J11" s="3">
        <v>0</v>
      </c>
      <c r="K11" s="3">
        <f t="shared" si="0"/>
        <v>265000</v>
      </c>
      <c r="L11" s="3">
        <f t="shared" si="0"/>
        <v>0</v>
      </c>
      <c r="M11" s="3">
        <f t="shared" si="0"/>
        <v>0</v>
      </c>
      <c r="N11" s="3">
        <f t="shared" si="1"/>
        <v>265000</v>
      </c>
    </row>
    <row r="12" spans="1:15" x14ac:dyDescent="0.15">
      <c r="A12" s="1">
        <v>1980</v>
      </c>
      <c r="B12" s="3">
        <v>173000</v>
      </c>
      <c r="C12" s="3">
        <v>0</v>
      </c>
      <c r="D12" s="3">
        <v>0</v>
      </c>
      <c r="E12" s="3">
        <v>48000</v>
      </c>
      <c r="F12" s="3">
        <v>0</v>
      </c>
      <c r="G12" s="3">
        <v>0</v>
      </c>
      <c r="H12" s="3">
        <v>0</v>
      </c>
      <c r="I12" s="3">
        <v>0</v>
      </c>
      <c r="J12" s="3">
        <v>0</v>
      </c>
      <c r="K12" s="3">
        <f t="shared" si="0"/>
        <v>221000</v>
      </c>
      <c r="L12" s="3">
        <f t="shared" si="0"/>
        <v>0</v>
      </c>
      <c r="M12" s="3">
        <f t="shared" si="0"/>
        <v>0</v>
      </c>
      <c r="N12" s="3">
        <f t="shared" si="1"/>
        <v>221000</v>
      </c>
      <c r="O12" s="1" t="s">
        <v>129</v>
      </c>
    </row>
    <row r="13" spans="1:15" x14ac:dyDescent="0.15">
      <c r="A13" s="1">
        <v>1981</v>
      </c>
      <c r="B13" s="3">
        <v>427000</v>
      </c>
      <c r="C13" s="3">
        <v>0</v>
      </c>
      <c r="D13" s="3">
        <v>0</v>
      </c>
      <c r="E13" s="3">
        <v>0</v>
      </c>
      <c r="F13" s="3">
        <v>0</v>
      </c>
      <c r="G13" s="3">
        <v>0</v>
      </c>
      <c r="H13" s="3">
        <v>0</v>
      </c>
      <c r="I13" s="3">
        <v>0</v>
      </c>
      <c r="J13" s="3">
        <v>0</v>
      </c>
      <c r="K13" s="3">
        <f t="shared" si="0"/>
        <v>427000</v>
      </c>
      <c r="L13" s="3">
        <f t="shared" si="0"/>
        <v>0</v>
      </c>
      <c r="M13" s="3">
        <f t="shared" si="0"/>
        <v>0</v>
      </c>
      <c r="N13" s="3">
        <f t="shared" si="1"/>
        <v>427000</v>
      </c>
      <c r="O13" s="1" t="s">
        <v>106</v>
      </c>
    </row>
    <row r="14" spans="1:15" x14ac:dyDescent="0.15">
      <c r="A14" s="1">
        <v>1982</v>
      </c>
      <c r="B14" s="3">
        <v>431000</v>
      </c>
      <c r="C14" s="3">
        <v>0</v>
      </c>
      <c r="D14" s="3">
        <v>0</v>
      </c>
      <c r="E14" s="3">
        <v>0</v>
      </c>
      <c r="F14" s="3">
        <v>0</v>
      </c>
      <c r="G14" s="3">
        <v>0</v>
      </c>
      <c r="H14" s="3">
        <v>0</v>
      </c>
      <c r="I14" s="3">
        <v>0</v>
      </c>
      <c r="J14" s="3">
        <v>0</v>
      </c>
      <c r="K14" s="3">
        <f t="shared" si="0"/>
        <v>431000</v>
      </c>
      <c r="L14" s="3">
        <f t="shared" si="0"/>
        <v>0</v>
      </c>
      <c r="M14" s="3">
        <f t="shared" si="0"/>
        <v>0</v>
      </c>
      <c r="N14" s="3">
        <f t="shared" si="1"/>
        <v>431000</v>
      </c>
      <c r="O14" s="1" t="s">
        <v>145</v>
      </c>
    </row>
    <row r="15" spans="1:15" x14ac:dyDescent="0.15">
      <c r="A15" s="1">
        <v>1983</v>
      </c>
      <c r="B15" s="3">
        <v>431000</v>
      </c>
      <c r="C15" s="3">
        <v>0</v>
      </c>
      <c r="D15" s="3">
        <v>0</v>
      </c>
      <c r="E15" s="3">
        <v>0</v>
      </c>
      <c r="F15" s="3">
        <v>0</v>
      </c>
      <c r="G15" s="3">
        <v>0</v>
      </c>
      <c r="H15" s="3">
        <v>0</v>
      </c>
      <c r="I15" s="3">
        <v>0</v>
      </c>
      <c r="J15" s="3">
        <v>0</v>
      </c>
      <c r="K15" s="3">
        <f t="shared" si="0"/>
        <v>431000</v>
      </c>
      <c r="L15" s="3">
        <f t="shared" si="0"/>
        <v>0</v>
      </c>
      <c r="M15" s="3">
        <f t="shared" si="0"/>
        <v>0</v>
      </c>
      <c r="N15" s="3">
        <f t="shared" si="1"/>
        <v>431000</v>
      </c>
      <c r="O15" s="1" t="s">
        <v>146</v>
      </c>
    </row>
    <row r="16" spans="1:15" x14ac:dyDescent="0.15">
      <c r="A16" s="1">
        <v>1984</v>
      </c>
      <c r="B16" s="3">
        <v>170000</v>
      </c>
      <c r="C16" s="3">
        <v>0</v>
      </c>
      <c r="D16" s="3">
        <v>0</v>
      </c>
      <c r="E16" s="3">
        <v>100000</v>
      </c>
      <c r="F16" s="3">
        <v>0</v>
      </c>
      <c r="G16" s="3">
        <v>0</v>
      </c>
      <c r="H16" s="3">
        <v>0</v>
      </c>
      <c r="I16" s="3">
        <v>0</v>
      </c>
      <c r="J16" s="3">
        <v>0</v>
      </c>
      <c r="K16" s="3">
        <f t="shared" si="0"/>
        <v>270000</v>
      </c>
      <c r="L16" s="3">
        <f t="shared" si="0"/>
        <v>0</v>
      </c>
      <c r="M16" s="3">
        <f t="shared" si="0"/>
        <v>0</v>
      </c>
      <c r="N16" s="3">
        <f t="shared" si="1"/>
        <v>270000</v>
      </c>
      <c r="O16" s="1" t="s">
        <v>160</v>
      </c>
    </row>
    <row r="17" spans="1:15" x14ac:dyDescent="0.15">
      <c r="A17" s="1">
        <v>1985</v>
      </c>
      <c r="B17" s="3">
        <v>431000</v>
      </c>
      <c r="C17" s="3">
        <v>0</v>
      </c>
      <c r="D17" s="3">
        <v>0</v>
      </c>
      <c r="E17" s="3">
        <v>100000</v>
      </c>
      <c r="F17" s="3">
        <v>0</v>
      </c>
      <c r="G17" s="3">
        <v>0</v>
      </c>
      <c r="H17" s="3">
        <v>0</v>
      </c>
      <c r="I17" s="3">
        <v>0</v>
      </c>
      <c r="J17" s="3">
        <v>0</v>
      </c>
      <c r="K17" s="3">
        <f t="shared" si="0"/>
        <v>531000</v>
      </c>
      <c r="L17" s="3">
        <f t="shared" si="0"/>
        <v>0</v>
      </c>
      <c r="M17" s="3">
        <f t="shared" si="0"/>
        <v>0</v>
      </c>
      <c r="N17" s="3">
        <f t="shared" si="1"/>
        <v>531000</v>
      </c>
      <c r="O17" s="1" t="s">
        <v>146</v>
      </c>
    </row>
    <row r="18" spans="1:15" x14ac:dyDescent="0.15">
      <c r="A18" s="1">
        <v>1986</v>
      </c>
      <c r="B18" s="3">
        <v>0</v>
      </c>
      <c r="C18" s="3">
        <v>0</v>
      </c>
      <c r="D18" s="3">
        <v>431000</v>
      </c>
      <c r="E18" s="3">
        <f>200000+10000</f>
        <v>210000</v>
      </c>
      <c r="F18" s="3">
        <v>0</v>
      </c>
      <c r="G18" s="3">
        <v>0</v>
      </c>
      <c r="H18" s="3">
        <v>35000</v>
      </c>
      <c r="I18" s="3">
        <v>0</v>
      </c>
      <c r="J18" s="3">
        <v>0</v>
      </c>
      <c r="K18" s="3">
        <f t="shared" si="0"/>
        <v>245000</v>
      </c>
      <c r="L18" s="3">
        <f t="shared" si="0"/>
        <v>0</v>
      </c>
      <c r="M18" s="3">
        <f t="shared" si="0"/>
        <v>431000</v>
      </c>
      <c r="N18" s="3">
        <f t="shared" si="1"/>
        <v>676000</v>
      </c>
    </row>
    <row r="19" spans="1:15" x14ac:dyDescent="0.15">
      <c r="A19" s="1">
        <v>1987</v>
      </c>
      <c r="B19" s="3">
        <v>0</v>
      </c>
      <c r="C19" s="3">
        <v>0</v>
      </c>
      <c r="D19" s="3">
        <v>413000</v>
      </c>
      <c r="E19" s="3">
        <v>150000</v>
      </c>
      <c r="F19" s="3">
        <v>0</v>
      </c>
      <c r="G19" s="3">
        <v>0</v>
      </c>
      <c r="H19" s="3">
        <v>57000</v>
      </c>
      <c r="I19" s="3">
        <v>0</v>
      </c>
      <c r="J19" s="3">
        <v>0</v>
      </c>
      <c r="K19" s="3">
        <f t="shared" si="0"/>
        <v>207000</v>
      </c>
      <c r="L19" s="3">
        <f t="shared" si="0"/>
        <v>0</v>
      </c>
      <c r="M19" s="3">
        <f t="shared" si="0"/>
        <v>413000</v>
      </c>
      <c r="N19" s="3">
        <f t="shared" si="1"/>
        <v>620000</v>
      </c>
    </row>
    <row r="20" spans="1:15" x14ac:dyDescent="0.15">
      <c r="A20" s="1">
        <v>1988</v>
      </c>
      <c r="B20" s="3">
        <v>0</v>
      </c>
      <c r="C20" s="3">
        <v>0</v>
      </c>
      <c r="D20" s="3">
        <v>431000</v>
      </c>
      <c r="E20" s="3">
        <v>150000</v>
      </c>
      <c r="F20" s="3">
        <v>0</v>
      </c>
      <c r="G20" s="3">
        <v>0</v>
      </c>
      <c r="H20" s="3">
        <v>90000</v>
      </c>
      <c r="I20" s="3">
        <v>0</v>
      </c>
      <c r="J20" s="3">
        <v>0</v>
      </c>
      <c r="K20" s="3">
        <f t="shared" si="0"/>
        <v>240000</v>
      </c>
      <c r="L20" s="3">
        <f t="shared" si="0"/>
        <v>0</v>
      </c>
      <c r="M20" s="3">
        <f t="shared" si="0"/>
        <v>431000</v>
      </c>
      <c r="N20" s="3">
        <f t="shared" si="1"/>
        <v>671000</v>
      </c>
      <c r="O20" s="1" t="s">
        <v>173</v>
      </c>
    </row>
    <row r="21" spans="1:15" x14ac:dyDescent="0.15">
      <c r="A21" s="1">
        <v>1989</v>
      </c>
      <c r="B21" s="3">
        <v>0</v>
      </c>
      <c r="C21" s="3">
        <v>0</v>
      </c>
      <c r="D21" s="3">
        <v>356000</v>
      </c>
      <c r="E21" s="3">
        <v>150000</v>
      </c>
      <c r="F21" s="3">
        <v>0</v>
      </c>
      <c r="G21" s="3">
        <v>0</v>
      </c>
      <c r="H21" s="3">
        <v>90000</v>
      </c>
      <c r="I21" s="3">
        <v>0</v>
      </c>
      <c r="J21" s="3">
        <v>0</v>
      </c>
      <c r="K21" s="3">
        <f t="shared" si="0"/>
        <v>240000</v>
      </c>
      <c r="L21" s="3">
        <f t="shared" si="0"/>
        <v>0</v>
      </c>
      <c r="M21" s="3">
        <f t="shared" si="0"/>
        <v>356000</v>
      </c>
      <c r="N21" s="3">
        <f t="shared" si="1"/>
        <v>596000</v>
      </c>
    </row>
    <row r="22" spans="1:15" x14ac:dyDescent="0.15">
      <c r="A22" s="1">
        <v>1990</v>
      </c>
      <c r="B22" s="3">
        <v>0</v>
      </c>
      <c r="C22" s="3">
        <v>0</v>
      </c>
      <c r="D22" s="3">
        <v>354000</v>
      </c>
      <c r="E22" s="3">
        <v>150000</v>
      </c>
      <c r="F22" s="3">
        <v>0</v>
      </c>
      <c r="G22" s="3">
        <v>0</v>
      </c>
      <c r="H22" s="3">
        <v>90000</v>
      </c>
      <c r="I22" s="3">
        <v>0</v>
      </c>
      <c r="J22" s="3">
        <v>0</v>
      </c>
      <c r="K22" s="3">
        <f t="shared" ref="K22:M35" si="2">+B22+E22+H22</f>
        <v>240000</v>
      </c>
      <c r="L22" s="3">
        <f t="shared" si="2"/>
        <v>0</v>
      </c>
      <c r="M22" s="3">
        <f t="shared" si="2"/>
        <v>354000</v>
      </c>
      <c r="N22" s="3">
        <f t="shared" si="1"/>
        <v>594000</v>
      </c>
    </row>
    <row r="23" spans="1:15" x14ac:dyDescent="0.15">
      <c r="A23" s="1">
        <v>1991</v>
      </c>
      <c r="B23" s="3">
        <v>0</v>
      </c>
      <c r="C23" s="3">
        <v>0</v>
      </c>
      <c r="D23" s="3">
        <v>318000</v>
      </c>
      <c r="E23" s="3">
        <v>150000</v>
      </c>
      <c r="F23" s="3">
        <v>0</v>
      </c>
      <c r="G23" s="3">
        <v>0</v>
      </c>
      <c r="H23" s="3">
        <v>90000</v>
      </c>
      <c r="I23" s="3">
        <v>0</v>
      </c>
      <c r="J23" s="3">
        <v>0</v>
      </c>
      <c r="K23" s="3">
        <f t="shared" si="2"/>
        <v>240000</v>
      </c>
      <c r="L23" s="3">
        <f t="shared" si="2"/>
        <v>0</v>
      </c>
      <c r="M23" s="3">
        <f t="shared" si="2"/>
        <v>318000</v>
      </c>
      <c r="N23" s="3">
        <f t="shared" si="1"/>
        <v>558000</v>
      </c>
    </row>
    <row r="24" spans="1:15" x14ac:dyDescent="0.15">
      <c r="A24" s="1">
        <v>1992</v>
      </c>
      <c r="B24" s="3">
        <v>0</v>
      </c>
      <c r="C24" s="3">
        <v>0</v>
      </c>
      <c r="D24" s="3">
        <v>330000</v>
      </c>
      <c r="E24" s="3">
        <v>150000</v>
      </c>
      <c r="F24" s="3">
        <v>0</v>
      </c>
      <c r="G24" s="3">
        <v>0</v>
      </c>
      <c r="H24" s="3">
        <v>90000</v>
      </c>
      <c r="I24" s="3">
        <v>0</v>
      </c>
      <c r="J24" s="3">
        <v>0</v>
      </c>
      <c r="K24" s="3">
        <f t="shared" si="2"/>
        <v>240000</v>
      </c>
      <c r="L24" s="3">
        <f t="shared" si="2"/>
        <v>0</v>
      </c>
      <c r="M24" s="3">
        <f t="shared" si="2"/>
        <v>330000</v>
      </c>
      <c r="N24" s="3">
        <f t="shared" si="1"/>
        <v>570000</v>
      </c>
    </row>
    <row r="25" spans="1:15" x14ac:dyDescent="0.15">
      <c r="A25" s="1">
        <v>1993</v>
      </c>
      <c r="B25" s="3">
        <v>0</v>
      </c>
      <c r="C25" s="3">
        <v>0</v>
      </c>
      <c r="D25" s="3">
        <v>396000</v>
      </c>
      <c r="E25" s="3">
        <v>191000</v>
      </c>
      <c r="F25" s="3">
        <v>0</v>
      </c>
      <c r="G25" s="3">
        <v>0</v>
      </c>
      <c r="H25" s="3">
        <v>90000</v>
      </c>
      <c r="I25" s="3">
        <v>0</v>
      </c>
      <c r="J25" s="3">
        <v>0</v>
      </c>
      <c r="K25" s="3">
        <f t="shared" si="2"/>
        <v>281000</v>
      </c>
      <c r="L25" s="3">
        <f t="shared" si="2"/>
        <v>0</v>
      </c>
      <c r="M25" s="3">
        <f t="shared" si="2"/>
        <v>396000</v>
      </c>
      <c r="N25" s="3">
        <f t="shared" si="1"/>
        <v>677000</v>
      </c>
    </row>
    <row r="26" spans="1:15" x14ac:dyDescent="0.15">
      <c r="A26" s="1">
        <v>1994</v>
      </c>
      <c r="B26" s="3">
        <v>0</v>
      </c>
      <c r="C26" s="3">
        <v>0</v>
      </c>
      <c r="D26" s="3">
        <v>398000</v>
      </c>
      <c r="E26" s="3">
        <v>191000</v>
      </c>
      <c r="F26" s="3">
        <v>0</v>
      </c>
      <c r="G26" s="3">
        <v>0</v>
      </c>
      <c r="H26" s="3">
        <v>72000</v>
      </c>
      <c r="I26" s="3">
        <v>0</v>
      </c>
      <c r="J26" s="3">
        <v>0</v>
      </c>
      <c r="K26" s="3">
        <f t="shared" si="2"/>
        <v>263000</v>
      </c>
      <c r="L26" s="3">
        <f t="shared" si="2"/>
        <v>0</v>
      </c>
      <c r="M26" s="3">
        <f t="shared" si="2"/>
        <v>398000</v>
      </c>
      <c r="N26" s="3">
        <f t="shared" si="1"/>
        <v>661000</v>
      </c>
    </row>
    <row r="27" spans="1:15" x14ac:dyDescent="0.15">
      <c r="A27" s="1">
        <v>1995</v>
      </c>
      <c r="B27" s="3">
        <v>0</v>
      </c>
      <c r="C27" s="3">
        <v>0</v>
      </c>
      <c r="D27" s="3">
        <v>398000</v>
      </c>
      <c r="E27" s="3">
        <v>191000</v>
      </c>
      <c r="F27" s="3">
        <v>0</v>
      </c>
      <c r="G27" s="3">
        <v>0</v>
      </c>
      <c r="H27" s="3">
        <v>72000</v>
      </c>
      <c r="I27" s="3">
        <v>0</v>
      </c>
      <c r="J27" s="3">
        <v>0</v>
      </c>
      <c r="K27" s="3">
        <f t="shared" si="2"/>
        <v>263000</v>
      </c>
      <c r="L27" s="3">
        <f t="shared" si="2"/>
        <v>0</v>
      </c>
      <c r="M27" s="3">
        <f t="shared" si="2"/>
        <v>398000</v>
      </c>
      <c r="N27" s="3">
        <f t="shared" si="1"/>
        <v>661000</v>
      </c>
      <c r="O27" s="1" t="s">
        <v>146</v>
      </c>
    </row>
    <row r="28" spans="1:15" x14ac:dyDescent="0.15">
      <c r="A28" s="1">
        <v>1996</v>
      </c>
      <c r="B28" s="3">
        <v>371138</v>
      </c>
      <c r="C28" s="3">
        <v>0</v>
      </c>
      <c r="D28" s="3">
        <v>0</v>
      </c>
      <c r="E28" s="3">
        <v>191350</v>
      </c>
      <c r="F28" s="3">
        <v>0</v>
      </c>
      <c r="G28" s="3">
        <v>0</v>
      </c>
      <c r="H28" s="3">
        <v>0</v>
      </c>
      <c r="I28" s="3">
        <v>0</v>
      </c>
      <c r="J28" s="3">
        <v>0</v>
      </c>
      <c r="K28" s="3">
        <f t="shared" si="2"/>
        <v>562488</v>
      </c>
      <c r="L28" s="3">
        <f t="shared" si="2"/>
        <v>0</v>
      </c>
      <c r="M28" s="3">
        <f t="shared" si="2"/>
        <v>0</v>
      </c>
      <c r="N28" s="3">
        <f t="shared" si="1"/>
        <v>562488</v>
      </c>
    </row>
    <row r="29" spans="1:15" x14ac:dyDescent="0.15">
      <c r="A29" s="1">
        <v>1997</v>
      </c>
      <c r="B29" s="3">
        <v>218214</v>
      </c>
      <c r="C29" s="3">
        <v>0</v>
      </c>
      <c r="D29" s="3">
        <v>0</v>
      </c>
      <c r="E29" s="3">
        <v>127500</v>
      </c>
      <c r="F29" s="3">
        <v>0</v>
      </c>
      <c r="G29" s="3">
        <v>0</v>
      </c>
      <c r="H29" s="3">
        <v>0</v>
      </c>
      <c r="I29" s="3">
        <v>0</v>
      </c>
      <c r="J29" s="3">
        <v>0</v>
      </c>
      <c r="K29" s="3">
        <f t="shared" si="2"/>
        <v>345714</v>
      </c>
      <c r="L29" s="3">
        <f t="shared" si="2"/>
        <v>0</v>
      </c>
      <c r="M29" s="3">
        <f t="shared" si="2"/>
        <v>0</v>
      </c>
      <c r="N29" s="3">
        <f t="shared" si="1"/>
        <v>345714</v>
      </c>
    </row>
    <row r="30" spans="1:15" x14ac:dyDescent="0.15">
      <c r="A30" s="1">
        <v>1998</v>
      </c>
      <c r="B30" s="3">
        <v>0</v>
      </c>
      <c r="C30" s="3">
        <v>0</v>
      </c>
      <c r="D30" s="3">
        <v>0</v>
      </c>
      <c r="E30" s="3">
        <v>0</v>
      </c>
      <c r="F30" s="3">
        <v>0</v>
      </c>
      <c r="G30" s="3">
        <v>0</v>
      </c>
      <c r="H30" s="3">
        <v>0</v>
      </c>
      <c r="I30" s="3">
        <v>0</v>
      </c>
      <c r="J30" s="3">
        <v>0</v>
      </c>
      <c r="K30" s="3">
        <f t="shared" si="2"/>
        <v>0</v>
      </c>
      <c r="L30" s="3">
        <f t="shared" si="2"/>
        <v>0</v>
      </c>
      <c r="M30" s="3">
        <f t="shared" si="2"/>
        <v>0</v>
      </c>
      <c r="N30" s="3">
        <f t="shared" si="1"/>
        <v>0</v>
      </c>
    </row>
    <row r="31" spans="1:15" x14ac:dyDescent="0.15">
      <c r="A31" s="1">
        <v>1999</v>
      </c>
      <c r="B31" s="3">
        <v>0</v>
      </c>
      <c r="C31" s="3">
        <v>0</v>
      </c>
      <c r="D31" s="3">
        <v>0</v>
      </c>
      <c r="E31" s="3">
        <v>0</v>
      </c>
      <c r="F31" s="3">
        <v>0</v>
      </c>
      <c r="G31" s="3">
        <v>0</v>
      </c>
      <c r="H31" s="3">
        <v>0</v>
      </c>
      <c r="I31" s="3">
        <v>0</v>
      </c>
      <c r="J31" s="3">
        <v>0</v>
      </c>
      <c r="K31" s="3">
        <f t="shared" si="2"/>
        <v>0</v>
      </c>
      <c r="L31" s="3">
        <f t="shared" si="2"/>
        <v>0</v>
      </c>
      <c r="M31" s="3">
        <f t="shared" si="2"/>
        <v>0</v>
      </c>
      <c r="N31" s="3">
        <f t="shared" si="1"/>
        <v>0</v>
      </c>
    </row>
    <row r="32" spans="1:15" x14ac:dyDescent="0.15">
      <c r="A32" s="1">
        <v>2000</v>
      </c>
      <c r="B32" s="3">
        <v>0</v>
      </c>
      <c r="C32" s="3">
        <v>0</v>
      </c>
      <c r="D32" s="3">
        <v>0</v>
      </c>
      <c r="E32" s="3">
        <v>0</v>
      </c>
      <c r="F32" s="3">
        <v>0</v>
      </c>
      <c r="G32" s="3">
        <v>0</v>
      </c>
      <c r="H32" s="3">
        <v>0</v>
      </c>
      <c r="I32" s="3">
        <v>0</v>
      </c>
      <c r="J32" s="3">
        <v>0</v>
      </c>
      <c r="K32" s="3">
        <f t="shared" si="2"/>
        <v>0</v>
      </c>
      <c r="L32" s="3">
        <f t="shared" si="2"/>
        <v>0</v>
      </c>
      <c r="M32" s="3">
        <f t="shared" si="2"/>
        <v>0</v>
      </c>
      <c r="N32" s="3">
        <f t="shared" si="1"/>
        <v>0</v>
      </c>
    </row>
    <row r="33" spans="1:15" x14ac:dyDescent="0.15">
      <c r="A33" s="1">
        <v>2001</v>
      </c>
      <c r="B33" s="3">
        <v>0</v>
      </c>
      <c r="C33" s="3">
        <v>0</v>
      </c>
      <c r="D33" s="3">
        <v>0</v>
      </c>
      <c r="E33" s="3">
        <v>0</v>
      </c>
      <c r="F33" s="3">
        <v>0</v>
      </c>
      <c r="G33" s="3">
        <v>0</v>
      </c>
      <c r="H33" s="3">
        <v>0</v>
      </c>
      <c r="I33" s="3">
        <v>0</v>
      </c>
      <c r="J33" s="3">
        <v>0</v>
      </c>
      <c r="K33" s="3">
        <f t="shared" si="2"/>
        <v>0</v>
      </c>
      <c r="L33" s="3">
        <f t="shared" si="2"/>
        <v>0</v>
      </c>
      <c r="M33" s="3">
        <f t="shared" si="2"/>
        <v>0</v>
      </c>
      <c r="N33" s="3">
        <f t="shared" si="1"/>
        <v>0</v>
      </c>
    </row>
    <row r="34" spans="1:15" x14ac:dyDescent="0.15">
      <c r="A34" s="1">
        <v>2002</v>
      </c>
      <c r="B34" s="3">
        <v>0</v>
      </c>
      <c r="C34" s="3">
        <v>0</v>
      </c>
      <c r="D34" s="3">
        <v>0</v>
      </c>
      <c r="E34" s="3">
        <v>0</v>
      </c>
      <c r="F34" s="3">
        <v>0</v>
      </c>
      <c r="G34" s="3">
        <v>0</v>
      </c>
      <c r="H34" s="3">
        <v>0</v>
      </c>
      <c r="I34" s="3">
        <v>0</v>
      </c>
      <c r="J34" s="3">
        <v>0</v>
      </c>
      <c r="K34" s="3">
        <f t="shared" si="2"/>
        <v>0</v>
      </c>
      <c r="L34" s="3">
        <f t="shared" si="2"/>
        <v>0</v>
      </c>
      <c r="M34" s="3">
        <f t="shared" si="2"/>
        <v>0</v>
      </c>
      <c r="N34" s="3">
        <f t="shared" si="1"/>
        <v>0</v>
      </c>
    </row>
    <row r="35" spans="1:15" x14ac:dyDescent="0.15">
      <c r="A35" s="1">
        <v>2003</v>
      </c>
      <c r="B35" s="3">
        <v>0</v>
      </c>
      <c r="C35" s="3">
        <v>0</v>
      </c>
      <c r="D35" s="3">
        <v>0</v>
      </c>
      <c r="E35" s="3">
        <v>0</v>
      </c>
      <c r="F35" s="3">
        <v>0</v>
      </c>
      <c r="G35" s="3">
        <v>0</v>
      </c>
      <c r="H35" s="3">
        <v>0</v>
      </c>
      <c r="I35" s="3">
        <v>0</v>
      </c>
      <c r="J35" s="3">
        <v>0</v>
      </c>
      <c r="K35" s="3">
        <f t="shared" si="2"/>
        <v>0</v>
      </c>
      <c r="L35" s="3">
        <f t="shared" si="2"/>
        <v>0</v>
      </c>
      <c r="M35" s="3">
        <f t="shared" si="2"/>
        <v>0</v>
      </c>
      <c r="N35" s="3">
        <f t="shared" si="1"/>
        <v>0</v>
      </c>
    </row>
    <row r="36" spans="1:15" x14ac:dyDescent="0.15">
      <c r="A36" s="1">
        <v>2004</v>
      </c>
      <c r="B36" s="3">
        <v>0</v>
      </c>
      <c r="C36" s="3">
        <v>0</v>
      </c>
      <c r="D36" s="3">
        <v>0</v>
      </c>
      <c r="E36" s="3">
        <v>0</v>
      </c>
      <c r="F36" s="3">
        <v>0</v>
      </c>
      <c r="G36" s="3">
        <v>0</v>
      </c>
      <c r="H36" s="3">
        <v>0</v>
      </c>
      <c r="I36" s="3">
        <v>0</v>
      </c>
      <c r="J36" s="3">
        <v>0</v>
      </c>
      <c r="K36" s="3">
        <v>0</v>
      </c>
      <c r="L36" s="3">
        <v>0</v>
      </c>
      <c r="M36" s="3">
        <v>0</v>
      </c>
      <c r="N36" s="3">
        <v>0</v>
      </c>
    </row>
    <row r="37" spans="1:15" x14ac:dyDescent="0.15">
      <c r="A37" s="1">
        <v>2005</v>
      </c>
      <c r="B37" s="3">
        <v>0</v>
      </c>
      <c r="C37" s="3">
        <v>0</v>
      </c>
      <c r="D37" s="3">
        <v>0</v>
      </c>
      <c r="E37" s="3">
        <v>0</v>
      </c>
      <c r="F37" s="3">
        <v>0</v>
      </c>
      <c r="G37" s="3">
        <v>0</v>
      </c>
      <c r="H37" s="3">
        <v>0</v>
      </c>
      <c r="I37" s="3">
        <v>0</v>
      </c>
      <c r="J37" s="3">
        <v>0</v>
      </c>
      <c r="K37" s="3">
        <v>0</v>
      </c>
      <c r="L37" s="3">
        <v>0</v>
      </c>
      <c r="M37" s="3">
        <v>0</v>
      </c>
      <c r="N37" s="3">
        <v>0</v>
      </c>
    </row>
    <row r="38" spans="1:15" x14ac:dyDescent="0.15">
      <c r="A38" s="1">
        <v>2006</v>
      </c>
      <c r="B38" s="3">
        <v>0</v>
      </c>
      <c r="C38" s="3">
        <v>0</v>
      </c>
      <c r="D38" s="3">
        <v>0</v>
      </c>
      <c r="E38" s="3">
        <v>0</v>
      </c>
      <c r="F38" s="3">
        <v>0</v>
      </c>
      <c r="G38" s="3">
        <v>0</v>
      </c>
      <c r="H38" s="3">
        <v>2912000</v>
      </c>
      <c r="I38" s="3">
        <v>0</v>
      </c>
      <c r="J38" s="3">
        <v>0</v>
      </c>
      <c r="K38" s="3">
        <v>2912000</v>
      </c>
      <c r="L38" s="3">
        <v>0</v>
      </c>
      <c r="M38" s="3">
        <v>0</v>
      </c>
      <c r="N38" s="3">
        <v>2912000</v>
      </c>
      <c r="O38" s="1" t="s">
        <v>321</v>
      </c>
    </row>
    <row r="39" spans="1:15" x14ac:dyDescent="0.15">
      <c r="A39" s="1">
        <v>2007</v>
      </c>
      <c r="B39" s="3">
        <v>0</v>
      </c>
      <c r="C39" s="3">
        <v>0</v>
      </c>
      <c r="D39" s="3">
        <v>0</v>
      </c>
      <c r="E39" s="3">
        <v>0</v>
      </c>
      <c r="F39" s="3">
        <v>0</v>
      </c>
      <c r="G39" s="3">
        <v>0</v>
      </c>
      <c r="H39" s="3">
        <v>2139500</v>
      </c>
      <c r="I39" s="3">
        <v>0</v>
      </c>
      <c r="J39" s="3">
        <v>0</v>
      </c>
      <c r="K39" s="3">
        <v>2139500</v>
      </c>
      <c r="L39" s="3">
        <v>0</v>
      </c>
      <c r="M39" s="3">
        <v>0</v>
      </c>
      <c r="N39" s="3">
        <v>2139500</v>
      </c>
    </row>
    <row r="40" spans="1:15" x14ac:dyDescent="0.15">
      <c r="A40" s="1">
        <v>2008</v>
      </c>
      <c r="B40" s="3">
        <v>0</v>
      </c>
      <c r="C40" s="3">
        <v>0</v>
      </c>
      <c r="D40" s="3">
        <v>0</v>
      </c>
      <c r="E40" s="3">
        <v>0</v>
      </c>
      <c r="F40" s="3">
        <v>0</v>
      </c>
      <c r="G40" s="3">
        <v>0</v>
      </c>
      <c r="H40" s="3">
        <v>2416000</v>
      </c>
      <c r="I40" s="3">
        <v>0</v>
      </c>
      <c r="J40" s="3">
        <v>0</v>
      </c>
      <c r="K40" s="3">
        <v>2416000</v>
      </c>
      <c r="L40" s="3">
        <v>0</v>
      </c>
      <c r="M40" s="3">
        <v>0</v>
      </c>
      <c r="N40" s="3">
        <v>2416000</v>
      </c>
    </row>
    <row r="41" spans="1:15" x14ac:dyDescent="0.15">
      <c r="A41" s="1">
        <v>2009</v>
      </c>
      <c r="B41" s="3">
        <v>0</v>
      </c>
      <c r="C41" s="3">
        <v>0</v>
      </c>
      <c r="D41" s="3">
        <v>0</v>
      </c>
      <c r="E41" s="3">
        <v>0</v>
      </c>
      <c r="F41" s="3">
        <v>0</v>
      </c>
      <c r="G41" s="3">
        <v>0</v>
      </c>
      <c r="H41" s="3">
        <v>3550000</v>
      </c>
      <c r="I41" s="3">
        <v>0</v>
      </c>
      <c r="J41" s="3">
        <v>0</v>
      </c>
      <c r="K41" s="3">
        <v>3550000</v>
      </c>
      <c r="L41" s="3">
        <v>0</v>
      </c>
      <c r="M41" s="3">
        <v>0</v>
      </c>
      <c r="N41" s="3">
        <v>3550000</v>
      </c>
    </row>
    <row r="42" spans="1:15" x14ac:dyDescent="0.15">
      <c r="A42" s="1">
        <v>2010</v>
      </c>
      <c r="B42" s="3">
        <v>177504</v>
      </c>
      <c r="C42" s="3">
        <v>0</v>
      </c>
      <c r="D42" s="3">
        <v>0</v>
      </c>
      <c r="E42" s="3">
        <v>0</v>
      </c>
      <c r="F42" s="3">
        <v>0</v>
      </c>
      <c r="G42" s="3">
        <v>0</v>
      </c>
      <c r="H42" s="3">
        <v>3767833</v>
      </c>
      <c r="I42" s="3">
        <v>0</v>
      </c>
      <c r="J42" s="3">
        <v>0</v>
      </c>
      <c r="K42" s="3">
        <v>3945337</v>
      </c>
      <c r="L42" s="3">
        <v>0</v>
      </c>
      <c r="M42" s="3">
        <v>0</v>
      </c>
      <c r="N42" s="3">
        <v>3945337</v>
      </c>
      <c r="O42" s="1" t="s">
        <v>322</v>
      </c>
    </row>
    <row r="43" spans="1:15" x14ac:dyDescent="0.15">
      <c r="A43" s="1">
        <v>2011</v>
      </c>
      <c r="B43" s="3">
        <v>407397</v>
      </c>
      <c r="C43" s="3">
        <v>0</v>
      </c>
      <c r="D43" s="3">
        <v>0</v>
      </c>
      <c r="E43" s="3">
        <v>0</v>
      </c>
      <c r="F43" s="3">
        <v>0</v>
      </c>
      <c r="G43" s="3">
        <v>0</v>
      </c>
      <c r="H43" s="3">
        <v>4010500</v>
      </c>
      <c r="I43" s="3">
        <v>0</v>
      </c>
      <c r="J43" s="3">
        <v>0</v>
      </c>
      <c r="K43" s="3">
        <v>4417897</v>
      </c>
      <c r="L43" s="3">
        <v>0</v>
      </c>
      <c r="M43" s="3">
        <v>0</v>
      </c>
      <c r="N43" s="3">
        <v>4417897</v>
      </c>
    </row>
    <row r="44" spans="1:15" x14ac:dyDescent="0.15">
      <c r="A44" s="1">
        <v>2012</v>
      </c>
      <c r="B44" s="3">
        <v>0</v>
      </c>
      <c r="C44" s="3">
        <v>0</v>
      </c>
      <c r="D44" s="3">
        <v>0</v>
      </c>
      <c r="E44" s="3">
        <v>0</v>
      </c>
      <c r="F44" s="3">
        <v>0</v>
      </c>
      <c r="G44" s="3">
        <v>0</v>
      </c>
      <c r="H44" s="3">
        <v>4104000</v>
      </c>
      <c r="I44" s="3">
        <v>0</v>
      </c>
      <c r="J44" s="3">
        <v>0</v>
      </c>
      <c r="K44" s="3">
        <v>4104000</v>
      </c>
      <c r="L44" s="3">
        <v>0</v>
      </c>
      <c r="M44" s="3">
        <v>0</v>
      </c>
      <c r="N44" s="3">
        <v>4104000</v>
      </c>
    </row>
    <row r="45" spans="1:15" x14ac:dyDescent="0.15">
      <c r="A45" s="1">
        <v>2013</v>
      </c>
      <c r="B45" s="3">
        <v>0</v>
      </c>
      <c r="C45" s="3">
        <v>0</v>
      </c>
      <c r="D45" s="3">
        <v>0</v>
      </c>
      <c r="E45" s="3">
        <v>0</v>
      </c>
      <c r="F45" s="3">
        <v>0</v>
      </c>
      <c r="G45" s="3">
        <v>0</v>
      </c>
      <c r="H45" s="3">
        <v>4336257</v>
      </c>
      <c r="I45" s="3">
        <v>0</v>
      </c>
      <c r="J45" s="3">
        <v>0</v>
      </c>
      <c r="K45" s="3">
        <v>4336257</v>
      </c>
      <c r="L45" s="3">
        <v>0</v>
      </c>
      <c r="M45" s="3">
        <v>0</v>
      </c>
      <c r="N45" s="3">
        <v>4336257</v>
      </c>
    </row>
    <row r="46" spans="1:15" x14ac:dyDescent="0.15">
      <c r="A46" s="1">
        <v>2014</v>
      </c>
      <c r="B46" s="3">
        <v>200000</v>
      </c>
      <c r="C46" s="3">
        <v>0</v>
      </c>
      <c r="D46" s="3">
        <v>0</v>
      </c>
      <c r="E46" s="3">
        <v>0</v>
      </c>
      <c r="F46" s="3">
        <v>0</v>
      </c>
      <c r="G46" s="3">
        <v>0</v>
      </c>
      <c r="H46" s="3">
        <v>4508197</v>
      </c>
      <c r="I46" s="3">
        <v>0</v>
      </c>
      <c r="J46" s="3">
        <v>0</v>
      </c>
      <c r="K46" s="3">
        <v>4708197</v>
      </c>
      <c r="L46" s="3">
        <v>0</v>
      </c>
      <c r="M46" s="3">
        <v>0</v>
      </c>
      <c r="N46" s="3">
        <v>4708197</v>
      </c>
      <c r="O46" s="1" t="s">
        <v>323</v>
      </c>
    </row>
    <row r="47" spans="1:15" x14ac:dyDescent="0.15">
      <c r="A47" s="1">
        <v>2015</v>
      </c>
      <c r="B47" s="3">
        <v>227464</v>
      </c>
      <c r="C47" s="3">
        <v>0</v>
      </c>
      <c r="D47" s="3">
        <v>0</v>
      </c>
      <c r="E47" s="3">
        <v>0</v>
      </c>
      <c r="F47" s="3">
        <v>0</v>
      </c>
      <c r="G47" s="3">
        <v>0</v>
      </c>
      <c r="H47" s="3">
        <v>4673904</v>
      </c>
      <c r="I47" s="3">
        <v>0</v>
      </c>
      <c r="J47" s="3">
        <v>0</v>
      </c>
      <c r="K47" s="3">
        <v>4901368</v>
      </c>
      <c r="L47" s="3">
        <v>0</v>
      </c>
      <c r="M47" s="3">
        <v>0</v>
      </c>
      <c r="N47" s="3">
        <v>4901368</v>
      </c>
    </row>
    <row r="48" spans="1:15" x14ac:dyDescent="0.15">
      <c r="A48" s="1">
        <v>2016</v>
      </c>
      <c r="B48" s="3">
        <v>182503</v>
      </c>
      <c r="C48" s="3">
        <v>0</v>
      </c>
      <c r="D48" s="3">
        <v>0</v>
      </c>
      <c r="E48" s="3">
        <v>0</v>
      </c>
      <c r="F48" s="3">
        <v>0</v>
      </c>
      <c r="G48" s="3">
        <v>0</v>
      </c>
      <c r="H48" s="3">
        <v>4931834</v>
      </c>
      <c r="I48" s="3">
        <v>0</v>
      </c>
      <c r="J48" s="3">
        <v>0</v>
      </c>
      <c r="K48" s="3">
        <v>5114337</v>
      </c>
      <c r="L48" s="3">
        <v>0</v>
      </c>
      <c r="M48" s="3">
        <v>0</v>
      </c>
      <c r="N48" s="3">
        <v>5114337</v>
      </c>
    </row>
  </sheetData>
  <phoneticPr fontId="0" type="noConversion"/>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7" width="10.625" style="1"/>
    <col min="8" max="8" width="12.125" style="1" customWidth="1"/>
    <col min="9" max="10" width="10.625" style="1"/>
    <col min="11" max="11" width="13" style="1" customWidth="1"/>
    <col min="12" max="13" width="10.625" style="1"/>
    <col min="14" max="14" width="12.5" style="1" customWidth="1"/>
    <col min="15" max="16384" width="10.625" style="1"/>
  </cols>
  <sheetData>
    <row r="1" spans="1:15" x14ac:dyDescent="0.15">
      <c r="A1" s="1" t="s">
        <v>71</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2146628</v>
      </c>
      <c r="C6" s="3">
        <v>0</v>
      </c>
      <c r="D6" s="3">
        <v>0</v>
      </c>
      <c r="E6" s="3">
        <v>0</v>
      </c>
      <c r="F6" s="3">
        <v>0</v>
      </c>
      <c r="G6" s="3">
        <v>0</v>
      </c>
      <c r="H6" s="3">
        <v>0</v>
      </c>
      <c r="I6" s="3">
        <v>0</v>
      </c>
      <c r="J6" s="3">
        <v>0</v>
      </c>
      <c r="K6" s="3">
        <f t="shared" ref="K6:M21" si="0">+B6+E6+H6</f>
        <v>2146628</v>
      </c>
      <c r="L6" s="3">
        <f t="shared" si="0"/>
        <v>0</v>
      </c>
      <c r="M6" s="3">
        <f t="shared" si="0"/>
        <v>0</v>
      </c>
      <c r="N6" s="3">
        <f t="shared" ref="N6:N35" si="1">+M6+L6+K6</f>
        <v>2146628</v>
      </c>
      <c r="O6" s="1" t="s">
        <v>41</v>
      </c>
    </row>
    <row r="7" spans="1:15" x14ac:dyDescent="0.15">
      <c r="A7" s="1">
        <v>1975</v>
      </c>
      <c r="B7" s="3">
        <v>3370000</v>
      </c>
      <c r="C7" s="3">
        <v>0</v>
      </c>
      <c r="D7" s="3">
        <v>0</v>
      </c>
      <c r="E7" s="3">
        <v>0</v>
      </c>
      <c r="F7" s="3">
        <v>0</v>
      </c>
      <c r="G7" s="3">
        <v>0</v>
      </c>
      <c r="H7" s="3">
        <v>0</v>
      </c>
      <c r="I7" s="3">
        <v>0</v>
      </c>
      <c r="J7" s="3">
        <v>0</v>
      </c>
      <c r="K7" s="3">
        <f t="shared" si="0"/>
        <v>3370000</v>
      </c>
      <c r="L7" s="3">
        <f t="shared" si="0"/>
        <v>0</v>
      </c>
      <c r="M7" s="3">
        <f t="shared" si="0"/>
        <v>0</v>
      </c>
      <c r="N7" s="3">
        <f t="shared" si="1"/>
        <v>3370000</v>
      </c>
    </row>
    <row r="8" spans="1:15" x14ac:dyDescent="0.15">
      <c r="A8" s="1">
        <v>1976</v>
      </c>
      <c r="B8" s="3">
        <v>640000</v>
      </c>
      <c r="C8" s="3">
        <v>0</v>
      </c>
      <c r="D8" s="3">
        <v>0</v>
      </c>
      <c r="E8" s="3">
        <v>0</v>
      </c>
      <c r="F8" s="3">
        <v>0</v>
      </c>
      <c r="G8" s="3">
        <v>0</v>
      </c>
      <c r="H8" s="3">
        <v>0</v>
      </c>
      <c r="I8" s="3">
        <v>0</v>
      </c>
      <c r="J8" s="3">
        <v>0</v>
      </c>
      <c r="K8" s="3">
        <f t="shared" si="0"/>
        <v>640000</v>
      </c>
      <c r="L8" s="3">
        <f t="shared" si="0"/>
        <v>0</v>
      </c>
      <c r="M8" s="3">
        <f t="shared" si="0"/>
        <v>0</v>
      </c>
      <c r="N8" s="3">
        <f t="shared" si="1"/>
        <v>640000</v>
      </c>
      <c r="O8" s="1" t="s">
        <v>102</v>
      </c>
    </row>
    <row r="9" spans="1:15" x14ac:dyDescent="0.15">
      <c r="A9" s="1">
        <v>1977</v>
      </c>
      <c r="B9" s="3">
        <v>1447000</v>
      </c>
      <c r="C9" s="3">
        <v>0</v>
      </c>
      <c r="D9" s="3">
        <v>0</v>
      </c>
      <c r="E9" s="3">
        <v>0</v>
      </c>
      <c r="F9" s="3">
        <v>0</v>
      </c>
      <c r="G9" s="3">
        <v>0</v>
      </c>
      <c r="H9" s="3">
        <v>0</v>
      </c>
      <c r="I9" s="3">
        <v>0</v>
      </c>
      <c r="J9" s="3">
        <v>0</v>
      </c>
      <c r="K9" s="3">
        <f t="shared" si="0"/>
        <v>1447000</v>
      </c>
      <c r="L9" s="3">
        <f t="shared" si="0"/>
        <v>0</v>
      </c>
      <c r="M9" s="3">
        <f t="shared" si="0"/>
        <v>0</v>
      </c>
      <c r="N9" s="3">
        <f t="shared" si="1"/>
        <v>1447000</v>
      </c>
    </row>
    <row r="10" spans="1:15" x14ac:dyDescent="0.15">
      <c r="A10" s="1">
        <v>1978</v>
      </c>
      <c r="B10" s="3">
        <v>2977000</v>
      </c>
      <c r="C10" s="3">
        <v>0</v>
      </c>
      <c r="D10" s="3">
        <v>0</v>
      </c>
      <c r="E10" s="3">
        <v>0</v>
      </c>
      <c r="F10" s="3">
        <v>0</v>
      </c>
      <c r="G10" s="3">
        <v>0</v>
      </c>
      <c r="H10" s="3">
        <v>0</v>
      </c>
      <c r="I10" s="3">
        <v>0</v>
      </c>
      <c r="J10" s="3">
        <v>0</v>
      </c>
      <c r="K10" s="3">
        <f t="shared" si="0"/>
        <v>2977000</v>
      </c>
      <c r="L10" s="3">
        <f t="shared" si="0"/>
        <v>0</v>
      </c>
      <c r="M10" s="3">
        <f t="shared" si="0"/>
        <v>0</v>
      </c>
      <c r="N10" s="3">
        <f t="shared" si="1"/>
        <v>2977000</v>
      </c>
    </row>
    <row r="11" spans="1:15" x14ac:dyDescent="0.15">
      <c r="A11" s="1">
        <v>1979</v>
      </c>
      <c r="B11" s="3">
        <v>3668000</v>
      </c>
      <c r="C11" s="3">
        <v>0</v>
      </c>
      <c r="D11" s="3">
        <v>0</v>
      </c>
      <c r="E11" s="3">
        <v>0</v>
      </c>
      <c r="F11" s="3">
        <v>0</v>
      </c>
      <c r="G11" s="3">
        <v>0</v>
      </c>
      <c r="H11" s="3">
        <v>0</v>
      </c>
      <c r="I11" s="3">
        <v>0</v>
      </c>
      <c r="J11" s="3">
        <v>0</v>
      </c>
      <c r="K11" s="3">
        <f t="shared" si="0"/>
        <v>3668000</v>
      </c>
      <c r="L11" s="3">
        <f t="shared" si="0"/>
        <v>0</v>
      </c>
      <c r="M11" s="3">
        <f t="shared" si="0"/>
        <v>0</v>
      </c>
      <c r="N11" s="3">
        <f t="shared" si="1"/>
        <v>3668000</v>
      </c>
    </row>
    <row r="12" spans="1:15" x14ac:dyDescent="0.15">
      <c r="A12" s="1">
        <v>1980</v>
      </c>
      <c r="B12" s="3">
        <v>5978000</v>
      </c>
      <c r="C12" s="3">
        <v>0</v>
      </c>
      <c r="D12" s="3">
        <v>0</v>
      </c>
      <c r="E12" s="3">
        <v>0</v>
      </c>
      <c r="F12" s="3">
        <v>0</v>
      </c>
      <c r="G12" s="3">
        <v>0</v>
      </c>
      <c r="H12" s="3">
        <v>0</v>
      </c>
      <c r="I12" s="3">
        <v>0</v>
      </c>
      <c r="J12" s="3">
        <v>0</v>
      </c>
      <c r="K12" s="3">
        <f t="shared" si="0"/>
        <v>5978000</v>
      </c>
      <c r="L12" s="3">
        <f t="shared" si="0"/>
        <v>0</v>
      </c>
      <c r="M12" s="3">
        <f t="shared" si="0"/>
        <v>0</v>
      </c>
      <c r="N12" s="3">
        <f t="shared" si="1"/>
        <v>5978000</v>
      </c>
    </row>
    <row r="13" spans="1:15" x14ac:dyDescent="0.15">
      <c r="A13" s="1">
        <v>1981</v>
      </c>
      <c r="B13" s="3">
        <v>6475000</v>
      </c>
      <c r="C13" s="3">
        <v>0</v>
      </c>
      <c r="D13" s="3">
        <v>0</v>
      </c>
      <c r="E13" s="3">
        <v>0</v>
      </c>
      <c r="F13" s="3">
        <v>0</v>
      </c>
      <c r="G13" s="3">
        <v>0</v>
      </c>
      <c r="H13" s="3">
        <v>0</v>
      </c>
      <c r="I13" s="3">
        <v>0</v>
      </c>
      <c r="J13" s="3">
        <v>0</v>
      </c>
      <c r="K13" s="3">
        <f t="shared" si="0"/>
        <v>6475000</v>
      </c>
      <c r="L13" s="3">
        <f t="shared" si="0"/>
        <v>0</v>
      </c>
      <c r="M13" s="3">
        <f t="shared" si="0"/>
        <v>0</v>
      </c>
      <c r="N13" s="3">
        <f t="shared" si="1"/>
        <v>6475000</v>
      </c>
    </row>
    <row r="14" spans="1:15" x14ac:dyDescent="0.15">
      <c r="A14" s="1">
        <v>1982</v>
      </c>
      <c r="B14" s="3">
        <v>6439000</v>
      </c>
      <c r="C14" s="3">
        <v>0</v>
      </c>
      <c r="D14" s="3">
        <v>0</v>
      </c>
      <c r="E14" s="3">
        <v>0</v>
      </c>
      <c r="F14" s="3">
        <v>0</v>
      </c>
      <c r="G14" s="3">
        <v>0</v>
      </c>
      <c r="H14" s="3">
        <v>0</v>
      </c>
      <c r="I14" s="3">
        <v>0</v>
      </c>
      <c r="J14" s="3">
        <v>0</v>
      </c>
      <c r="K14" s="3">
        <f t="shared" si="0"/>
        <v>6439000</v>
      </c>
      <c r="L14" s="3">
        <f t="shared" si="0"/>
        <v>0</v>
      </c>
      <c r="M14" s="3">
        <f t="shared" si="0"/>
        <v>0</v>
      </c>
      <c r="N14" s="3">
        <f t="shared" si="1"/>
        <v>6439000</v>
      </c>
    </row>
    <row r="15" spans="1:15" x14ac:dyDescent="0.15">
      <c r="A15" s="1">
        <v>1983</v>
      </c>
      <c r="B15" s="3">
        <v>7342000</v>
      </c>
      <c r="C15" s="3">
        <v>0</v>
      </c>
      <c r="D15" s="3">
        <v>0</v>
      </c>
      <c r="E15" s="3">
        <v>0</v>
      </c>
      <c r="F15" s="3">
        <v>0</v>
      </c>
      <c r="G15" s="3">
        <v>0</v>
      </c>
      <c r="H15" s="3">
        <v>0</v>
      </c>
      <c r="I15" s="3">
        <v>0</v>
      </c>
      <c r="J15" s="3">
        <v>0</v>
      </c>
      <c r="K15" s="3">
        <f t="shared" si="0"/>
        <v>7342000</v>
      </c>
      <c r="L15" s="3">
        <f t="shared" si="0"/>
        <v>0</v>
      </c>
      <c r="M15" s="3">
        <f t="shared" si="0"/>
        <v>0</v>
      </c>
      <c r="N15" s="3">
        <f t="shared" si="1"/>
        <v>7342000</v>
      </c>
    </row>
    <row r="16" spans="1:15" x14ac:dyDescent="0.15">
      <c r="A16" s="1">
        <v>1984</v>
      </c>
      <c r="B16" s="3">
        <v>7081000</v>
      </c>
      <c r="C16" s="3">
        <v>0</v>
      </c>
      <c r="D16" s="3">
        <v>0</v>
      </c>
      <c r="E16" s="3">
        <v>0</v>
      </c>
      <c r="F16" s="3">
        <v>0</v>
      </c>
      <c r="G16" s="3">
        <v>0</v>
      </c>
      <c r="H16" s="3">
        <v>0</v>
      </c>
      <c r="I16" s="3">
        <v>0</v>
      </c>
      <c r="J16" s="3">
        <v>0</v>
      </c>
      <c r="K16" s="3">
        <f t="shared" si="0"/>
        <v>7081000</v>
      </c>
      <c r="L16" s="3">
        <f t="shared" si="0"/>
        <v>0</v>
      </c>
      <c r="M16" s="3">
        <f t="shared" si="0"/>
        <v>0</v>
      </c>
      <c r="N16" s="3">
        <f t="shared" si="1"/>
        <v>7081000</v>
      </c>
    </row>
    <row r="17" spans="1:15" x14ac:dyDescent="0.15">
      <c r="A17" s="1">
        <v>1985</v>
      </c>
      <c r="B17" s="3">
        <v>8833000</v>
      </c>
      <c r="C17" s="3">
        <v>0</v>
      </c>
      <c r="D17" s="3">
        <v>0</v>
      </c>
      <c r="E17" s="3">
        <v>0</v>
      </c>
      <c r="F17" s="3">
        <v>0</v>
      </c>
      <c r="G17" s="3">
        <v>0</v>
      </c>
      <c r="H17" s="3">
        <v>110000</v>
      </c>
      <c r="I17" s="3">
        <v>90000</v>
      </c>
      <c r="J17" s="3">
        <v>0</v>
      </c>
      <c r="K17" s="3">
        <f t="shared" si="0"/>
        <v>8943000</v>
      </c>
      <c r="L17" s="3">
        <f t="shared" si="0"/>
        <v>90000</v>
      </c>
      <c r="M17" s="3">
        <f t="shared" si="0"/>
        <v>0</v>
      </c>
      <c r="N17" s="3">
        <f t="shared" si="1"/>
        <v>9033000</v>
      </c>
    </row>
    <row r="18" spans="1:15" x14ac:dyDescent="0.15">
      <c r="A18" s="1">
        <v>1986</v>
      </c>
      <c r="B18" s="3">
        <v>12082000</v>
      </c>
      <c r="C18" s="3">
        <v>0</v>
      </c>
      <c r="D18" s="3">
        <v>0</v>
      </c>
      <c r="E18" s="3">
        <v>0</v>
      </c>
      <c r="F18" s="3">
        <v>0</v>
      </c>
      <c r="G18" s="3">
        <v>0</v>
      </c>
      <c r="H18" s="3">
        <v>203000</v>
      </c>
      <c r="I18" s="3">
        <v>39000</v>
      </c>
      <c r="J18" s="3">
        <v>0</v>
      </c>
      <c r="K18" s="3">
        <f t="shared" si="0"/>
        <v>12285000</v>
      </c>
      <c r="L18" s="3">
        <f t="shared" si="0"/>
        <v>39000</v>
      </c>
      <c r="M18" s="3">
        <f t="shared" si="0"/>
        <v>0</v>
      </c>
      <c r="N18" s="3">
        <f t="shared" si="1"/>
        <v>12324000</v>
      </c>
    </row>
    <row r="19" spans="1:15" x14ac:dyDescent="0.15">
      <c r="A19" s="1">
        <v>1987</v>
      </c>
      <c r="B19" s="3">
        <v>13735000</v>
      </c>
      <c r="C19" s="3">
        <v>0</v>
      </c>
      <c r="D19" s="3">
        <v>0</v>
      </c>
      <c r="E19" s="3">
        <v>0</v>
      </c>
      <c r="F19" s="3">
        <v>0</v>
      </c>
      <c r="G19" s="3">
        <v>0</v>
      </c>
      <c r="H19" s="3">
        <v>52000</v>
      </c>
      <c r="I19" s="3">
        <v>0</v>
      </c>
      <c r="J19" s="3">
        <v>0</v>
      </c>
      <c r="K19" s="3">
        <f t="shared" si="0"/>
        <v>13787000</v>
      </c>
      <c r="L19" s="3">
        <f t="shared" si="0"/>
        <v>0</v>
      </c>
      <c r="M19" s="3">
        <f t="shared" si="0"/>
        <v>0</v>
      </c>
      <c r="N19" s="3">
        <f t="shared" si="1"/>
        <v>13787000</v>
      </c>
    </row>
    <row r="20" spans="1:15" x14ac:dyDescent="0.15">
      <c r="A20" s="1">
        <v>1988</v>
      </c>
      <c r="B20" s="3">
        <v>12591000</v>
      </c>
      <c r="C20" s="3">
        <v>0</v>
      </c>
      <c r="D20" s="3">
        <v>0</v>
      </c>
      <c r="E20" s="3">
        <v>0</v>
      </c>
      <c r="F20" s="3">
        <v>0</v>
      </c>
      <c r="G20" s="3">
        <v>0</v>
      </c>
      <c r="H20" s="3">
        <v>104000</v>
      </c>
      <c r="I20" s="3">
        <v>0</v>
      </c>
      <c r="J20" s="3">
        <v>0</v>
      </c>
      <c r="K20" s="3">
        <f t="shared" si="0"/>
        <v>12695000</v>
      </c>
      <c r="L20" s="3">
        <f t="shared" si="0"/>
        <v>0</v>
      </c>
      <c r="M20" s="3">
        <f t="shared" si="0"/>
        <v>0</v>
      </c>
      <c r="N20" s="3">
        <f t="shared" si="1"/>
        <v>12695000</v>
      </c>
      <c r="O20" s="1" t="s">
        <v>178</v>
      </c>
    </row>
    <row r="21" spans="1:15" x14ac:dyDescent="0.15">
      <c r="A21" s="1">
        <v>1989</v>
      </c>
      <c r="B21" s="3">
        <v>12404000</v>
      </c>
      <c r="C21" s="3">
        <v>0</v>
      </c>
      <c r="D21" s="3">
        <v>0</v>
      </c>
      <c r="E21" s="3">
        <v>0</v>
      </c>
      <c r="F21" s="3">
        <v>0</v>
      </c>
      <c r="G21" s="3">
        <v>0</v>
      </c>
      <c r="H21" s="3">
        <v>136000</v>
      </c>
      <c r="I21" s="3">
        <v>0</v>
      </c>
      <c r="J21" s="3">
        <v>0</v>
      </c>
      <c r="K21" s="3">
        <f t="shared" si="0"/>
        <v>12540000</v>
      </c>
      <c r="L21" s="3">
        <f t="shared" si="0"/>
        <v>0</v>
      </c>
      <c r="M21" s="3">
        <f t="shared" si="0"/>
        <v>0</v>
      </c>
      <c r="N21" s="3">
        <f t="shared" si="1"/>
        <v>12540000</v>
      </c>
    </row>
    <row r="22" spans="1:15" x14ac:dyDescent="0.15">
      <c r="A22" s="1">
        <v>1990</v>
      </c>
      <c r="B22" s="3">
        <v>17295000</v>
      </c>
      <c r="C22" s="3">
        <v>0</v>
      </c>
      <c r="D22" s="3">
        <v>0</v>
      </c>
      <c r="E22" s="3">
        <v>0</v>
      </c>
      <c r="F22" s="3">
        <v>0</v>
      </c>
      <c r="G22" s="3">
        <v>0</v>
      </c>
      <c r="H22" s="3">
        <v>205000</v>
      </c>
      <c r="I22" s="3">
        <v>0</v>
      </c>
      <c r="J22" s="3">
        <v>0</v>
      </c>
      <c r="K22" s="3">
        <f t="shared" ref="K22:M35" si="2">+B22+E22+H22</f>
        <v>17500000</v>
      </c>
      <c r="L22" s="3">
        <f t="shared" si="2"/>
        <v>0</v>
      </c>
      <c r="M22" s="3">
        <f t="shared" si="2"/>
        <v>0</v>
      </c>
      <c r="N22" s="3">
        <f t="shared" si="1"/>
        <v>17500000</v>
      </c>
    </row>
    <row r="23" spans="1:15" x14ac:dyDescent="0.15">
      <c r="A23" s="1">
        <v>1991</v>
      </c>
      <c r="B23" s="3">
        <v>14156000</v>
      </c>
      <c r="C23" s="3">
        <v>0</v>
      </c>
      <c r="D23" s="3">
        <v>0</v>
      </c>
      <c r="E23" s="3">
        <v>0</v>
      </c>
      <c r="F23" s="3">
        <v>0</v>
      </c>
      <c r="G23" s="3">
        <v>0</v>
      </c>
      <c r="H23" s="3">
        <v>560000</v>
      </c>
      <c r="I23" s="3">
        <v>0</v>
      </c>
      <c r="J23" s="3">
        <v>0</v>
      </c>
      <c r="K23" s="3">
        <f t="shared" si="2"/>
        <v>14716000</v>
      </c>
      <c r="L23" s="3">
        <f t="shared" si="2"/>
        <v>0</v>
      </c>
      <c r="M23" s="3">
        <f t="shared" si="2"/>
        <v>0</v>
      </c>
      <c r="N23" s="3">
        <f t="shared" si="1"/>
        <v>14716000</v>
      </c>
    </row>
    <row r="24" spans="1:15" x14ac:dyDescent="0.15">
      <c r="A24" s="1">
        <v>1992</v>
      </c>
      <c r="B24" s="3">
        <v>13086000</v>
      </c>
      <c r="C24" s="3">
        <v>0</v>
      </c>
      <c r="D24" s="3">
        <v>0</v>
      </c>
      <c r="E24" s="3">
        <v>0</v>
      </c>
      <c r="F24" s="3">
        <v>0</v>
      </c>
      <c r="G24" s="3">
        <v>0</v>
      </c>
      <c r="H24" s="3">
        <v>330000</v>
      </c>
      <c r="I24" s="3">
        <v>0</v>
      </c>
      <c r="J24" s="3">
        <v>0</v>
      </c>
      <c r="K24" s="3">
        <f t="shared" si="2"/>
        <v>13416000</v>
      </c>
      <c r="L24" s="3">
        <f t="shared" si="2"/>
        <v>0</v>
      </c>
      <c r="M24" s="3">
        <f t="shared" si="2"/>
        <v>0</v>
      </c>
      <c r="N24" s="3">
        <f t="shared" si="1"/>
        <v>13416000</v>
      </c>
    </row>
    <row r="25" spans="1:15" x14ac:dyDescent="0.15">
      <c r="A25" s="1">
        <v>1993</v>
      </c>
      <c r="B25" s="3">
        <v>13723000</v>
      </c>
      <c r="C25" s="3">
        <v>0</v>
      </c>
      <c r="D25" s="3">
        <v>0</v>
      </c>
      <c r="E25" s="3">
        <v>0</v>
      </c>
      <c r="F25" s="3">
        <v>0</v>
      </c>
      <c r="G25" s="3">
        <v>0</v>
      </c>
      <c r="H25" s="3">
        <v>867000</v>
      </c>
      <c r="I25" s="3">
        <v>0</v>
      </c>
      <c r="J25" s="3">
        <v>0</v>
      </c>
      <c r="K25" s="3">
        <f t="shared" si="2"/>
        <v>14590000</v>
      </c>
      <c r="L25" s="3">
        <f t="shared" si="2"/>
        <v>0</v>
      </c>
      <c r="M25" s="3">
        <f t="shared" si="2"/>
        <v>0</v>
      </c>
      <c r="N25" s="3">
        <f t="shared" si="1"/>
        <v>14590000</v>
      </c>
    </row>
    <row r="26" spans="1:15" x14ac:dyDescent="0.15">
      <c r="A26" s="1">
        <v>1994</v>
      </c>
      <c r="B26" s="3">
        <v>15505000</v>
      </c>
      <c r="C26" s="3">
        <v>0</v>
      </c>
      <c r="D26" s="3">
        <v>0</v>
      </c>
      <c r="E26" s="3">
        <v>1250000</v>
      </c>
      <c r="F26" s="3">
        <v>0</v>
      </c>
      <c r="G26" s="3">
        <v>0</v>
      </c>
      <c r="H26" s="3">
        <v>995000</v>
      </c>
      <c r="I26" s="3">
        <v>0</v>
      </c>
      <c r="J26" s="3">
        <v>0</v>
      </c>
      <c r="K26" s="3">
        <f t="shared" si="2"/>
        <v>17750000</v>
      </c>
      <c r="L26" s="3">
        <f t="shared" si="2"/>
        <v>0</v>
      </c>
      <c r="M26" s="3">
        <f t="shared" si="2"/>
        <v>0</v>
      </c>
      <c r="N26" s="3">
        <f t="shared" si="1"/>
        <v>17750000</v>
      </c>
    </row>
    <row r="27" spans="1:15" x14ac:dyDescent="0.15">
      <c r="A27" s="1">
        <v>1995</v>
      </c>
      <c r="B27" s="3">
        <v>18255486</v>
      </c>
      <c r="C27" s="3">
        <v>0</v>
      </c>
      <c r="D27" s="3">
        <v>0</v>
      </c>
      <c r="E27" s="3">
        <f>18313000-B27</f>
        <v>57514</v>
      </c>
      <c r="F27" s="3">
        <v>0</v>
      </c>
      <c r="G27" s="3">
        <v>0</v>
      </c>
      <c r="H27" s="3">
        <v>833000</v>
      </c>
      <c r="I27" s="3">
        <v>0</v>
      </c>
      <c r="J27" s="3">
        <v>0</v>
      </c>
      <c r="K27" s="3">
        <f t="shared" si="2"/>
        <v>19146000</v>
      </c>
      <c r="L27" s="3">
        <f t="shared" si="2"/>
        <v>0</v>
      </c>
      <c r="M27" s="3">
        <f t="shared" si="2"/>
        <v>0</v>
      </c>
      <c r="N27" s="3">
        <f t="shared" si="1"/>
        <v>19146000</v>
      </c>
    </row>
    <row r="28" spans="1:15" x14ac:dyDescent="0.15">
      <c r="A28" s="1">
        <v>1996</v>
      </c>
      <c r="B28" s="3">
        <v>16354311</v>
      </c>
      <c r="C28" s="3">
        <v>0</v>
      </c>
      <c r="D28" s="3">
        <v>0</v>
      </c>
      <c r="E28" s="3">
        <f>18811000-B28</f>
        <v>2456689</v>
      </c>
      <c r="F28" s="3">
        <v>0</v>
      </c>
      <c r="G28" s="3">
        <v>0</v>
      </c>
      <c r="H28" s="3">
        <v>478000</v>
      </c>
      <c r="I28" s="3">
        <v>0</v>
      </c>
      <c r="J28" s="3">
        <v>0</v>
      </c>
      <c r="K28" s="3">
        <f t="shared" si="2"/>
        <v>19289000</v>
      </c>
      <c r="L28" s="3">
        <f t="shared" si="2"/>
        <v>0</v>
      </c>
      <c r="M28" s="3">
        <f t="shared" si="2"/>
        <v>0</v>
      </c>
      <c r="N28" s="3">
        <f t="shared" si="1"/>
        <v>19289000</v>
      </c>
    </row>
    <row r="29" spans="1:15" x14ac:dyDescent="0.15">
      <c r="A29" s="1">
        <v>1997</v>
      </c>
      <c r="B29" s="3">
        <v>15886478</v>
      </c>
      <c r="C29" s="3">
        <v>0</v>
      </c>
      <c r="D29" s="3">
        <v>0</v>
      </c>
      <c r="E29" s="3">
        <v>2765649</v>
      </c>
      <c r="F29" s="3">
        <v>0</v>
      </c>
      <c r="G29" s="3">
        <v>0</v>
      </c>
      <c r="H29" s="3">
        <v>712000</v>
      </c>
      <c r="I29" s="3">
        <v>50000</v>
      </c>
      <c r="J29" s="3">
        <v>0</v>
      </c>
      <c r="K29" s="3">
        <f t="shared" si="2"/>
        <v>19364127</v>
      </c>
      <c r="L29" s="3">
        <f t="shared" si="2"/>
        <v>50000</v>
      </c>
      <c r="M29" s="3">
        <f t="shared" si="2"/>
        <v>0</v>
      </c>
      <c r="N29" s="3">
        <f t="shared" si="1"/>
        <v>19414127</v>
      </c>
    </row>
    <row r="30" spans="1:15" x14ac:dyDescent="0.15">
      <c r="A30" s="1">
        <v>1998</v>
      </c>
      <c r="B30" s="3">
        <f>11517186+6201561</f>
        <v>17718747</v>
      </c>
      <c r="C30" s="3">
        <v>0</v>
      </c>
      <c r="D30" s="3">
        <v>0</v>
      </c>
      <c r="E30" s="3">
        <f>20438000-B30</f>
        <v>2719253</v>
      </c>
      <c r="F30" s="3">
        <v>0</v>
      </c>
      <c r="G30" s="3">
        <v>0</v>
      </c>
      <c r="H30" s="3">
        <v>779000</v>
      </c>
      <c r="I30" s="3">
        <v>132000</v>
      </c>
      <c r="J30" s="3">
        <v>0</v>
      </c>
      <c r="K30" s="3">
        <f t="shared" si="2"/>
        <v>21217000</v>
      </c>
      <c r="L30" s="3">
        <f t="shared" si="2"/>
        <v>132000</v>
      </c>
      <c r="M30" s="3">
        <f t="shared" si="2"/>
        <v>0</v>
      </c>
      <c r="N30" s="3">
        <f t="shared" si="1"/>
        <v>21349000</v>
      </c>
    </row>
    <row r="31" spans="1:15" x14ac:dyDescent="0.15">
      <c r="A31" s="1">
        <v>1999</v>
      </c>
      <c r="B31" s="3">
        <v>16666697</v>
      </c>
      <c r="C31" s="3">
        <v>0</v>
      </c>
      <c r="D31" s="3">
        <v>0</v>
      </c>
      <c r="E31" s="3">
        <f>20648000-B31</f>
        <v>3981303</v>
      </c>
      <c r="F31" s="3">
        <v>0</v>
      </c>
      <c r="G31" s="3">
        <v>0</v>
      </c>
      <c r="H31" s="3">
        <v>851000</v>
      </c>
      <c r="I31" s="3">
        <v>132000</v>
      </c>
      <c r="J31" s="3">
        <v>0</v>
      </c>
      <c r="K31" s="3">
        <f t="shared" si="2"/>
        <v>21499000</v>
      </c>
      <c r="L31" s="3">
        <f t="shared" si="2"/>
        <v>132000</v>
      </c>
      <c r="M31" s="3">
        <f t="shared" si="2"/>
        <v>0</v>
      </c>
      <c r="N31" s="3">
        <f t="shared" si="1"/>
        <v>21631000</v>
      </c>
    </row>
    <row r="32" spans="1:15" x14ac:dyDescent="0.15">
      <c r="A32" s="1">
        <v>2000</v>
      </c>
      <c r="B32" s="3">
        <v>17819604</v>
      </c>
      <c r="C32" s="3">
        <v>0</v>
      </c>
      <c r="D32" s="3">
        <v>0</v>
      </c>
      <c r="E32" s="3">
        <f>21383000-B32</f>
        <v>3563396</v>
      </c>
      <c r="F32" s="3">
        <v>0</v>
      </c>
      <c r="G32" s="3">
        <v>0</v>
      </c>
      <c r="H32" s="3">
        <v>857000</v>
      </c>
      <c r="I32" s="3">
        <v>198000</v>
      </c>
      <c r="J32" s="3">
        <v>0</v>
      </c>
      <c r="K32" s="3">
        <f t="shared" si="2"/>
        <v>22240000</v>
      </c>
      <c r="L32" s="3">
        <f t="shared" si="2"/>
        <v>198000</v>
      </c>
      <c r="M32" s="3">
        <f t="shared" si="2"/>
        <v>0</v>
      </c>
      <c r="N32" s="3">
        <f t="shared" si="1"/>
        <v>22438000</v>
      </c>
    </row>
    <row r="33" spans="1:15" x14ac:dyDescent="0.15">
      <c r="A33" s="1">
        <v>2001</v>
      </c>
      <c r="B33" s="3">
        <f>13392043+10102770</f>
        <v>23494813</v>
      </c>
      <c r="C33" s="3">
        <v>0</v>
      </c>
      <c r="D33" s="3">
        <v>0</v>
      </c>
      <c r="E33" s="3">
        <v>5808732</v>
      </c>
      <c r="F33" s="3">
        <v>0</v>
      </c>
      <c r="G33" s="3">
        <v>0</v>
      </c>
      <c r="H33" s="3">
        <v>852000</v>
      </c>
      <c r="I33" s="3">
        <v>0</v>
      </c>
      <c r="J33" s="3">
        <v>0</v>
      </c>
      <c r="K33" s="3">
        <f t="shared" si="2"/>
        <v>30155545</v>
      </c>
      <c r="L33" s="3">
        <f t="shared" si="2"/>
        <v>0</v>
      </c>
      <c r="M33" s="3">
        <f t="shared" si="2"/>
        <v>0</v>
      </c>
      <c r="N33" s="3">
        <f t="shared" si="1"/>
        <v>30155545</v>
      </c>
    </row>
    <row r="34" spans="1:15" x14ac:dyDescent="0.15">
      <c r="A34" s="1">
        <v>2002</v>
      </c>
      <c r="B34" s="3">
        <v>30023537</v>
      </c>
      <c r="C34" s="3">
        <v>0</v>
      </c>
      <c r="D34" s="3">
        <v>0</v>
      </c>
      <c r="E34" s="3">
        <v>7296516</v>
      </c>
      <c r="F34" s="3">
        <v>0</v>
      </c>
      <c r="G34" s="3">
        <v>0</v>
      </c>
      <c r="H34" s="3">
        <v>595000</v>
      </c>
      <c r="I34" s="3">
        <v>0</v>
      </c>
      <c r="J34" s="3">
        <v>0</v>
      </c>
      <c r="K34" s="3">
        <f t="shared" si="2"/>
        <v>37915053</v>
      </c>
      <c r="L34" s="3">
        <f t="shared" si="2"/>
        <v>0</v>
      </c>
      <c r="M34" s="3">
        <f t="shared" si="2"/>
        <v>0</v>
      </c>
      <c r="N34" s="3">
        <f t="shared" si="1"/>
        <v>37915053</v>
      </c>
    </row>
    <row r="35" spans="1:15" x14ac:dyDescent="0.15">
      <c r="A35" s="1">
        <v>2003</v>
      </c>
      <c r="B35" s="3">
        <v>45806336</v>
      </c>
      <c r="C35" s="3">
        <v>0</v>
      </c>
      <c r="D35" s="3">
        <v>0</v>
      </c>
      <c r="E35" s="3">
        <v>0</v>
      </c>
      <c r="F35" s="3">
        <v>0</v>
      </c>
      <c r="G35" s="3">
        <v>8702631</v>
      </c>
      <c r="H35" s="3">
        <v>616587</v>
      </c>
      <c r="I35" s="3">
        <v>0</v>
      </c>
      <c r="J35" s="3">
        <v>0</v>
      </c>
      <c r="K35" s="3">
        <f t="shared" si="2"/>
        <v>46422923</v>
      </c>
      <c r="L35" s="3">
        <f t="shared" si="2"/>
        <v>0</v>
      </c>
      <c r="M35" s="3">
        <f t="shared" si="2"/>
        <v>8702631</v>
      </c>
      <c r="N35" s="3">
        <f t="shared" si="1"/>
        <v>55125554</v>
      </c>
    </row>
    <row r="36" spans="1:15" x14ac:dyDescent="0.15">
      <c r="A36" s="1">
        <v>2004</v>
      </c>
      <c r="B36" s="3">
        <v>34395023</v>
      </c>
      <c r="C36" s="3">
        <v>0</v>
      </c>
      <c r="D36" s="3">
        <v>0</v>
      </c>
      <c r="E36" s="3">
        <v>7438356</v>
      </c>
      <c r="F36" s="3">
        <v>0</v>
      </c>
      <c r="G36" s="3">
        <v>0</v>
      </c>
      <c r="H36" s="3">
        <v>562009</v>
      </c>
      <c r="I36" s="3">
        <v>0</v>
      </c>
      <c r="J36" s="3">
        <v>0</v>
      </c>
      <c r="K36" s="3">
        <v>42395388</v>
      </c>
      <c r="L36" s="3">
        <v>0</v>
      </c>
      <c r="M36" s="3">
        <v>0</v>
      </c>
      <c r="N36" s="3">
        <v>42395388</v>
      </c>
    </row>
    <row r="37" spans="1:15" x14ac:dyDescent="0.15">
      <c r="A37" s="1">
        <v>2005</v>
      </c>
      <c r="B37" s="3">
        <v>35184619</v>
      </c>
      <c r="C37" s="3">
        <v>0</v>
      </c>
      <c r="D37" s="3">
        <v>0</v>
      </c>
      <c r="E37" s="3">
        <v>86802248</v>
      </c>
      <c r="F37" s="3">
        <v>0</v>
      </c>
      <c r="G37" s="3">
        <v>7460796</v>
      </c>
      <c r="H37" s="3">
        <v>7194490</v>
      </c>
      <c r="I37" s="3">
        <v>0</v>
      </c>
      <c r="J37" s="3">
        <v>0</v>
      </c>
      <c r="K37" s="3">
        <v>129181357</v>
      </c>
      <c r="L37" s="3">
        <v>0</v>
      </c>
      <c r="M37" s="3">
        <v>7460796</v>
      </c>
      <c r="N37" s="3">
        <v>136642153</v>
      </c>
      <c r="O37" s="1" t="s">
        <v>324</v>
      </c>
    </row>
    <row r="38" spans="1:15" x14ac:dyDescent="0.15">
      <c r="A38" s="1">
        <v>2006</v>
      </c>
      <c r="B38" s="3">
        <v>31319237</v>
      </c>
      <c r="C38" s="3">
        <v>0</v>
      </c>
      <c r="D38" s="3">
        <v>0</v>
      </c>
      <c r="E38" s="3">
        <v>19862734</v>
      </c>
      <c r="F38" s="3">
        <v>0</v>
      </c>
      <c r="G38" s="3">
        <v>88245</v>
      </c>
      <c r="H38" s="3">
        <v>122725119</v>
      </c>
      <c r="I38" s="3">
        <v>0</v>
      </c>
      <c r="J38" s="3">
        <v>2060356</v>
      </c>
      <c r="K38" s="3">
        <v>173907090</v>
      </c>
      <c r="L38" s="3">
        <v>0</v>
      </c>
      <c r="M38" s="3">
        <v>2148601</v>
      </c>
      <c r="N38" s="3">
        <v>176055691</v>
      </c>
      <c r="O38" s="1" t="s">
        <v>325</v>
      </c>
    </row>
    <row r="39" spans="1:15" x14ac:dyDescent="0.15">
      <c r="A39" s="1">
        <v>2007</v>
      </c>
      <c r="B39" s="3">
        <v>34782150</v>
      </c>
      <c r="C39" s="3">
        <v>0</v>
      </c>
      <c r="D39" s="3">
        <v>0</v>
      </c>
      <c r="E39" s="3">
        <v>23179758</v>
      </c>
      <c r="F39" s="3">
        <v>0</v>
      </c>
      <c r="G39" s="3">
        <v>0</v>
      </c>
      <c r="H39" s="3">
        <v>173325489</v>
      </c>
      <c r="I39" s="3">
        <v>0</v>
      </c>
      <c r="J39" s="3">
        <v>3600922</v>
      </c>
      <c r="K39" s="3">
        <v>231287397</v>
      </c>
      <c r="L39" s="3">
        <v>0</v>
      </c>
      <c r="M39" s="3">
        <v>3600922</v>
      </c>
      <c r="N39" s="3">
        <v>234888319</v>
      </c>
    </row>
    <row r="40" spans="1:15" x14ac:dyDescent="0.15">
      <c r="A40" s="1">
        <v>2008</v>
      </c>
      <c r="B40" s="3">
        <v>48478933</v>
      </c>
      <c r="C40" s="3">
        <v>0</v>
      </c>
      <c r="D40" s="3">
        <v>0</v>
      </c>
      <c r="E40" s="3">
        <v>26046416</v>
      </c>
      <c r="F40" s="3">
        <v>0</v>
      </c>
      <c r="G40" s="3">
        <v>0</v>
      </c>
      <c r="H40" s="3">
        <v>204774705</v>
      </c>
      <c r="I40" s="3">
        <v>0</v>
      </c>
      <c r="J40" s="3">
        <v>4804909</v>
      </c>
      <c r="K40" s="3">
        <v>279300054</v>
      </c>
      <c r="L40" s="3">
        <v>0</v>
      </c>
      <c r="M40" s="3">
        <v>4804909</v>
      </c>
      <c r="N40" s="3">
        <v>284104963</v>
      </c>
    </row>
    <row r="41" spans="1:15" x14ac:dyDescent="0.15">
      <c r="A41" s="1">
        <v>2009</v>
      </c>
      <c r="B41" s="3">
        <v>46459933</v>
      </c>
      <c r="C41" s="3">
        <v>0</v>
      </c>
      <c r="D41" s="3">
        <v>0</v>
      </c>
      <c r="E41" s="3">
        <v>28446385</v>
      </c>
      <c r="F41" s="3">
        <v>0</v>
      </c>
      <c r="G41" s="3">
        <v>0</v>
      </c>
      <c r="H41" s="3">
        <v>235235289</v>
      </c>
      <c r="I41" s="3">
        <v>0</v>
      </c>
      <c r="J41" s="3">
        <v>5776906</v>
      </c>
      <c r="K41" s="3">
        <v>310141607</v>
      </c>
      <c r="L41" s="3">
        <v>0</v>
      </c>
      <c r="M41" s="3">
        <v>5776906</v>
      </c>
      <c r="N41" s="3">
        <v>315918513</v>
      </c>
    </row>
    <row r="42" spans="1:15" x14ac:dyDescent="0.15">
      <c r="A42" s="1">
        <v>2010</v>
      </c>
      <c r="B42" s="3">
        <v>44863238</v>
      </c>
      <c r="C42" s="3">
        <v>0</v>
      </c>
      <c r="D42" s="3">
        <v>0</v>
      </c>
      <c r="E42" s="3">
        <v>31356759</v>
      </c>
      <c r="F42" s="3">
        <v>0</v>
      </c>
      <c r="G42" s="3">
        <v>0</v>
      </c>
      <c r="H42" s="3">
        <v>261685549</v>
      </c>
      <c r="I42" s="3">
        <v>0</v>
      </c>
      <c r="J42" s="3">
        <v>0</v>
      </c>
      <c r="K42" s="3">
        <v>337905546</v>
      </c>
      <c r="L42" s="3">
        <v>0</v>
      </c>
      <c r="M42" s="3">
        <v>0</v>
      </c>
      <c r="N42" s="3">
        <v>337905546</v>
      </c>
      <c r="O42" s="1" t="s">
        <v>326</v>
      </c>
    </row>
    <row r="43" spans="1:15" x14ac:dyDescent="0.15">
      <c r="A43" s="1">
        <v>2011</v>
      </c>
      <c r="B43" s="3">
        <v>44959723</v>
      </c>
      <c r="C43" s="3">
        <v>0</v>
      </c>
      <c r="D43" s="3">
        <v>0</v>
      </c>
      <c r="E43" s="3">
        <v>35650812</v>
      </c>
      <c r="F43" s="3">
        <v>0</v>
      </c>
      <c r="G43" s="3">
        <v>0</v>
      </c>
      <c r="H43" s="3">
        <v>272662101</v>
      </c>
      <c r="I43" s="3">
        <v>0</v>
      </c>
      <c r="J43" s="3">
        <v>0</v>
      </c>
      <c r="K43" s="3">
        <v>353272636</v>
      </c>
      <c r="L43" s="3">
        <v>0</v>
      </c>
      <c r="M43" s="3">
        <v>0</v>
      </c>
      <c r="N43" s="3">
        <v>353272636</v>
      </c>
    </row>
    <row r="44" spans="1:15" x14ac:dyDescent="0.15">
      <c r="A44" s="1">
        <v>2012</v>
      </c>
      <c r="B44" s="3">
        <v>43827115</v>
      </c>
      <c r="C44" s="3">
        <v>0</v>
      </c>
      <c r="D44" s="3">
        <v>0</v>
      </c>
      <c r="E44" s="3">
        <v>37702675</v>
      </c>
      <c r="F44" s="3">
        <v>0</v>
      </c>
      <c r="G44" s="3">
        <v>0</v>
      </c>
      <c r="H44" s="3">
        <v>285273453</v>
      </c>
      <c r="I44" s="3">
        <v>0</v>
      </c>
      <c r="J44" s="3">
        <v>0</v>
      </c>
      <c r="K44" s="3">
        <v>366803243</v>
      </c>
      <c r="L44" s="3">
        <v>0</v>
      </c>
      <c r="M44" s="3">
        <v>0</v>
      </c>
      <c r="N44" s="3">
        <v>366803243</v>
      </c>
    </row>
    <row r="45" spans="1:15" x14ac:dyDescent="0.15">
      <c r="A45" s="1">
        <v>2013</v>
      </c>
      <c r="B45" s="3">
        <v>50317306</v>
      </c>
      <c r="C45" s="3">
        <v>0</v>
      </c>
      <c r="D45" s="3">
        <v>0</v>
      </c>
      <c r="E45" s="3">
        <v>39207116</v>
      </c>
      <c r="F45" s="3">
        <v>0</v>
      </c>
      <c r="G45" s="3">
        <v>0</v>
      </c>
      <c r="H45" s="3">
        <v>284091658</v>
      </c>
      <c r="I45" s="3">
        <v>0</v>
      </c>
      <c r="J45" s="3">
        <v>0</v>
      </c>
      <c r="K45" s="3">
        <v>373616080</v>
      </c>
      <c r="L45" s="3">
        <v>0</v>
      </c>
      <c r="M45" s="3">
        <v>0</v>
      </c>
      <c r="N45" s="3">
        <v>373616080</v>
      </c>
    </row>
    <row r="46" spans="1:15" x14ac:dyDescent="0.15">
      <c r="A46" s="1">
        <v>2014</v>
      </c>
      <c r="B46" s="3">
        <v>50272825</v>
      </c>
      <c r="C46" s="3">
        <v>0</v>
      </c>
      <c r="D46" s="3">
        <v>0</v>
      </c>
      <c r="E46" s="3">
        <v>37288582</v>
      </c>
      <c r="F46" s="3">
        <v>0</v>
      </c>
      <c r="G46" s="3">
        <v>0</v>
      </c>
      <c r="H46" s="3">
        <v>278280082</v>
      </c>
      <c r="I46" s="3">
        <v>0</v>
      </c>
      <c r="J46" s="3">
        <v>0</v>
      </c>
      <c r="K46" s="3">
        <v>365841489</v>
      </c>
      <c r="L46" s="3">
        <v>0</v>
      </c>
      <c r="M46" s="3">
        <v>0</v>
      </c>
      <c r="N46" s="3">
        <v>365841489</v>
      </c>
    </row>
    <row r="47" spans="1:15" x14ac:dyDescent="0.15">
      <c r="A47" s="1">
        <v>2015</v>
      </c>
      <c r="B47" s="3">
        <v>51651615</v>
      </c>
      <c r="C47" s="3">
        <v>0</v>
      </c>
      <c r="D47" s="3">
        <v>0</v>
      </c>
      <c r="E47" s="3">
        <v>36473058</v>
      </c>
      <c r="F47" s="3">
        <v>0</v>
      </c>
      <c r="G47" s="3">
        <v>0</v>
      </c>
      <c r="H47" s="3">
        <v>278964623</v>
      </c>
      <c r="I47" s="3">
        <v>0</v>
      </c>
      <c r="J47" s="3">
        <v>0</v>
      </c>
      <c r="K47" s="3">
        <v>367089296</v>
      </c>
      <c r="L47" s="3">
        <v>0</v>
      </c>
      <c r="M47" s="3">
        <v>0</v>
      </c>
      <c r="N47" s="3">
        <v>367089296</v>
      </c>
    </row>
    <row r="48" spans="1:15" x14ac:dyDescent="0.15">
      <c r="A48" s="1">
        <v>2016</v>
      </c>
      <c r="B48" s="3">
        <v>67385123</v>
      </c>
      <c r="C48" s="3">
        <v>0</v>
      </c>
      <c r="D48" s="3">
        <v>0</v>
      </c>
      <c r="E48" s="3">
        <v>41439439</v>
      </c>
      <c r="F48" s="3">
        <v>0</v>
      </c>
      <c r="G48" s="3">
        <v>0</v>
      </c>
      <c r="H48" s="3">
        <v>286499877</v>
      </c>
      <c r="I48" s="3">
        <v>0</v>
      </c>
      <c r="J48" s="3">
        <v>0</v>
      </c>
      <c r="K48" s="3">
        <v>395324439</v>
      </c>
      <c r="L48" s="3">
        <v>0</v>
      </c>
      <c r="M48" s="3">
        <v>0</v>
      </c>
      <c r="N48" s="3">
        <v>395324439</v>
      </c>
    </row>
  </sheetData>
  <phoneticPr fontId="0" type="noConversion"/>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75" style="1" customWidth="1"/>
    <col min="3" max="4" width="10.625" style="1"/>
    <col min="5" max="5" width="12.375" style="1" customWidth="1"/>
    <col min="6" max="6" width="10.625" style="1"/>
    <col min="7" max="7" width="12.875" style="1" customWidth="1"/>
    <col min="8" max="10" width="10.625" style="1"/>
    <col min="11" max="11" width="12.5" style="1" customWidth="1"/>
    <col min="12" max="12" width="10.625" style="1"/>
    <col min="13" max="13" width="11.75" style="1" customWidth="1"/>
    <col min="14" max="14" width="12.625" style="1" customWidth="1"/>
    <col min="15" max="16384" width="10.625" style="1"/>
  </cols>
  <sheetData>
    <row r="1" spans="1:15" x14ac:dyDescent="0.15">
      <c r="A1" s="1" t="s">
        <v>72</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5000000</v>
      </c>
      <c r="C6" s="3">
        <v>0</v>
      </c>
      <c r="D6" s="3">
        <v>0</v>
      </c>
      <c r="E6" s="3">
        <v>0</v>
      </c>
      <c r="F6" s="3">
        <v>0</v>
      </c>
      <c r="G6" s="3">
        <v>0</v>
      </c>
      <c r="H6" s="3">
        <v>0</v>
      </c>
      <c r="I6" s="3">
        <v>0</v>
      </c>
      <c r="J6" s="3">
        <v>0</v>
      </c>
      <c r="K6" s="3">
        <f t="shared" ref="K6:M21" si="0">+B6+E6+H6</f>
        <v>5000000</v>
      </c>
      <c r="L6" s="3">
        <f t="shared" si="0"/>
        <v>0</v>
      </c>
      <c r="M6" s="3">
        <f t="shared" si="0"/>
        <v>0</v>
      </c>
      <c r="N6" s="3">
        <f t="shared" ref="N6:N35" si="1">+M6+L6+K6</f>
        <v>5000000</v>
      </c>
      <c r="O6" s="1" t="s">
        <v>73</v>
      </c>
    </row>
    <row r="7" spans="1:15" x14ac:dyDescent="0.15">
      <c r="A7" s="1">
        <v>1975</v>
      </c>
      <c r="B7" s="3">
        <v>8159000</v>
      </c>
      <c r="C7" s="3">
        <v>0</v>
      </c>
      <c r="D7" s="3">
        <v>0</v>
      </c>
      <c r="E7" s="3">
        <v>0</v>
      </c>
      <c r="F7" s="3">
        <v>0</v>
      </c>
      <c r="G7" s="3">
        <v>0</v>
      </c>
      <c r="H7" s="3">
        <v>0</v>
      </c>
      <c r="I7" s="3">
        <v>0</v>
      </c>
      <c r="J7" s="3">
        <v>0</v>
      </c>
      <c r="K7" s="3">
        <f t="shared" si="0"/>
        <v>8159000</v>
      </c>
      <c r="L7" s="3">
        <f t="shared" si="0"/>
        <v>0</v>
      </c>
      <c r="M7" s="3">
        <f t="shared" si="0"/>
        <v>0</v>
      </c>
      <c r="N7" s="3">
        <f t="shared" si="1"/>
        <v>8159000</v>
      </c>
    </row>
    <row r="8" spans="1:15" x14ac:dyDescent="0.15">
      <c r="A8" s="1">
        <v>1976</v>
      </c>
      <c r="B8" s="3">
        <v>7500000</v>
      </c>
      <c r="C8" s="3">
        <v>0</v>
      </c>
      <c r="D8" s="3">
        <v>0</v>
      </c>
      <c r="E8" s="3">
        <f>681000+789000</f>
        <v>1470000</v>
      </c>
      <c r="F8" s="3">
        <v>0</v>
      </c>
      <c r="G8" s="3">
        <v>0</v>
      </c>
      <c r="H8" s="3">
        <v>0</v>
      </c>
      <c r="I8" s="3">
        <v>0</v>
      </c>
      <c r="J8" s="3">
        <v>0</v>
      </c>
      <c r="K8" s="3">
        <f t="shared" si="0"/>
        <v>8970000</v>
      </c>
      <c r="L8" s="3">
        <f t="shared" si="0"/>
        <v>0</v>
      </c>
      <c r="M8" s="3">
        <f t="shared" si="0"/>
        <v>0</v>
      </c>
      <c r="N8" s="3">
        <f t="shared" si="1"/>
        <v>8970000</v>
      </c>
    </row>
    <row r="9" spans="1:15" x14ac:dyDescent="0.15">
      <c r="A9" s="1">
        <v>1977</v>
      </c>
      <c r="B9" s="3">
        <v>9000000</v>
      </c>
      <c r="C9" s="3">
        <v>0</v>
      </c>
      <c r="D9" s="3">
        <v>0</v>
      </c>
      <c r="E9" s="3">
        <f>1382000+2077000</f>
        <v>3459000</v>
      </c>
      <c r="F9" s="3">
        <v>0</v>
      </c>
      <c r="G9" s="3">
        <v>0</v>
      </c>
      <c r="H9" s="3">
        <v>0</v>
      </c>
      <c r="I9" s="3">
        <v>0</v>
      </c>
      <c r="J9" s="3">
        <v>0</v>
      </c>
      <c r="K9" s="3">
        <f t="shared" si="0"/>
        <v>12459000</v>
      </c>
      <c r="L9" s="3">
        <f t="shared" si="0"/>
        <v>0</v>
      </c>
      <c r="M9" s="3">
        <f t="shared" si="0"/>
        <v>0</v>
      </c>
      <c r="N9" s="3">
        <f t="shared" si="1"/>
        <v>12459000</v>
      </c>
    </row>
    <row r="10" spans="1:15" x14ac:dyDescent="0.15">
      <c r="A10" s="1">
        <v>1978</v>
      </c>
      <c r="B10" s="3">
        <v>10461000</v>
      </c>
      <c r="C10" s="3">
        <v>0</v>
      </c>
      <c r="D10" s="3">
        <v>0</v>
      </c>
      <c r="E10" s="3">
        <v>2363000</v>
      </c>
      <c r="F10" s="3">
        <v>0</v>
      </c>
      <c r="G10" s="3">
        <v>0</v>
      </c>
      <c r="H10" s="3">
        <v>0</v>
      </c>
      <c r="I10" s="3">
        <v>0</v>
      </c>
      <c r="J10" s="3">
        <v>0</v>
      </c>
      <c r="K10" s="3">
        <f t="shared" si="0"/>
        <v>12824000</v>
      </c>
      <c r="L10" s="3">
        <f t="shared" si="0"/>
        <v>0</v>
      </c>
      <c r="M10" s="3">
        <f t="shared" si="0"/>
        <v>0</v>
      </c>
      <c r="N10" s="3">
        <f t="shared" si="1"/>
        <v>12824000</v>
      </c>
    </row>
    <row r="11" spans="1:15" x14ac:dyDescent="0.15">
      <c r="A11" s="1">
        <v>1979</v>
      </c>
      <c r="B11" s="3">
        <v>10669000</v>
      </c>
      <c r="C11" s="3">
        <v>0</v>
      </c>
      <c r="D11" s="3">
        <v>0</v>
      </c>
      <c r="E11" s="3">
        <v>279000</v>
      </c>
      <c r="F11" s="3">
        <v>0</v>
      </c>
      <c r="G11" s="3">
        <v>0</v>
      </c>
      <c r="H11" s="3">
        <v>0</v>
      </c>
      <c r="I11" s="3">
        <v>0</v>
      </c>
      <c r="J11" s="3">
        <v>0</v>
      </c>
      <c r="K11" s="3">
        <f t="shared" si="0"/>
        <v>10948000</v>
      </c>
      <c r="L11" s="3">
        <f t="shared" si="0"/>
        <v>0</v>
      </c>
      <c r="M11" s="3">
        <f t="shared" si="0"/>
        <v>0</v>
      </c>
      <c r="N11" s="3">
        <f t="shared" si="1"/>
        <v>10948000</v>
      </c>
    </row>
    <row r="12" spans="1:15" x14ac:dyDescent="0.15">
      <c r="A12" s="1">
        <v>1980</v>
      </c>
      <c r="B12" s="3">
        <v>11881000</v>
      </c>
      <c r="C12" s="3">
        <v>0</v>
      </c>
      <c r="D12" s="3">
        <v>0</v>
      </c>
      <c r="E12" s="3">
        <v>1970000</v>
      </c>
      <c r="F12" s="3">
        <v>0</v>
      </c>
      <c r="G12" s="3">
        <v>0</v>
      </c>
      <c r="H12" s="3">
        <v>0</v>
      </c>
      <c r="I12" s="3">
        <v>0</v>
      </c>
      <c r="J12" s="3">
        <v>0</v>
      </c>
      <c r="K12" s="3">
        <f t="shared" si="0"/>
        <v>13851000</v>
      </c>
      <c r="L12" s="3">
        <f t="shared" si="0"/>
        <v>0</v>
      </c>
      <c r="M12" s="3">
        <f t="shared" si="0"/>
        <v>0</v>
      </c>
      <c r="N12" s="3">
        <f t="shared" si="1"/>
        <v>13851000</v>
      </c>
    </row>
    <row r="13" spans="1:15" x14ac:dyDescent="0.15">
      <c r="A13" s="1">
        <v>1981</v>
      </c>
      <c r="B13" s="3">
        <v>11892000</v>
      </c>
      <c r="C13" s="3">
        <v>0</v>
      </c>
      <c r="D13" s="3">
        <v>0</v>
      </c>
      <c r="E13" s="3">
        <f>1089000</f>
        <v>1089000</v>
      </c>
      <c r="F13" s="3">
        <v>0</v>
      </c>
      <c r="G13" s="3">
        <v>0</v>
      </c>
      <c r="H13" s="3">
        <v>0</v>
      </c>
      <c r="I13" s="3">
        <v>0</v>
      </c>
      <c r="J13" s="3">
        <v>0</v>
      </c>
      <c r="K13" s="3">
        <f t="shared" si="0"/>
        <v>12981000</v>
      </c>
      <c r="L13" s="3">
        <f t="shared" si="0"/>
        <v>0</v>
      </c>
      <c r="M13" s="3">
        <f t="shared" si="0"/>
        <v>0</v>
      </c>
      <c r="N13" s="3">
        <f t="shared" si="1"/>
        <v>12981000</v>
      </c>
    </row>
    <row r="14" spans="1:15" x14ac:dyDescent="0.15">
      <c r="A14" s="1">
        <v>1982</v>
      </c>
      <c r="B14" s="3">
        <v>15698000</v>
      </c>
      <c r="C14" s="3">
        <v>1553000</v>
      </c>
      <c r="D14" s="3">
        <v>0</v>
      </c>
      <c r="E14" s="3">
        <v>0</v>
      </c>
      <c r="F14" s="3">
        <v>0</v>
      </c>
      <c r="G14" s="3">
        <f>2760000+239000</f>
        <v>2999000</v>
      </c>
      <c r="H14" s="3">
        <v>0</v>
      </c>
      <c r="I14" s="3">
        <v>0</v>
      </c>
      <c r="J14" s="3">
        <v>0</v>
      </c>
      <c r="K14" s="3">
        <f t="shared" si="0"/>
        <v>15698000</v>
      </c>
      <c r="L14" s="3">
        <f t="shared" si="0"/>
        <v>1553000</v>
      </c>
      <c r="M14" s="3">
        <f t="shared" si="0"/>
        <v>2999000</v>
      </c>
      <c r="N14" s="3">
        <f t="shared" si="1"/>
        <v>20250000</v>
      </c>
      <c r="O14" s="1" t="s">
        <v>149</v>
      </c>
    </row>
    <row r="15" spans="1:15" x14ac:dyDescent="0.15">
      <c r="A15" s="1">
        <v>1983</v>
      </c>
      <c r="B15" s="3">
        <v>19520000</v>
      </c>
      <c r="C15" s="3">
        <v>1931000</v>
      </c>
      <c r="D15" s="3">
        <v>0</v>
      </c>
      <c r="E15" s="3">
        <v>0</v>
      </c>
      <c r="F15" s="3">
        <v>0</v>
      </c>
      <c r="G15" s="3">
        <f>3133000+250000</f>
        <v>3383000</v>
      </c>
      <c r="H15" s="3">
        <v>0</v>
      </c>
      <c r="I15" s="3">
        <v>0</v>
      </c>
      <c r="J15" s="3">
        <v>0</v>
      </c>
      <c r="K15" s="3">
        <f t="shared" si="0"/>
        <v>19520000</v>
      </c>
      <c r="L15" s="3">
        <f t="shared" si="0"/>
        <v>1931000</v>
      </c>
      <c r="M15" s="3">
        <f t="shared" si="0"/>
        <v>3383000</v>
      </c>
      <c r="N15" s="3">
        <f t="shared" si="1"/>
        <v>24834000</v>
      </c>
    </row>
    <row r="16" spans="1:15" x14ac:dyDescent="0.15">
      <c r="A16" s="1">
        <v>1984</v>
      </c>
      <c r="B16" s="3">
        <v>0</v>
      </c>
      <c r="C16" s="3">
        <v>0</v>
      </c>
      <c r="D16" s="3">
        <v>22479000</v>
      </c>
      <c r="E16" s="3">
        <v>500000</v>
      </c>
      <c r="F16" s="3">
        <v>0</v>
      </c>
      <c r="G16" s="3">
        <v>2551000</v>
      </c>
      <c r="H16" s="3">
        <v>0</v>
      </c>
      <c r="I16" s="3">
        <v>0</v>
      </c>
      <c r="J16" s="3">
        <v>0</v>
      </c>
      <c r="K16" s="3">
        <f t="shared" si="0"/>
        <v>500000</v>
      </c>
      <c r="L16" s="3">
        <f t="shared" si="0"/>
        <v>0</v>
      </c>
      <c r="M16" s="3">
        <f t="shared" si="0"/>
        <v>25030000</v>
      </c>
      <c r="N16" s="3">
        <f t="shared" si="1"/>
        <v>25530000</v>
      </c>
    </row>
    <row r="17" spans="1:15" x14ac:dyDescent="0.15">
      <c r="A17" s="1">
        <v>1985</v>
      </c>
      <c r="B17" s="3">
        <v>21337000</v>
      </c>
      <c r="C17" s="3">
        <v>1977000</v>
      </c>
      <c r="D17" s="3">
        <v>0</v>
      </c>
      <c r="E17" s="3">
        <f>2950000+500000</f>
        <v>3450000</v>
      </c>
      <c r="F17" s="3">
        <v>137000</v>
      </c>
      <c r="G17" s="3">
        <v>0</v>
      </c>
      <c r="H17" s="3">
        <v>0</v>
      </c>
      <c r="I17" s="3">
        <v>0</v>
      </c>
      <c r="J17" s="3">
        <v>0</v>
      </c>
      <c r="K17" s="3">
        <f t="shared" si="0"/>
        <v>24787000</v>
      </c>
      <c r="L17" s="3">
        <f t="shared" si="0"/>
        <v>2114000</v>
      </c>
      <c r="M17" s="3">
        <f t="shared" si="0"/>
        <v>0</v>
      </c>
      <c r="N17" s="3">
        <f t="shared" si="1"/>
        <v>26901000</v>
      </c>
    </row>
    <row r="18" spans="1:15" x14ac:dyDescent="0.15">
      <c r="A18" s="1">
        <v>1986</v>
      </c>
      <c r="B18" s="3">
        <v>18806000</v>
      </c>
      <c r="C18" s="3">
        <v>1680000</v>
      </c>
      <c r="D18" s="3">
        <v>0</v>
      </c>
      <c r="E18" s="3">
        <f>3124000+500000</f>
        <v>3624000</v>
      </c>
      <c r="F18" s="3">
        <v>108000</v>
      </c>
      <c r="G18" s="3">
        <v>0</v>
      </c>
      <c r="H18" s="3">
        <v>0</v>
      </c>
      <c r="I18" s="3">
        <v>0</v>
      </c>
      <c r="J18" s="3">
        <v>0</v>
      </c>
      <c r="K18" s="3">
        <f t="shared" si="0"/>
        <v>22430000</v>
      </c>
      <c r="L18" s="3">
        <f t="shared" si="0"/>
        <v>1788000</v>
      </c>
      <c r="M18" s="3">
        <f t="shared" si="0"/>
        <v>0</v>
      </c>
      <c r="N18" s="3">
        <f t="shared" si="1"/>
        <v>24218000</v>
      </c>
    </row>
    <row r="19" spans="1:15" x14ac:dyDescent="0.15">
      <c r="A19" s="1">
        <v>1987</v>
      </c>
      <c r="B19" s="3">
        <v>16935000</v>
      </c>
      <c r="C19" s="3">
        <v>1569000</v>
      </c>
      <c r="D19" s="3">
        <v>0</v>
      </c>
      <c r="E19" s="3">
        <f>2858000+500000</f>
        <v>3358000</v>
      </c>
      <c r="F19" s="3">
        <v>142000</v>
      </c>
      <c r="G19" s="3">
        <v>0</v>
      </c>
      <c r="H19" s="3">
        <v>0</v>
      </c>
      <c r="I19" s="3">
        <v>0</v>
      </c>
      <c r="J19" s="3">
        <v>0</v>
      </c>
      <c r="K19" s="3">
        <f t="shared" si="0"/>
        <v>20293000</v>
      </c>
      <c r="L19" s="3">
        <f t="shared" si="0"/>
        <v>1711000</v>
      </c>
      <c r="M19" s="3">
        <f t="shared" si="0"/>
        <v>0</v>
      </c>
      <c r="N19" s="3">
        <f t="shared" si="1"/>
        <v>22004000</v>
      </c>
    </row>
    <row r="20" spans="1:15" x14ac:dyDescent="0.15">
      <c r="A20" s="1">
        <v>1988</v>
      </c>
      <c r="B20" s="3">
        <v>18627000</v>
      </c>
      <c r="C20" s="3">
        <v>1445000</v>
      </c>
      <c r="D20" s="3">
        <v>0</v>
      </c>
      <c r="E20" s="3">
        <f>2834000+470000</f>
        <v>3304000</v>
      </c>
      <c r="F20" s="3">
        <v>146000</v>
      </c>
      <c r="G20" s="3">
        <v>0</v>
      </c>
      <c r="H20" s="3">
        <v>0</v>
      </c>
      <c r="I20" s="3">
        <v>0</v>
      </c>
      <c r="J20" s="3">
        <v>0</v>
      </c>
      <c r="K20" s="3">
        <f t="shared" si="0"/>
        <v>21931000</v>
      </c>
      <c r="L20" s="3">
        <f t="shared" si="0"/>
        <v>1591000</v>
      </c>
      <c r="M20" s="3">
        <f t="shared" si="0"/>
        <v>0</v>
      </c>
      <c r="N20" s="3">
        <f t="shared" si="1"/>
        <v>23522000</v>
      </c>
    </row>
    <row r="21" spans="1:15" x14ac:dyDescent="0.15">
      <c r="A21" s="1">
        <v>1989</v>
      </c>
      <c r="B21" s="3">
        <v>19350000</v>
      </c>
      <c r="C21" s="3">
        <v>1667000</v>
      </c>
      <c r="D21" s="3">
        <v>0</v>
      </c>
      <c r="E21" s="3">
        <f>2909000+470000</f>
        <v>3379000</v>
      </c>
      <c r="F21" s="3">
        <v>91000</v>
      </c>
      <c r="G21" s="3">
        <v>0</v>
      </c>
      <c r="H21" s="3">
        <v>0</v>
      </c>
      <c r="I21" s="3">
        <v>0</v>
      </c>
      <c r="J21" s="3">
        <v>0</v>
      </c>
      <c r="K21" s="3">
        <f t="shared" si="0"/>
        <v>22729000</v>
      </c>
      <c r="L21" s="3">
        <f t="shared" si="0"/>
        <v>1758000</v>
      </c>
      <c r="M21" s="3">
        <f t="shared" si="0"/>
        <v>0</v>
      </c>
      <c r="N21" s="3">
        <f t="shared" si="1"/>
        <v>24487000</v>
      </c>
    </row>
    <row r="22" spans="1:15" x14ac:dyDescent="0.15">
      <c r="A22" s="1">
        <v>1990</v>
      </c>
      <c r="B22" s="3">
        <v>21444000</v>
      </c>
      <c r="C22" s="3">
        <v>2254000</v>
      </c>
      <c r="D22" s="3">
        <v>0</v>
      </c>
      <c r="E22" s="3">
        <f>156000+2846000+470000+51000</f>
        <v>3523000</v>
      </c>
      <c r="F22" s="3">
        <f>154000+1000+4000</f>
        <v>159000</v>
      </c>
      <c r="G22" s="3">
        <v>0</v>
      </c>
      <c r="H22" s="3">
        <v>0</v>
      </c>
      <c r="I22" s="3">
        <v>0</v>
      </c>
      <c r="J22" s="3">
        <v>0</v>
      </c>
      <c r="K22" s="3">
        <f t="shared" ref="K22:M35" si="2">+B22+E22+H22</f>
        <v>24967000</v>
      </c>
      <c r="L22" s="3">
        <f t="shared" si="2"/>
        <v>2413000</v>
      </c>
      <c r="M22" s="3">
        <f t="shared" si="2"/>
        <v>0</v>
      </c>
      <c r="N22" s="3">
        <f t="shared" si="1"/>
        <v>27380000</v>
      </c>
    </row>
    <row r="23" spans="1:15" x14ac:dyDescent="0.15">
      <c r="A23" s="1">
        <v>1991</v>
      </c>
      <c r="B23" s="3">
        <v>21381000</v>
      </c>
      <c r="C23" s="3">
        <v>2352000</v>
      </c>
      <c r="D23" s="3">
        <v>0</v>
      </c>
      <c r="E23" s="3">
        <f>2906000+450000+126000</f>
        <v>3482000</v>
      </c>
      <c r="F23" s="3">
        <f>94000+9000</f>
        <v>103000</v>
      </c>
      <c r="G23" s="3">
        <v>0</v>
      </c>
      <c r="H23" s="3">
        <v>0</v>
      </c>
      <c r="I23" s="3">
        <v>0</v>
      </c>
      <c r="J23" s="3">
        <v>0</v>
      </c>
      <c r="K23" s="3">
        <f t="shared" si="2"/>
        <v>24863000</v>
      </c>
      <c r="L23" s="3">
        <f t="shared" si="2"/>
        <v>2455000</v>
      </c>
      <c r="M23" s="3">
        <f t="shared" si="2"/>
        <v>0</v>
      </c>
      <c r="N23" s="3">
        <f t="shared" si="1"/>
        <v>27318000</v>
      </c>
    </row>
    <row r="24" spans="1:15" x14ac:dyDescent="0.15">
      <c r="A24" s="1">
        <v>1992</v>
      </c>
      <c r="B24" s="3">
        <v>23203000</v>
      </c>
      <c r="C24" s="3">
        <v>2725000</v>
      </c>
      <c r="D24" s="3">
        <v>0</v>
      </c>
      <c r="E24" s="3">
        <f>2902000+436000+68000+270000+20000</f>
        <v>3696000</v>
      </c>
      <c r="F24" s="3">
        <f>98000+2000+30000+1000</f>
        <v>131000</v>
      </c>
      <c r="G24" s="3">
        <v>0</v>
      </c>
      <c r="H24" s="3">
        <v>0</v>
      </c>
      <c r="I24" s="3">
        <v>0</v>
      </c>
      <c r="J24" s="3">
        <v>0</v>
      </c>
      <c r="K24" s="3">
        <f t="shared" si="2"/>
        <v>26899000</v>
      </c>
      <c r="L24" s="3">
        <f t="shared" si="2"/>
        <v>2856000</v>
      </c>
      <c r="M24" s="3">
        <f t="shared" si="2"/>
        <v>0</v>
      </c>
      <c r="N24" s="3">
        <f t="shared" si="1"/>
        <v>29755000</v>
      </c>
    </row>
    <row r="25" spans="1:15" x14ac:dyDescent="0.15">
      <c r="A25" s="1">
        <v>1993</v>
      </c>
      <c r="B25" s="3">
        <v>23760000</v>
      </c>
      <c r="C25" s="3">
        <v>2640000</v>
      </c>
      <c r="D25" s="3">
        <v>0</v>
      </c>
      <c r="E25" s="3">
        <f>2880000+360000+50000+417000</f>
        <v>3707000</v>
      </c>
      <c r="F25" s="3">
        <f>120000+46000+15000</f>
        <v>181000</v>
      </c>
      <c r="G25" s="3">
        <v>0</v>
      </c>
      <c r="H25" s="3">
        <v>0</v>
      </c>
      <c r="I25" s="3">
        <v>0</v>
      </c>
      <c r="J25" s="3">
        <v>0</v>
      </c>
      <c r="K25" s="3">
        <f t="shared" si="2"/>
        <v>27467000</v>
      </c>
      <c r="L25" s="3">
        <f t="shared" si="2"/>
        <v>2821000</v>
      </c>
      <c r="M25" s="3">
        <f t="shared" si="2"/>
        <v>0</v>
      </c>
      <c r="N25" s="3">
        <f t="shared" si="1"/>
        <v>30288000</v>
      </c>
    </row>
    <row r="26" spans="1:15" x14ac:dyDescent="0.15">
      <c r="A26" s="1">
        <v>1994</v>
      </c>
      <c r="B26" s="3">
        <v>25408000</v>
      </c>
      <c r="C26" s="3">
        <v>2264000</v>
      </c>
      <c r="D26" s="3">
        <v>0</v>
      </c>
      <c r="E26" s="3">
        <f>2798000+423000+33000+440000</f>
        <v>3694000</v>
      </c>
      <c r="F26" s="3">
        <f>106000+49000+17000</f>
        <v>172000</v>
      </c>
      <c r="G26" s="3">
        <v>0</v>
      </c>
      <c r="H26" s="3">
        <v>0</v>
      </c>
      <c r="I26" s="3">
        <v>0</v>
      </c>
      <c r="J26" s="3">
        <v>0</v>
      </c>
      <c r="K26" s="3">
        <f t="shared" si="2"/>
        <v>29102000</v>
      </c>
      <c r="L26" s="3">
        <f t="shared" si="2"/>
        <v>2436000</v>
      </c>
      <c r="M26" s="3">
        <f t="shared" si="2"/>
        <v>0</v>
      </c>
      <c r="N26" s="3">
        <f t="shared" si="1"/>
        <v>31538000</v>
      </c>
    </row>
    <row r="27" spans="1:15" x14ac:dyDescent="0.15">
      <c r="A27" s="1">
        <v>1995</v>
      </c>
      <c r="B27" s="3">
        <v>25408000</v>
      </c>
      <c r="C27" s="3">
        <v>2264000</v>
      </c>
      <c r="D27" s="3">
        <v>0</v>
      </c>
      <c r="E27" s="3">
        <f>2798000+423000+33000+440000</f>
        <v>3694000</v>
      </c>
      <c r="F27" s="3">
        <f>106000+49000+17000</f>
        <v>172000</v>
      </c>
      <c r="G27" s="3">
        <v>0</v>
      </c>
      <c r="H27" s="3">
        <v>0</v>
      </c>
      <c r="I27" s="3">
        <v>0</v>
      </c>
      <c r="J27" s="3">
        <v>0</v>
      </c>
      <c r="K27" s="3">
        <f t="shared" si="2"/>
        <v>29102000</v>
      </c>
      <c r="L27" s="3">
        <f t="shared" si="2"/>
        <v>2436000</v>
      </c>
      <c r="M27" s="3">
        <f t="shared" si="2"/>
        <v>0</v>
      </c>
      <c r="N27" s="3">
        <f t="shared" si="1"/>
        <v>31538000</v>
      </c>
      <c r="O27" s="1" t="s">
        <v>205</v>
      </c>
    </row>
    <row r="28" spans="1:15" x14ac:dyDescent="0.15">
      <c r="A28" s="1">
        <v>1996</v>
      </c>
      <c r="B28" s="3">
        <v>37360525</v>
      </c>
      <c r="C28" s="3">
        <v>0</v>
      </c>
      <c r="D28" s="3">
        <v>0</v>
      </c>
      <c r="E28" s="3">
        <f>40768000-B28</f>
        <v>3407475</v>
      </c>
      <c r="F28" s="3">
        <v>3860000</v>
      </c>
      <c r="G28" s="3">
        <v>0</v>
      </c>
      <c r="H28" s="3">
        <v>0</v>
      </c>
      <c r="I28" s="3">
        <v>0</v>
      </c>
      <c r="J28" s="3">
        <v>0</v>
      </c>
      <c r="K28" s="3">
        <f t="shared" si="2"/>
        <v>40768000</v>
      </c>
      <c r="L28" s="3">
        <f t="shared" si="2"/>
        <v>3860000</v>
      </c>
      <c r="M28" s="3">
        <f t="shared" si="2"/>
        <v>0</v>
      </c>
      <c r="N28" s="3">
        <f t="shared" si="1"/>
        <v>44628000</v>
      </c>
      <c r="O28" s="1" t="s">
        <v>213</v>
      </c>
    </row>
    <row r="29" spans="1:15" x14ac:dyDescent="0.15">
      <c r="A29" s="1">
        <v>1997</v>
      </c>
      <c r="B29" s="3">
        <v>38055541</v>
      </c>
      <c r="C29" s="3">
        <v>0</v>
      </c>
      <c r="D29" s="3">
        <v>0</v>
      </c>
      <c r="E29" s="3">
        <f>42761000-B29</f>
        <v>4705459</v>
      </c>
      <c r="F29" s="3">
        <v>4788000</v>
      </c>
      <c r="G29" s="3">
        <v>0</v>
      </c>
      <c r="H29" s="3">
        <v>0</v>
      </c>
      <c r="I29" s="3">
        <v>0</v>
      </c>
      <c r="J29" s="3">
        <v>0</v>
      </c>
      <c r="K29" s="3">
        <f t="shared" si="2"/>
        <v>42761000</v>
      </c>
      <c r="L29" s="3">
        <f t="shared" si="2"/>
        <v>4788000</v>
      </c>
      <c r="M29" s="3">
        <f t="shared" si="2"/>
        <v>0</v>
      </c>
      <c r="N29" s="3">
        <f t="shared" si="1"/>
        <v>47549000</v>
      </c>
    </row>
    <row r="30" spans="1:15" x14ac:dyDescent="0.15">
      <c r="A30" s="1">
        <v>1998</v>
      </c>
      <c r="B30" s="3">
        <v>43854183</v>
      </c>
      <c r="C30" s="3">
        <v>0</v>
      </c>
      <c r="D30" s="3">
        <v>0</v>
      </c>
      <c r="E30" s="3">
        <f>60670000-B30</f>
        <v>16815817</v>
      </c>
      <c r="F30" s="3">
        <v>5452000</v>
      </c>
      <c r="G30" s="3">
        <v>0</v>
      </c>
      <c r="H30" s="3">
        <v>0</v>
      </c>
      <c r="I30" s="3">
        <v>0</v>
      </c>
      <c r="J30" s="3">
        <v>0</v>
      </c>
      <c r="K30" s="3">
        <f t="shared" si="2"/>
        <v>60670000</v>
      </c>
      <c r="L30" s="3">
        <f t="shared" si="2"/>
        <v>5452000</v>
      </c>
      <c r="M30" s="3">
        <f t="shared" si="2"/>
        <v>0</v>
      </c>
      <c r="N30" s="3">
        <f t="shared" si="1"/>
        <v>66122000</v>
      </c>
      <c r="O30" s="1" t="s">
        <v>220</v>
      </c>
    </row>
    <row r="31" spans="1:15" x14ac:dyDescent="0.15">
      <c r="A31" s="1">
        <v>1999</v>
      </c>
      <c r="B31" s="3">
        <v>43467858</v>
      </c>
      <c r="C31" s="3">
        <v>0</v>
      </c>
      <c r="D31" s="3">
        <v>0</v>
      </c>
      <c r="E31" s="3">
        <f>61728000-B31</f>
        <v>18260142</v>
      </c>
      <c r="F31" s="3">
        <v>4834000</v>
      </c>
      <c r="G31" s="3">
        <v>0</v>
      </c>
      <c r="H31" s="3">
        <v>0</v>
      </c>
      <c r="I31" s="3">
        <v>0</v>
      </c>
      <c r="J31" s="3">
        <v>0</v>
      </c>
      <c r="K31" s="3">
        <f t="shared" si="2"/>
        <v>61728000</v>
      </c>
      <c r="L31" s="3">
        <f t="shared" si="2"/>
        <v>4834000</v>
      </c>
      <c r="M31" s="3">
        <f t="shared" si="2"/>
        <v>0</v>
      </c>
      <c r="N31" s="3">
        <f t="shared" si="1"/>
        <v>66562000</v>
      </c>
    </row>
    <row r="32" spans="1:15" x14ac:dyDescent="0.15">
      <c r="A32" s="1">
        <v>2000</v>
      </c>
      <c r="B32" s="3">
        <v>19827683</v>
      </c>
      <c r="C32" s="3">
        <v>0</v>
      </c>
      <c r="D32" s="3">
        <v>0</v>
      </c>
      <c r="E32" s="3">
        <f>154424000-B32</f>
        <v>134596317</v>
      </c>
      <c r="F32" s="3">
        <v>6754000</v>
      </c>
      <c r="G32" s="3">
        <v>0</v>
      </c>
      <c r="H32" s="3">
        <v>0</v>
      </c>
      <c r="I32" s="3">
        <v>0</v>
      </c>
      <c r="J32" s="3">
        <v>0</v>
      </c>
      <c r="K32" s="3">
        <f t="shared" si="2"/>
        <v>154424000</v>
      </c>
      <c r="L32" s="3">
        <f t="shared" si="2"/>
        <v>6754000</v>
      </c>
      <c r="M32" s="3">
        <f t="shared" si="2"/>
        <v>0</v>
      </c>
      <c r="N32" s="3">
        <f t="shared" si="1"/>
        <v>161178000</v>
      </c>
      <c r="O32" s="1" t="s">
        <v>240</v>
      </c>
    </row>
    <row r="33" spans="1:15" x14ac:dyDescent="0.15">
      <c r="A33" s="1">
        <v>2001</v>
      </c>
      <c r="B33" s="3">
        <f>30642011+5242766</f>
        <v>35884777</v>
      </c>
      <c r="C33" s="3">
        <v>0</v>
      </c>
      <c r="D33" s="3">
        <v>0</v>
      </c>
      <c r="E33" s="3">
        <f>106382000-B33</f>
        <v>70497223</v>
      </c>
      <c r="F33" s="3">
        <v>7637000</v>
      </c>
      <c r="G33" s="3">
        <v>0</v>
      </c>
      <c r="H33" s="3">
        <v>2246000</v>
      </c>
      <c r="I33" s="3">
        <v>0</v>
      </c>
      <c r="J33" s="3">
        <v>0</v>
      </c>
      <c r="K33" s="3">
        <f t="shared" si="2"/>
        <v>108628000</v>
      </c>
      <c r="L33" s="3">
        <f t="shared" si="2"/>
        <v>7637000</v>
      </c>
      <c r="M33" s="3">
        <f t="shared" si="2"/>
        <v>0</v>
      </c>
      <c r="N33" s="3">
        <f t="shared" si="1"/>
        <v>116265000</v>
      </c>
      <c r="O33" s="1" t="s">
        <v>244</v>
      </c>
    </row>
    <row r="34" spans="1:15" x14ac:dyDescent="0.15">
      <c r="A34" s="1">
        <v>2002</v>
      </c>
      <c r="B34" s="3">
        <v>103446959</v>
      </c>
      <c r="C34" s="3">
        <v>0</v>
      </c>
      <c r="D34" s="3">
        <v>0</v>
      </c>
      <c r="E34" s="3">
        <f>197252000-B34</f>
        <v>93805041</v>
      </c>
      <c r="F34" s="3">
        <v>12962000</v>
      </c>
      <c r="G34" s="3">
        <v>0</v>
      </c>
      <c r="H34" s="3">
        <v>2271000</v>
      </c>
      <c r="I34" s="3">
        <v>0</v>
      </c>
      <c r="J34" s="3">
        <v>0</v>
      </c>
      <c r="K34" s="3">
        <f t="shared" si="2"/>
        <v>199523000</v>
      </c>
      <c r="L34" s="3">
        <f t="shared" si="2"/>
        <v>12962000</v>
      </c>
      <c r="M34" s="3">
        <f t="shared" si="2"/>
        <v>0</v>
      </c>
      <c r="N34" s="3">
        <f t="shared" si="1"/>
        <v>212485000</v>
      </c>
    </row>
    <row r="35" spans="1:15" x14ac:dyDescent="0.15">
      <c r="A35" s="1">
        <v>2003</v>
      </c>
      <c r="B35" s="3">
        <v>164198821</v>
      </c>
      <c r="C35" s="3">
        <v>0</v>
      </c>
      <c r="D35" s="3">
        <v>0</v>
      </c>
      <c r="E35" s="3">
        <v>154585422</v>
      </c>
      <c r="F35" s="3">
        <v>18730462</v>
      </c>
      <c r="G35" s="3">
        <v>0</v>
      </c>
      <c r="H35" s="3">
        <v>4013500</v>
      </c>
      <c r="I35" s="3">
        <v>170261</v>
      </c>
      <c r="J35" s="3">
        <v>0</v>
      </c>
      <c r="K35" s="3">
        <f t="shared" si="2"/>
        <v>322797743</v>
      </c>
      <c r="L35" s="3">
        <f t="shared" si="2"/>
        <v>18900723</v>
      </c>
      <c r="M35" s="3">
        <f t="shared" si="2"/>
        <v>0</v>
      </c>
      <c r="N35" s="3">
        <f t="shared" si="1"/>
        <v>341698466</v>
      </c>
    </row>
    <row r="36" spans="1:15" x14ac:dyDescent="0.15">
      <c r="A36" s="1">
        <v>2004</v>
      </c>
      <c r="B36" s="3">
        <v>156528723</v>
      </c>
      <c r="C36" s="3">
        <v>0</v>
      </c>
      <c r="D36" s="3">
        <v>0</v>
      </c>
      <c r="E36" s="3">
        <v>0</v>
      </c>
      <c r="F36" s="3">
        <v>0</v>
      </c>
      <c r="G36" s="3">
        <v>187202921</v>
      </c>
      <c r="H36" s="3">
        <v>0</v>
      </c>
      <c r="I36" s="3">
        <v>0</v>
      </c>
      <c r="J36" s="3">
        <v>4877688</v>
      </c>
      <c r="K36" s="3">
        <v>156528723</v>
      </c>
      <c r="L36" s="3">
        <v>0</v>
      </c>
      <c r="M36" s="3">
        <v>192080609</v>
      </c>
      <c r="N36" s="3">
        <v>348609332</v>
      </c>
      <c r="O36" s="1" t="s">
        <v>327</v>
      </c>
    </row>
    <row r="37" spans="1:15" x14ac:dyDescent="0.15">
      <c r="A37" s="1">
        <v>2005</v>
      </c>
      <c r="B37" s="3">
        <v>167777082</v>
      </c>
      <c r="C37" s="3">
        <v>0</v>
      </c>
      <c r="D37" s="3">
        <v>0</v>
      </c>
      <c r="E37" s="3">
        <v>168655922</v>
      </c>
      <c r="F37" s="3">
        <v>23756801</v>
      </c>
      <c r="G37" s="3">
        <v>1500466</v>
      </c>
      <c r="H37" s="3">
        <v>0</v>
      </c>
      <c r="I37" s="3">
        <v>0</v>
      </c>
      <c r="J37" s="3">
        <v>0</v>
      </c>
      <c r="K37" s="3">
        <v>336433004</v>
      </c>
      <c r="L37" s="3">
        <v>23756801</v>
      </c>
      <c r="M37" s="3">
        <v>1500466</v>
      </c>
      <c r="N37" s="3">
        <v>361690271</v>
      </c>
    </row>
    <row r="38" spans="1:15" x14ac:dyDescent="0.15">
      <c r="A38" s="1">
        <v>2006</v>
      </c>
      <c r="B38" s="3">
        <v>186182447</v>
      </c>
      <c r="C38" s="3">
        <v>0</v>
      </c>
      <c r="D38" s="3">
        <v>0</v>
      </c>
      <c r="E38" s="3">
        <v>180690457</v>
      </c>
      <c r="F38" s="3">
        <v>29656059</v>
      </c>
      <c r="G38" s="3">
        <v>2976788</v>
      </c>
      <c r="H38" s="3">
        <v>0</v>
      </c>
      <c r="I38" s="3">
        <v>0</v>
      </c>
      <c r="J38" s="3">
        <v>0</v>
      </c>
      <c r="K38" s="3">
        <v>366872904</v>
      </c>
      <c r="L38" s="3">
        <v>29656059</v>
      </c>
      <c r="M38" s="3">
        <v>2976788</v>
      </c>
      <c r="N38" s="3">
        <v>399505751</v>
      </c>
    </row>
    <row r="39" spans="1:15" x14ac:dyDescent="0.15">
      <c r="A39" s="1">
        <v>2007</v>
      </c>
      <c r="B39" s="3">
        <v>175071971</v>
      </c>
      <c r="C39" s="3">
        <v>0</v>
      </c>
      <c r="D39" s="3">
        <v>0</v>
      </c>
      <c r="E39" s="3">
        <v>199658002</v>
      </c>
      <c r="F39" s="3">
        <v>33162531</v>
      </c>
      <c r="G39" s="3">
        <v>3023427</v>
      </c>
      <c r="H39" s="3">
        <v>0</v>
      </c>
      <c r="I39" s="3">
        <v>0</v>
      </c>
      <c r="J39" s="3">
        <v>0</v>
      </c>
      <c r="K39" s="3">
        <v>374729973</v>
      </c>
      <c r="L39" s="3">
        <v>33162531</v>
      </c>
      <c r="M39" s="3">
        <v>3023427</v>
      </c>
      <c r="N39" s="3">
        <v>410915931</v>
      </c>
    </row>
    <row r="40" spans="1:15" x14ac:dyDescent="0.15">
      <c r="A40" s="1">
        <v>2008</v>
      </c>
      <c r="B40" s="3">
        <v>199640555</v>
      </c>
      <c r="C40" s="3">
        <v>0</v>
      </c>
      <c r="D40" s="3">
        <v>0</v>
      </c>
      <c r="E40" s="3">
        <v>285166533</v>
      </c>
      <c r="F40" s="3">
        <v>49524489</v>
      </c>
      <c r="G40" s="3">
        <v>3536907</v>
      </c>
      <c r="H40" s="3">
        <v>0</v>
      </c>
      <c r="I40" s="3">
        <v>0</v>
      </c>
      <c r="J40" s="3">
        <v>0</v>
      </c>
      <c r="K40" s="3">
        <v>484807088</v>
      </c>
      <c r="L40" s="3">
        <v>49524489</v>
      </c>
      <c r="M40" s="3">
        <v>3536907</v>
      </c>
      <c r="N40" s="3">
        <v>537868484</v>
      </c>
      <c r="O40" s="1" t="s">
        <v>328</v>
      </c>
    </row>
    <row r="41" spans="1:15" x14ac:dyDescent="0.15">
      <c r="A41" s="1">
        <v>2009</v>
      </c>
      <c r="B41" s="3">
        <v>230316128</v>
      </c>
      <c r="C41" s="3">
        <v>0</v>
      </c>
      <c r="D41" s="3">
        <v>0</v>
      </c>
      <c r="E41" s="3">
        <v>287447041</v>
      </c>
      <c r="F41" s="3">
        <v>49945267</v>
      </c>
      <c r="G41" s="3">
        <v>569771</v>
      </c>
      <c r="H41" s="3">
        <v>0</v>
      </c>
      <c r="I41" s="3">
        <v>0</v>
      </c>
      <c r="J41" s="3">
        <v>0</v>
      </c>
      <c r="K41" s="3">
        <v>517763169</v>
      </c>
      <c r="L41" s="3">
        <v>49945267</v>
      </c>
      <c r="M41" s="3">
        <v>569771</v>
      </c>
      <c r="N41" s="3">
        <v>568278207</v>
      </c>
    </row>
    <row r="42" spans="1:15" x14ac:dyDescent="0.15">
      <c r="A42" s="1">
        <v>2010</v>
      </c>
      <c r="B42" s="3">
        <v>277770496</v>
      </c>
      <c r="C42" s="3">
        <v>20850</v>
      </c>
      <c r="D42" s="3">
        <v>0</v>
      </c>
      <c r="E42" s="3">
        <v>314628525</v>
      </c>
      <c r="F42" s="3">
        <v>57918426</v>
      </c>
      <c r="G42" s="3">
        <v>870981</v>
      </c>
      <c r="H42" s="3">
        <v>0</v>
      </c>
      <c r="I42" s="3">
        <v>0</v>
      </c>
      <c r="J42" s="3">
        <v>0</v>
      </c>
      <c r="K42" s="3">
        <v>592399021</v>
      </c>
      <c r="L42" s="3">
        <v>57939276</v>
      </c>
      <c r="M42" s="3">
        <v>870981</v>
      </c>
      <c r="N42" s="3">
        <v>651209278</v>
      </c>
    </row>
    <row r="43" spans="1:15" x14ac:dyDescent="0.15">
      <c r="A43" s="1">
        <v>2011</v>
      </c>
      <c r="B43" s="3">
        <v>343116095</v>
      </c>
      <c r="C43" s="3">
        <v>43183</v>
      </c>
      <c r="D43" s="3">
        <v>0</v>
      </c>
      <c r="E43" s="3">
        <v>336409102</v>
      </c>
      <c r="F43" s="3">
        <v>51076417</v>
      </c>
      <c r="G43" s="3">
        <v>3034181</v>
      </c>
      <c r="H43" s="3">
        <v>5380141</v>
      </c>
      <c r="I43" s="3">
        <v>0</v>
      </c>
      <c r="J43" s="3">
        <v>0</v>
      </c>
      <c r="K43" s="3">
        <v>684905338</v>
      </c>
      <c r="L43" s="3">
        <v>51119600</v>
      </c>
      <c r="M43" s="3">
        <v>3034181</v>
      </c>
      <c r="N43" s="3">
        <v>739059119</v>
      </c>
    </row>
    <row r="44" spans="1:15" x14ac:dyDescent="0.15">
      <c r="A44" s="1">
        <v>2012</v>
      </c>
      <c r="B44" s="3">
        <v>286381606</v>
      </c>
      <c r="C44" s="3">
        <v>0</v>
      </c>
      <c r="D44" s="3">
        <v>0</v>
      </c>
      <c r="E44" s="3">
        <v>324395060</v>
      </c>
      <c r="F44" s="3">
        <v>48220575</v>
      </c>
      <c r="G44" s="3">
        <v>0</v>
      </c>
      <c r="H44" s="3">
        <v>0</v>
      </c>
      <c r="I44" s="3">
        <v>0</v>
      </c>
      <c r="J44" s="3">
        <v>0</v>
      </c>
      <c r="K44" s="3">
        <v>610776666</v>
      </c>
      <c r="L44" s="3">
        <v>48220575</v>
      </c>
      <c r="M44" s="3">
        <v>0</v>
      </c>
      <c r="N44" s="3">
        <v>658997241</v>
      </c>
    </row>
    <row r="45" spans="1:15" x14ac:dyDescent="0.15">
      <c r="A45" s="1">
        <v>2013</v>
      </c>
      <c r="B45" s="3">
        <v>292547705</v>
      </c>
      <c r="C45" s="3">
        <v>0</v>
      </c>
      <c r="D45" s="3">
        <v>0</v>
      </c>
      <c r="E45" s="3">
        <v>350730736</v>
      </c>
      <c r="F45" s="3">
        <v>59969550</v>
      </c>
      <c r="G45" s="3">
        <v>140975</v>
      </c>
      <c r="H45" s="3">
        <v>0</v>
      </c>
      <c r="I45" s="3">
        <v>0</v>
      </c>
      <c r="J45" s="3">
        <v>0</v>
      </c>
      <c r="K45" s="3">
        <v>643278441</v>
      </c>
      <c r="L45" s="3">
        <v>59969550</v>
      </c>
      <c r="M45" s="3">
        <v>140975</v>
      </c>
      <c r="N45" s="3">
        <v>703388966</v>
      </c>
    </row>
    <row r="46" spans="1:15" x14ac:dyDescent="0.15">
      <c r="A46" s="1">
        <v>2014</v>
      </c>
      <c r="B46" s="3">
        <v>345426724</v>
      </c>
      <c r="C46" s="3">
        <v>0</v>
      </c>
      <c r="D46" s="3">
        <v>0</v>
      </c>
      <c r="E46" s="3">
        <v>367547330</v>
      </c>
      <c r="F46" s="3">
        <v>60757134</v>
      </c>
      <c r="G46" s="3">
        <v>79857</v>
      </c>
      <c r="H46" s="3">
        <v>0</v>
      </c>
      <c r="I46" s="3">
        <v>0</v>
      </c>
      <c r="J46" s="3">
        <v>0</v>
      </c>
      <c r="K46" s="3">
        <v>712974054</v>
      </c>
      <c r="L46" s="3">
        <v>60757134</v>
      </c>
      <c r="M46" s="3">
        <v>79857</v>
      </c>
      <c r="N46" s="3">
        <v>773811045</v>
      </c>
    </row>
    <row r="47" spans="1:15" x14ac:dyDescent="0.15">
      <c r="A47" s="1">
        <v>2015</v>
      </c>
      <c r="B47" s="3">
        <v>339475026</v>
      </c>
      <c r="C47" s="3">
        <v>0</v>
      </c>
      <c r="D47" s="3">
        <v>0</v>
      </c>
      <c r="E47" s="3">
        <v>424143870</v>
      </c>
      <c r="F47" s="3">
        <v>61766888</v>
      </c>
      <c r="G47" s="3">
        <v>67808</v>
      </c>
      <c r="H47" s="3">
        <v>0</v>
      </c>
      <c r="I47" s="3">
        <v>0</v>
      </c>
      <c r="J47" s="3">
        <v>0</v>
      </c>
      <c r="K47" s="3">
        <v>763618896</v>
      </c>
      <c r="L47" s="3">
        <v>61766888</v>
      </c>
      <c r="M47" s="3">
        <v>67808</v>
      </c>
      <c r="N47" s="3">
        <v>825453592</v>
      </c>
    </row>
    <row r="48" spans="1:15" x14ac:dyDescent="0.15">
      <c r="A48" s="1">
        <v>2016</v>
      </c>
      <c r="B48" s="3">
        <v>358201122</v>
      </c>
      <c r="C48" s="3">
        <v>0</v>
      </c>
      <c r="D48" s="3">
        <v>0</v>
      </c>
      <c r="E48" s="3">
        <v>482350340</v>
      </c>
      <c r="F48" s="3">
        <v>75489283</v>
      </c>
      <c r="G48" s="3">
        <v>58794</v>
      </c>
      <c r="H48" s="3">
        <v>0</v>
      </c>
      <c r="I48" s="3">
        <v>0</v>
      </c>
      <c r="J48" s="3">
        <v>0</v>
      </c>
      <c r="K48" s="3">
        <v>840551462</v>
      </c>
      <c r="L48" s="3">
        <v>75489283</v>
      </c>
      <c r="M48" s="3">
        <v>58794</v>
      </c>
      <c r="N48" s="3">
        <v>916099539</v>
      </c>
    </row>
  </sheetData>
  <phoneticPr fontId="0" type="noConversion"/>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74</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168000</v>
      </c>
      <c r="C7" s="3">
        <v>0</v>
      </c>
      <c r="D7" s="3">
        <v>0</v>
      </c>
      <c r="E7" s="3">
        <v>0</v>
      </c>
      <c r="F7" s="3">
        <v>0</v>
      </c>
      <c r="G7" s="3">
        <v>0</v>
      </c>
      <c r="H7" s="3">
        <v>0</v>
      </c>
      <c r="I7" s="3">
        <v>0</v>
      </c>
      <c r="J7" s="3">
        <v>0</v>
      </c>
      <c r="K7" s="3">
        <f t="shared" si="0"/>
        <v>168000</v>
      </c>
      <c r="L7" s="3">
        <f t="shared" si="0"/>
        <v>0</v>
      </c>
      <c r="M7" s="3">
        <f t="shared" si="0"/>
        <v>0</v>
      </c>
      <c r="N7" s="3">
        <f t="shared" si="1"/>
        <v>168000</v>
      </c>
      <c r="O7" s="1" t="s">
        <v>90</v>
      </c>
    </row>
    <row r="8" spans="1:15" x14ac:dyDescent="0.15">
      <c r="A8" s="1">
        <v>1976</v>
      </c>
      <c r="B8" s="3">
        <v>343000</v>
      </c>
      <c r="C8" s="3">
        <v>0</v>
      </c>
      <c r="D8" s="3">
        <v>0</v>
      </c>
      <c r="E8" s="3">
        <v>0</v>
      </c>
      <c r="F8" s="3">
        <v>0</v>
      </c>
      <c r="G8" s="3">
        <v>0</v>
      </c>
      <c r="H8" s="3">
        <v>0</v>
      </c>
      <c r="I8" s="3">
        <v>0</v>
      </c>
      <c r="J8" s="3">
        <v>0</v>
      </c>
      <c r="K8" s="3">
        <f t="shared" si="0"/>
        <v>343000</v>
      </c>
      <c r="L8" s="3">
        <f t="shared" si="0"/>
        <v>0</v>
      </c>
      <c r="M8" s="3">
        <f t="shared" si="0"/>
        <v>0</v>
      </c>
      <c r="N8" s="3">
        <f t="shared" si="1"/>
        <v>343000</v>
      </c>
    </row>
    <row r="9" spans="1:15" x14ac:dyDescent="0.15">
      <c r="A9" s="1">
        <v>1977</v>
      </c>
      <c r="B9" s="3">
        <v>670000</v>
      </c>
      <c r="C9" s="3">
        <v>0</v>
      </c>
      <c r="D9" s="3">
        <v>0</v>
      </c>
      <c r="E9" s="3">
        <v>0</v>
      </c>
      <c r="F9" s="3">
        <v>0</v>
      </c>
      <c r="G9" s="3">
        <v>0</v>
      </c>
      <c r="H9" s="3">
        <v>0</v>
      </c>
      <c r="I9" s="3">
        <v>0</v>
      </c>
      <c r="J9" s="3">
        <v>0</v>
      </c>
      <c r="K9" s="3">
        <f t="shared" si="0"/>
        <v>670000</v>
      </c>
      <c r="L9" s="3">
        <f t="shared" si="0"/>
        <v>0</v>
      </c>
      <c r="M9" s="3">
        <f t="shared" si="0"/>
        <v>0</v>
      </c>
      <c r="N9" s="3">
        <f t="shared" si="1"/>
        <v>670000</v>
      </c>
    </row>
    <row r="10" spans="1:15" x14ac:dyDescent="0.15">
      <c r="A10" s="1">
        <v>1978</v>
      </c>
      <c r="B10" s="3">
        <v>1247000</v>
      </c>
      <c r="C10" s="3">
        <v>0</v>
      </c>
      <c r="D10" s="3">
        <v>0</v>
      </c>
      <c r="E10" s="3">
        <v>0</v>
      </c>
      <c r="F10" s="3">
        <v>0</v>
      </c>
      <c r="G10" s="3">
        <v>0</v>
      </c>
      <c r="H10" s="3">
        <v>0</v>
      </c>
      <c r="I10" s="3">
        <v>0</v>
      </c>
      <c r="J10" s="3">
        <v>0</v>
      </c>
      <c r="K10" s="3">
        <f t="shared" si="0"/>
        <v>1247000</v>
      </c>
      <c r="L10" s="3">
        <f t="shared" si="0"/>
        <v>0</v>
      </c>
      <c r="M10" s="3">
        <f t="shared" si="0"/>
        <v>0</v>
      </c>
      <c r="N10" s="3">
        <f t="shared" si="1"/>
        <v>1247000</v>
      </c>
    </row>
    <row r="11" spans="1:15" x14ac:dyDescent="0.15">
      <c r="A11" s="1">
        <v>1979</v>
      </c>
      <c r="B11" s="3">
        <v>1858000</v>
      </c>
      <c r="C11" s="3">
        <v>0</v>
      </c>
      <c r="D11" s="3">
        <v>0</v>
      </c>
      <c r="E11" s="3">
        <v>0</v>
      </c>
      <c r="F11" s="3">
        <v>0</v>
      </c>
      <c r="G11" s="3">
        <v>0</v>
      </c>
      <c r="H11" s="3">
        <v>0</v>
      </c>
      <c r="I11" s="3">
        <v>0</v>
      </c>
      <c r="J11" s="3">
        <v>0</v>
      </c>
      <c r="K11" s="3">
        <f t="shared" si="0"/>
        <v>1858000</v>
      </c>
      <c r="L11" s="3">
        <f t="shared" si="0"/>
        <v>0</v>
      </c>
      <c r="M11" s="3">
        <f t="shared" si="0"/>
        <v>0</v>
      </c>
      <c r="N11" s="3">
        <f t="shared" si="1"/>
        <v>1858000</v>
      </c>
    </row>
    <row r="12" spans="1:15" x14ac:dyDescent="0.15">
      <c r="A12" s="1">
        <v>1980</v>
      </c>
      <c r="B12" s="3">
        <v>1504000</v>
      </c>
      <c r="C12" s="3">
        <v>0</v>
      </c>
      <c r="D12" s="3">
        <v>0</v>
      </c>
      <c r="E12" s="3">
        <v>0</v>
      </c>
      <c r="F12" s="3">
        <v>0</v>
      </c>
      <c r="G12" s="3">
        <v>0</v>
      </c>
      <c r="H12" s="3">
        <v>0</v>
      </c>
      <c r="I12" s="3">
        <v>0</v>
      </c>
      <c r="J12" s="3">
        <v>0</v>
      </c>
      <c r="K12" s="3">
        <f t="shared" si="0"/>
        <v>1504000</v>
      </c>
      <c r="L12" s="3">
        <f t="shared" si="0"/>
        <v>0</v>
      </c>
      <c r="M12" s="3">
        <f t="shared" si="0"/>
        <v>0</v>
      </c>
      <c r="N12" s="3">
        <f t="shared" si="1"/>
        <v>1504000</v>
      </c>
    </row>
    <row r="13" spans="1:15" x14ac:dyDescent="0.15">
      <c r="A13" s="1">
        <v>1981</v>
      </c>
      <c r="B13" s="3">
        <v>1504000</v>
      </c>
      <c r="C13" s="3">
        <v>0</v>
      </c>
      <c r="D13" s="3">
        <v>0</v>
      </c>
      <c r="E13" s="3">
        <v>0</v>
      </c>
      <c r="F13" s="3">
        <v>0</v>
      </c>
      <c r="G13" s="3">
        <v>0</v>
      </c>
      <c r="H13" s="3">
        <v>0</v>
      </c>
      <c r="I13" s="3">
        <v>0</v>
      </c>
      <c r="J13" s="3">
        <v>0</v>
      </c>
      <c r="K13" s="3">
        <f t="shared" si="0"/>
        <v>1504000</v>
      </c>
      <c r="L13" s="3">
        <f t="shared" si="0"/>
        <v>0</v>
      </c>
      <c r="M13" s="3">
        <f t="shared" si="0"/>
        <v>0</v>
      </c>
      <c r="N13" s="3">
        <f t="shared" si="1"/>
        <v>1504000</v>
      </c>
    </row>
    <row r="14" spans="1:15" x14ac:dyDescent="0.15">
      <c r="A14" s="1">
        <v>1982</v>
      </c>
      <c r="B14" s="3">
        <v>0</v>
      </c>
      <c r="C14" s="3">
        <v>0</v>
      </c>
      <c r="D14" s="3">
        <v>1171000</v>
      </c>
      <c r="E14" s="3">
        <v>0</v>
      </c>
      <c r="F14" s="3">
        <v>0</v>
      </c>
      <c r="G14" s="3">
        <v>0</v>
      </c>
      <c r="H14" s="3">
        <v>0</v>
      </c>
      <c r="I14" s="3">
        <v>0</v>
      </c>
      <c r="J14" s="3">
        <v>0</v>
      </c>
      <c r="K14" s="3">
        <f t="shared" si="0"/>
        <v>0</v>
      </c>
      <c r="L14" s="3">
        <f t="shared" si="0"/>
        <v>0</v>
      </c>
      <c r="M14" s="3">
        <f t="shared" si="0"/>
        <v>1171000</v>
      </c>
      <c r="N14" s="3">
        <f t="shared" si="1"/>
        <v>1171000</v>
      </c>
    </row>
    <row r="15" spans="1:15" x14ac:dyDescent="0.15">
      <c r="A15" s="1">
        <v>1983</v>
      </c>
      <c r="B15" s="3">
        <v>0</v>
      </c>
      <c r="C15" s="3">
        <v>0</v>
      </c>
      <c r="D15" s="3">
        <v>1094000</v>
      </c>
      <c r="E15" s="3">
        <v>0</v>
      </c>
      <c r="F15" s="3">
        <v>0</v>
      </c>
      <c r="G15" s="3">
        <v>0</v>
      </c>
      <c r="H15" s="3">
        <v>0</v>
      </c>
      <c r="I15" s="3">
        <v>0</v>
      </c>
      <c r="J15" s="3">
        <v>0</v>
      </c>
      <c r="K15" s="3">
        <f t="shared" si="0"/>
        <v>0</v>
      </c>
      <c r="L15" s="3">
        <f t="shared" si="0"/>
        <v>0</v>
      </c>
      <c r="M15" s="3">
        <f t="shared" si="0"/>
        <v>1094000</v>
      </c>
      <c r="N15" s="3">
        <f t="shared" si="1"/>
        <v>1094000</v>
      </c>
    </row>
    <row r="16" spans="1:15" x14ac:dyDescent="0.15">
      <c r="A16" s="1">
        <v>1984</v>
      </c>
      <c r="B16" s="3">
        <v>1199000</v>
      </c>
      <c r="C16" s="3">
        <v>1000</v>
      </c>
      <c r="D16" s="3">
        <v>0</v>
      </c>
      <c r="E16" s="3">
        <v>0</v>
      </c>
      <c r="F16" s="3">
        <v>0</v>
      </c>
      <c r="G16" s="3">
        <v>0</v>
      </c>
      <c r="H16" s="3">
        <v>0</v>
      </c>
      <c r="I16" s="3">
        <v>0</v>
      </c>
      <c r="J16" s="3">
        <v>0</v>
      </c>
      <c r="K16" s="3">
        <f t="shared" si="0"/>
        <v>1199000</v>
      </c>
      <c r="L16" s="3">
        <f t="shared" si="0"/>
        <v>1000</v>
      </c>
      <c r="M16" s="3">
        <f t="shared" si="0"/>
        <v>0</v>
      </c>
      <c r="N16" s="3">
        <f t="shared" si="1"/>
        <v>1200000</v>
      </c>
    </row>
    <row r="17" spans="1:15" x14ac:dyDescent="0.15">
      <c r="A17" s="1">
        <v>1985</v>
      </c>
      <c r="B17" s="3">
        <v>1287000</v>
      </c>
      <c r="C17" s="3">
        <v>2000</v>
      </c>
      <c r="D17" s="3">
        <v>0</v>
      </c>
      <c r="E17" s="3">
        <v>517000</v>
      </c>
      <c r="F17" s="3">
        <v>0</v>
      </c>
      <c r="G17" s="3">
        <v>0</v>
      </c>
      <c r="H17" s="3">
        <v>545000</v>
      </c>
      <c r="I17" s="3">
        <v>1094000</v>
      </c>
      <c r="J17" s="3">
        <v>0</v>
      </c>
      <c r="K17" s="3">
        <f t="shared" si="0"/>
        <v>2349000</v>
      </c>
      <c r="L17" s="3">
        <f t="shared" si="0"/>
        <v>1096000</v>
      </c>
      <c r="M17" s="3">
        <f t="shared" si="0"/>
        <v>0</v>
      </c>
      <c r="N17" s="3">
        <f t="shared" si="1"/>
        <v>3445000</v>
      </c>
    </row>
    <row r="18" spans="1:15" x14ac:dyDescent="0.15">
      <c r="A18" s="1">
        <v>1986</v>
      </c>
      <c r="B18" s="3">
        <v>0</v>
      </c>
      <c r="C18" s="3">
        <v>0</v>
      </c>
      <c r="D18" s="3">
        <v>1064000</v>
      </c>
      <c r="E18" s="3">
        <v>568000</v>
      </c>
      <c r="F18" s="3">
        <v>0</v>
      </c>
      <c r="G18" s="3">
        <v>0</v>
      </c>
      <c r="H18" s="3">
        <v>590000</v>
      </c>
      <c r="I18" s="3">
        <v>891000</v>
      </c>
      <c r="J18" s="3">
        <v>0</v>
      </c>
      <c r="K18" s="3">
        <f t="shared" si="0"/>
        <v>1158000</v>
      </c>
      <c r="L18" s="3">
        <f t="shared" si="0"/>
        <v>891000</v>
      </c>
      <c r="M18" s="3">
        <f t="shared" si="0"/>
        <v>1064000</v>
      </c>
      <c r="N18" s="3">
        <f t="shared" si="1"/>
        <v>3113000</v>
      </c>
    </row>
    <row r="19" spans="1:15" x14ac:dyDescent="0.15">
      <c r="A19" s="1">
        <v>1987</v>
      </c>
      <c r="B19" s="3">
        <v>0</v>
      </c>
      <c r="C19" s="3">
        <v>0</v>
      </c>
      <c r="D19" s="3">
        <v>1641000</v>
      </c>
      <c r="E19" s="3">
        <v>0</v>
      </c>
      <c r="F19" s="3">
        <v>0</v>
      </c>
      <c r="G19" s="3">
        <v>0</v>
      </c>
      <c r="H19" s="3">
        <v>572000</v>
      </c>
      <c r="I19" s="3">
        <v>792000</v>
      </c>
      <c r="J19" s="3">
        <v>0</v>
      </c>
      <c r="K19" s="3">
        <f t="shared" si="0"/>
        <v>572000</v>
      </c>
      <c r="L19" s="3">
        <f t="shared" si="0"/>
        <v>792000</v>
      </c>
      <c r="M19" s="3">
        <f t="shared" si="0"/>
        <v>1641000</v>
      </c>
      <c r="N19" s="3">
        <f t="shared" si="1"/>
        <v>3005000</v>
      </c>
    </row>
    <row r="20" spans="1:15" x14ac:dyDescent="0.15">
      <c r="A20" s="1">
        <v>1988</v>
      </c>
      <c r="B20" s="3">
        <v>1080000</v>
      </c>
      <c r="C20" s="3">
        <v>0</v>
      </c>
      <c r="D20" s="3">
        <v>0</v>
      </c>
      <c r="E20" s="3">
        <v>0</v>
      </c>
      <c r="F20" s="3">
        <v>0</v>
      </c>
      <c r="G20" s="3">
        <v>0</v>
      </c>
      <c r="H20" s="3">
        <v>673000</v>
      </c>
      <c r="I20" s="3">
        <v>935000</v>
      </c>
      <c r="J20" s="3">
        <v>0</v>
      </c>
      <c r="K20" s="3">
        <f t="shared" si="0"/>
        <v>1753000</v>
      </c>
      <c r="L20" s="3">
        <f t="shared" si="0"/>
        <v>935000</v>
      </c>
      <c r="M20" s="3">
        <f t="shared" si="0"/>
        <v>0</v>
      </c>
      <c r="N20" s="3">
        <f t="shared" si="1"/>
        <v>2688000</v>
      </c>
    </row>
    <row r="21" spans="1:15" x14ac:dyDescent="0.15">
      <c r="A21" s="1">
        <v>1989</v>
      </c>
      <c r="B21" s="3">
        <v>1081000</v>
      </c>
      <c r="C21" s="3">
        <v>0</v>
      </c>
      <c r="D21" s="3">
        <v>0</v>
      </c>
      <c r="E21" s="3">
        <v>0</v>
      </c>
      <c r="F21" s="3">
        <v>0</v>
      </c>
      <c r="G21" s="3">
        <v>0</v>
      </c>
      <c r="H21" s="3">
        <v>0</v>
      </c>
      <c r="I21" s="3">
        <v>984000</v>
      </c>
      <c r="J21" s="3">
        <v>0</v>
      </c>
      <c r="K21" s="3">
        <f t="shared" si="0"/>
        <v>1081000</v>
      </c>
      <c r="L21" s="3">
        <f t="shared" si="0"/>
        <v>984000</v>
      </c>
      <c r="M21" s="3">
        <f t="shared" si="0"/>
        <v>0</v>
      </c>
      <c r="N21" s="3">
        <f t="shared" si="1"/>
        <v>2065000</v>
      </c>
    </row>
    <row r="22" spans="1:15" x14ac:dyDescent="0.15">
      <c r="A22" s="1">
        <v>1990</v>
      </c>
      <c r="B22" s="3">
        <v>1068000</v>
      </c>
      <c r="C22" s="3">
        <v>0</v>
      </c>
      <c r="D22" s="3">
        <v>0</v>
      </c>
      <c r="E22" s="3">
        <v>0</v>
      </c>
      <c r="F22" s="3">
        <v>0</v>
      </c>
      <c r="G22" s="3">
        <v>0</v>
      </c>
      <c r="H22" s="3">
        <v>0</v>
      </c>
      <c r="I22" s="3">
        <v>968000</v>
      </c>
      <c r="J22" s="3">
        <v>0</v>
      </c>
      <c r="K22" s="3">
        <f t="shared" ref="K22:M35" si="2">+B22+E22+H22</f>
        <v>1068000</v>
      </c>
      <c r="L22" s="3">
        <f t="shared" si="2"/>
        <v>968000</v>
      </c>
      <c r="M22" s="3">
        <f t="shared" si="2"/>
        <v>0</v>
      </c>
      <c r="N22" s="3">
        <f t="shared" si="1"/>
        <v>2036000</v>
      </c>
    </row>
    <row r="23" spans="1:15" x14ac:dyDescent="0.15">
      <c r="A23" s="1">
        <v>1991</v>
      </c>
      <c r="B23" s="3">
        <v>1001000</v>
      </c>
      <c r="C23" s="3">
        <v>0</v>
      </c>
      <c r="D23" s="3">
        <v>0</v>
      </c>
      <c r="E23" s="3">
        <v>0</v>
      </c>
      <c r="F23" s="3">
        <v>0</v>
      </c>
      <c r="G23" s="3">
        <v>0</v>
      </c>
      <c r="H23" s="3">
        <v>0</v>
      </c>
      <c r="I23" s="3">
        <v>984000</v>
      </c>
      <c r="J23" s="3">
        <v>0</v>
      </c>
      <c r="K23" s="3">
        <f t="shared" si="2"/>
        <v>1001000</v>
      </c>
      <c r="L23" s="3">
        <f t="shared" si="2"/>
        <v>984000</v>
      </c>
      <c r="M23" s="3">
        <f t="shared" si="2"/>
        <v>0</v>
      </c>
      <c r="N23" s="3">
        <f t="shared" si="1"/>
        <v>1985000</v>
      </c>
    </row>
    <row r="24" spans="1:15" x14ac:dyDescent="0.15">
      <c r="A24" s="1">
        <v>1992</v>
      </c>
      <c r="B24" s="3">
        <v>1042000</v>
      </c>
      <c r="C24" s="3">
        <v>0</v>
      </c>
      <c r="D24" s="3">
        <v>0</v>
      </c>
      <c r="E24" s="3">
        <v>0</v>
      </c>
      <c r="F24" s="3">
        <v>0</v>
      </c>
      <c r="G24" s="3">
        <v>0</v>
      </c>
      <c r="H24" s="3">
        <v>0</v>
      </c>
      <c r="I24" s="3">
        <v>1396000</v>
      </c>
      <c r="J24" s="3">
        <v>0</v>
      </c>
      <c r="K24" s="3">
        <f t="shared" si="2"/>
        <v>1042000</v>
      </c>
      <c r="L24" s="3">
        <f t="shared" si="2"/>
        <v>1396000</v>
      </c>
      <c r="M24" s="3">
        <f t="shared" si="2"/>
        <v>0</v>
      </c>
      <c r="N24" s="3">
        <f t="shared" si="1"/>
        <v>2438000</v>
      </c>
    </row>
    <row r="25" spans="1:15" x14ac:dyDescent="0.15">
      <c r="A25" s="1">
        <v>1993</v>
      </c>
      <c r="B25" s="3">
        <v>1115000</v>
      </c>
      <c r="C25" s="3">
        <v>0</v>
      </c>
      <c r="D25" s="3">
        <v>0</v>
      </c>
      <c r="E25" s="3">
        <v>0</v>
      </c>
      <c r="F25" s="3">
        <v>0</v>
      </c>
      <c r="G25" s="3">
        <v>0</v>
      </c>
      <c r="H25" s="3">
        <v>0</v>
      </c>
      <c r="I25" s="3">
        <v>907000</v>
      </c>
      <c r="J25" s="3">
        <v>0</v>
      </c>
      <c r="K25" s="3">
        <f t="shared" si="2"/>
        <v>1115000</v>
      </c>
      <c r="L25" s="3">
        <f t="shared" si="2"/>
        <v>907000</v>
      </c>
      <c r="M25" s="3">
        <f t="shared" si="2"/>
        <v>0</v>
      </c>
      <c r="N25" s="3">
        <f t="shared" si="1"/>
        <v>2022000</v>
      </c>
    </row>
    <row r="26" spans="1:15" x14ac:dyDescent="0.15">
      <c r="A26" s="1">
        <v>1994</v>
      </c>
      <c r="B26" s="3">
        <v>1132000</v>
      </c>
      <c r="C26" s="3">
        <v>0</v>
      </c>
      <c r="D26" s="3">
        <v>0</v>
      </c>
      <c r="E26" s="3">
        <v>0</v>
      </c>
      <c r="F26" s="3">
        <v>0</v>
      </c>
      <c r="G26" s="3">
        <v>0</v>
      </c>
      <c r="H26" s="3">
        <v>0</v>
      </c>
      <c r="I26" s="3">
        <v>903000</v>
      </c>
      <c r="J26" s="3">
        <v>0</v>
      </c>
      <c r="K26" s="3">
        <f t="shared" si="2"/>
        <v>1132000</v>
      </c>
      <c r="L26" s="3">
        <f t="shared" si="2"/>
        <v>903000</v>
      </c>
      <c r="M26" s="3">
        <f t="shared" si="2"/>
        <v>0</v>
      </c>
      <c r="N26" s="3">
        <f t="shared" si="1"/>
        <v>2035000</v>
      </c>
    </row>
    <row r="27" spans="1:15" x14ac:dyDescent="0.15">
      <c r="A27" s="1">
        <v>1995</v>
      </c>
      <c r="B27" s="3">
        <v>1129000</v>
      </c>
      <c r="C27" s="3">
        <v>0</v>
      </c>
      <c r="D27" s="3">
        <v>0</v>
      </c>
      <c r="E27" s="3">
        <v>0</v>
      </c>
      <c r="F27" s="3">
        <v>0</v>
      </c>
      <c r="G27" s="3">
        <v>0</v>
      </c>
      <c r="H27" s="3">
        <v>1531000</v>
      </c>
      <c r="I27" s="3">
        <v>980000</v>
      </c>
      <c r="J27" s="3">
        <v>0</v>
      </c>
      <c r="K27" s="3">
        <f t="shared" si="2"/>
        <v>2660000</v>
      </c>
      <c r="L27" s="3">
        <f t="shared" si="2"/>
        <v>980000</v>
      </c>
      <c r="M27" s="3">
        <f t="shared" si="2"/>
        <v>0</v>
      </c>
      <c r="N27" s="3">
        <f t="shared" si="1"/>
        <v>3640000</v>
      </c>
    </row>
    <row r="28" spans="1:15" x14ac:dyDescent="0.15">
      <c r="A28" s="1">
        <v>1996</v>
      </c>
      <c r="B28" s="3">
        <v>1197413</v>
      </c>
      <c r="C28" s="3">
        <v>0</v>
      </c>
      <c r="D28" s="3">
        <v>0</v>
      </c>
      <c r="E28" s="3">
        <v>0</v>
      </c>
      <c r="F28" s="3">
        <v>0</v>
      </c>
      <c r="G28" s="3">
        <v>0</v>
      </c>
      <c r="H28" s="3">
        <v>0</v>
      </c>
      <c r="I28" s="3">
        <v>897000</v>
      </c>
      <c r="J28" s="3">
        <v>0</v>
      </c>
      <c r="K28" s="3">
        <f t="shared" si="2"/>
        <v>1197413</v>
      </c>
      <c r="L28" s="3">
        <f t="shared" si="2"/>
        <v>897000</v>
      </c>
      <c r="M28" s="3">
        <f t="shared" si="2"/>
        <v>0</v>
      </c>
      <c r="N28" s="3">
        <f t="shared" si="1"/>
        <v>2094413</v>
      </c>
    </row>
    <row r="29" spans="1:15" x14ac:dyDescent="0.15">
      <c r="A29" s="1">
        <v>1997</v>
      </c>
      <c r="B29" s="3">
        <v>1297147</v>
      </c>
      <c r="C29" s="3">
        <v>0</v>
      </c>
      <c r="D29" s="3">
        <v>0</v>
      </c>
      <c r="E29" s="3">
        <v>873089</v>
      </c>
      <c r="F29" s="3">
        <v>0</v>
      </c>
      <c r="G29" s="3">
        <v>0</v>
      </c>
      <c r="H29" s="3">
        <v>0</v>
      </c>
      <c r="I29" s="3">
        <v>966000</v>
      </c>
      <c r="J29" s="3">
        <v>0</v>
      </c>
      <c r="K29" s="3">
        <f t="shared" si="2"/>
        <v>2170236</v>
      </c>
      <c r="L29" s="3">
        <f t="shared" si="2"/>
        <v>966000</v>
      </c>
      <c r="M29" s="3">
        <f t="shared" si="2"/>
        <v>0</v>
      </c>
      <c r="N29" s="3">
        <f t="shared" si="1"/>
        <v>3136236</v>
      </c>
      <c r="O29" s="1" t="s">
        <v>218</v>
      </c>
    </row>
    <row r="30" spans="1:15" x14ac:dyDescent="0.15">
      <c r="A30" s="1">
        <v>1998</v>
      </c>
      <c r="B30" s="3">
        <f>932916+14015</f>
        <v>946931</v>
      </c>
      <c r="C30" s="3">
        <v>0</v>
      </c>
      <c r="D30" s="3">
        <v>0</v>
      </c>
      <c r="E30" s="3">
        <f>997155+17761</f>
        <v>1014916</v>
      </c>
      <c r="F30" s="3">
        <v>0</v>
      </c>
      <c r="G30" s="3">
        <v>0</v>
      </c>
      <c r="H30" s="3">
        <v>0</v>
      </c>
      <c r="I30" s="3">
        <v>971000</v>
      </c>
      <c r="J30" s="3">
        <v>0</v>
      </c>
      <c r="K30" s="3">
        <f t="shared" si="2"/>
        <v>1961847</v>
      </c>
      <c r="L30" s="3">
        <f t="shared" si="2"/>
        <v>971000</v>
      </c>
      <c r="M30" s="3">
        <f t="shared" si="2"/>
        <v>0</v>
      </c>
      <c r="N30" s="3">
        <f t="shared" si="1"/>
        <v>2932847</v>
      </c>
    </row>
    <row r="31" spans="1:15" x14ac:dyDescent="0.15">
      <c r="A31" s="1">
        <v>1999</v>
      </c>
      <c r="B31" s="3">
        <v>1112622</v>
      </c>
      <c r="C31" s="3">
        <v>0</v>
      </c>
      <c r="D31" s="3">
        <v>0</v>
      </c>
      <c r="E31" s="3">
        <v>844761</v>
      </c>
      <c r="F31" s="3">
        <v>0</v>
      </c>
      <c r="G31" s="3">
        <v>0</v>
      </c>
      <c r="H31" s="3">
        <v>0</v>
      </c>
      <c r="I31" s="3">
        <v>967000</v>
      </c>
      <c r="J31" s="3">
        <v>0</v>
      </c>
      <c r="K31" s="3">
        <f t="shared" si="2"/>
        <v>1957383</v>
      </c>
      <c r="L31" s="3">
        <f t="shared" si="2"/>
        <v>967000</v>
      </c>
      <c r="M31" s="3">
        <f t="shared" si="2"/>
        <v>0</v>
      </c>
      <c r="N31" s="3">
        <f t="shared" si="1"/>
        <v>2924383</v>
      </c>
    </row>
    <row r="32" spans="1:15" x14ac:dyDescent="0.15">
      <c r="A32" s="1">
        <v>2000</v>
      </c>
      <c r="B32" s="3">
        <v>1800300</v>
      </c>
      <c r="C32" s="3">
        <v>0</v>
      </c>
      <c r="D32" s="3">
        <v>0</v>
      </c>
      <c r="E32" s="3">
        <v>855761</v>
      </c>
      <c r="F32" s="3">
        <v>0</v>
      </c>
      <c r="G32" s="3">
        <v>0</v>
      </c>
      <c r="H32" s="3">
        <v>0</v>
      </c>
      <c r="I32" s="3">
        <v>976000</v>
      </c>
      <c r="J32" s="3">
        <v>0</v>
      </c>
      <c r="K32" s="3">
        <f t="shared" si="2"/>
        <v>2656061</v>
      </c>
      <c r="L32" s="3">
        <f t="shared" si="2"/>
        <v>976000</v>
      </c>
      <c r="M32" s="3">
        <f t="shared" si="2"/>
        <v>0</v>
      </c>
      <c r="N32" s="3">
        <f t="shared" si="1"/>
        <v>3632061</v>
      </c>
      <c r="O32" s="1">
        <v>761</v>
      </c>
    </row>
    <row r="33" spans="1:15" x14ac:dyDescent="0.15">
      <c r="A33" s="1">
        <v>2001</v>
      </c>
      <c r="B33" s="3">
        <f>1451883+188107</f>
        <v>1639990</v>
      </c>
      <c r="C33" s="3">
        <v>0</v>
      </c>
      <c r="D33" s="3">
        <v>0</v>
      </c>
      <c r="E33" s="3">
        <f>854870+16202</f>
        <v>871072</v>
      </c>
      <c r="F33" s="3">
        <v>0</v>
      </c>
      <c r="G33" s="3">
        <v>0</v>
      </c>
      <c r="H33" s="3">
        <v>0</v>
      </c>
      <c r="I33" s="3">
        <v>1002000</v>
      </c>
      <c r="J33" s="3">
        <v>0</v>
      </c>
      <c r="K33" s="3">
        <f t="shared" si="2"/>
        <v>2511062</v>
      </c>
      <c r="L33" s="3">
        <f t="shared" si="2"/>
        <v>1002000</v>
      </c>
      <c r="M33" s="3">
        <f t="shared" si="2"/>
        <v>0</v>
      </c>
      <c r="N33" s="3">
        <f t="shared" si="1"/>
        <v>3513062</v>
      </c>
    </row>
    <row r="34" spans="1:15" x14ac:dyDescent="0.15">
      <c r="A34" s="1">
        <v>2002</v>
      </c>
      <c r="B34" s="3">
        <v>2401365</v>
      </c>
      <c r="C34" s="3">
        <v>0</v>
      </c>
      <c r="D34" s="3">
        <v>0</v>
      </c>
      <c r="E34" s="3">
        <f>408771+1344152</f>
        <v>1752923</v>
      </c>
      <c r="F34" s="3">
        <v>0</v>
      </c>
      <c r="G34" s="3">
        <v>0</v>
      </c>
      <c r="H34" s="3">
        <v>0</v>
      </c>
      <c r="I34" s="3">
        <v>0</v>
      </c>
      <c r="J34" s="3">
        <v>0</v>
      </c>
      <c r="K34" s="3">
        <f t="shared" si="2"/>
        <v>4154288</v>
      </c>
      <c r="L34" s="3">
        <f t="shared" si="2"/>
        <v>0</v>
      </c>
      <c r="M34" s="3">
        <f t="shared" si="2"/>
        <v>0</v>
      </c>
      <c r="N34" s="3">
        <f t="shared" si="1"/>
        <v>4154288</v>
      </c>
    </row>
    <row r="35" spans="1:15" x14ac:dyDescent="0.15">
      <c r="A35" s="1">
        <v>2003</v>
      </c>
      <c r="B35" s="3">
        <v>2076517</v>
      </c>
      <c r="C35" s="3">
        <v>0</v>
      </c>
      <c r="D35" s="3">
        <v>0</v>
      </c>
      <c r="E35" s="3">
        <v>1701794</v>
      </c>
      <c r="F35" s="3">
        <v>0</v>
      </c>
      <c r="G35" s="3">
        <v>804288</v>
      </c>
      <c r="H35" s="3">
        <v>0</v>
      </c>
      <c r="I35" s="3">
        <v>0</v>
      </c>
      <c r="J35" s="3">
        <v>1264342</v>
      </c>
      <c r="K35" s="3">
        <f t="shared" si="2"/>
        <v>3778311</v>
      </c>
      <c r="L35" s="3">
        <f t="shared" si="2"/>
        <v>0</v>
      </c>
      <c r="M35" s="3">
        <f t="shared" si="2"/>
        <v>2068630</v>
      </c>
      <c r="N35" s="3">
        <f t="shared" si="1"/>
        <v>5846941</v>
      </c>
    </row>
    <row r="36" spans="1:15" x14ac:dyDescent="0.15">
      <c r="A36" s="1">
        <v>2004</v>
      </c>
      <c r="B36" s="3">
        <v>1987934</v>
      </c>
      <c r="C36" s="3">
        <v>0</v>
      </c>
      <c r="D36" s="3">
        <v>0</v>
      </c>
      <c r="E36" s="3">
        <v>1724669</v>
      </c>
      <c r="F36" s="3">
        <v>0</v>
      </c>
      <c r="G36" s="3">
        <v>1874819</v>
      </c>
      <c r="H36" s="3">
        <v>368519</v>
      </c>
      <c r="I36" s="3">
        <v>1009550</v>
      </c>
      <c r="J36" s="3">
        <v>0</v>
      </c>
      <c r="K36" s="3">
        <v>4081122</v>
      </c>
      <c r="L36" s="3">
        <v>1009550</v>
      </c>
      <c r="M36" s="3">
        <v>1874819</v>
      </c>
      <c r="N36" s="3">
        <v>6965491</v>
      </c>
    </row>
    <row r="37" spans="1:15" x14ac:dyDescent="0.15">
      <c r="A37" s="1">
        <v>2005</v>
      </c>
      <c r="B37" s="3">
        <v>2584830</v>
      </c>
      <c r="C37" s="3">
        <v>0</v>
      </c>
      <c r="D37" s="3">
        <v>0</v>
      </c>
      <c r="E37" s="3">
        <v>4119504</v>
      </c>
      <c r="F37" s="3">
        <v>25833</v>
      </c>
      <c r="G37" s="3">
        <v>0</v>
      </c>
      <c r="H37" s="3">
        <v>0</v>
      </c>
      <c r="I37" s="3">
        <v>0</v>
      </c>
      <c r="J37" s="3">
        <v>1582571</v>
      </c>
      <c r="K37" s="3">
        <v>6704334</v>
      </c>
      <c r="L37" s="3">
        <v>25833</v>
      </c>
      <c r="M37" s="3">
        <v>1582571</v>
      </c>
      <c r="N37" s="3">
        <v>8312738</v>
      </c>
    </row>
    <row r="38" spans="1:15" x14ac:dyDescent="0.15">
      <c r="A38" s="1">
        <v>2006</v>
      </c>
      <c r="B38" s="3">
        <v>1957184</v>
      </c>
      <c r="C38" s="3">
        <v>0</v>
      </c>
      <c r="D38" s="3">
        <v>0</v>
      </c>
      <c r="E38" s="3">
        <v>4646958</v>
      </c>
      <c r="F38" s="3">
        <v>0</v>
      </c>
      <c r="G38" s="3">
        <v>0</v>
      </c>
      <c r="H38" s="3">
        <v>805034</v>
      </c>
      <c r="I38" s="3">
        <v>0</v>
      </c>
      <c r="J38" s="3">
        <v>988000</v>
      </c>
      <c r="K38" s="3">
        <v>7409176</v>
      </c>
      <c r="L38" s="3">
        <v>0</v>
      </c>
      <c r="M38" s="3">
        <v>988000</v>
      </c>
      <c r="N38" s="3">
        <v>8397176</v>
      </c>
    </row>
    <row r="39" spans="1:15" x14ac:dyDescent="0.15">
      <c r="A39" s="1">
        <v>2007</v>
      </c>
      <c r="B39" s="3">
        <v>4146019</v>
      </c>
      <c r="C39" s="3">
        <v>0</v>
      </c>
      <c r="D39" s="3">
        <v>0</v>
      </c>
      <c r="E39" s="3">
        <v>3212335</v>
      </c>
      <c r="F39" s="3">
        <v>9500</v>
      </c>
      <c r="G39" s="3">
        <v>0</v>
      </c>
      <c r="H39" s="3">
        <v>1207961</v>
      </c>
      <c r="I39" s="3">
        <v>0</v>
      </c>
      <c r="J39" s="3">
        <v>895100</v>
      </c>
      <c r="K39" s="3">
        <v>8566315</v>
      </c>
      <c r="L39" s="3">
        <v>9500</v>
      </c>
      <c r="M39" s="3">
        <v>895100</v>
      </c>
      <c r="N39" s="3">
        <v>9470915</v>
      </c>
    </row>
    <row r="40" spans="1:15" x14ac:dyDescent="0.15">
      <c r="A40" s="1">
        <v>2008</v>
      </c>
      <c r="B40" s="3">
        <v>6400500</v>
      </c>
      <c r="C40" s="3">
        <v>0</v>
      </c>
      <c r="D40" s="3">
        <v>0</v>
      </c>
      <c r="E40" s="3">
        <v>2641436</v>
      </c>
      <c r="F40" s="3">
        <v>7900</v>
      </c>
      <c r="G40" s="3">
        <v>0</v>
      </c>
      <c r="H40" s="3">
        <v>1663016</v>
      </c>
      <c r="I40" s="3">
        <v>0</v>
      </c>
      <c r="J40" s="3">
        <v>963700</v>
      </c>
      <c r="K40" s="3">
        <v>10704952</v>
      </c>
      <c r="L40" s="3">
        <v>7900</v>
      </c>
      <c r="M40" s="3">
        <v>963700</v>
      </c>
      <c r="N40" s="3">
        <v>11676552</v>
      </c>
    </row>
    <row r="41" spans="1:15" x14ac:dyDescent="0.15">
      <c r="A41" s="1">
        <v>2009</v>
      </c>
      <c r="B41" s="3">
        <v>5257309</v>
      </c>
      <c r="C41" s="3">
        <v>0</v>
      </c>
      <c r="D41" s="3">
        <v>0</v>
      </c>
      <c r="E41" s="3">
        <v>2154401</v>
      </c>
      <c r="F41" s="3">
        <v>4000</v>
      </c>
      <c r="G41" s="3">
        <v>0</v>
      </c>
      <c r="H41" s="3">
        <v>2224069</v>
      </c>
      <c r="I41" s="3">
        <v>0</v>
      </c>
      <c r="J41" s="3">
        <v>1951400</v>
      </c>
      <c r="K41" s="3">
        <v>9635779</v>
      </c>
      <c r="L41" s="3">
        <v>4000</v>
      </c>
      <c r="M41" s="3">
        <v>1951400</v>
      </c>
      <c r="N41" s="3">
        <v>11591179</v>
      </c>
    </row>
    <row r="42" spans="1:15" x14ac:dyDescent="0.15">
      <c r="A42" s="1">
        <v>2010</v>
      </c>
      <c r="B42" s="3">
        <v>2832270</v>
      </c>
      <c r="C42" s="3">
        <v>0</v>
      </c>
      <c r="D42" s="3">
        <v>0</v>
      </c>
      <c r="E42" s="3">
        <v>1928157</v>
      </c>
      <c r="F42" s="3">
        <v>0</v>
      </c>
      <c r="G42" s="3">
        <v>0</v>
      </c>
      <c r="H42" s="3">
        <v>4285920</v>
      </c>
      <c r="I42" s="3">
        <v>917050</v>
      </c>
      <c r="J42" s="3">
        <v>0</v>
      </c>
      <c r="K42" s="3">
        <v>9046347</v>
      </c>
      <c r="L42" s="3">
        <v>917050</v>
      </c>
      <c r="M42" s="3">
        <v>0</v>
      </c>
      <c r="N42" s="3">
        <v>9963397</v>
      </c>
    </row>
    <row r="43" spans="1:15" x14ac:dyDescent="0.15">
      <c r="A43" s="1">
        <v>2011</v>
      </c>
      <c r="B43" s="3">
        <v>2108570</v>
      </c>
      <c r="C43" s="3">
        <v>0</v>
      </c>
      <c r="D43" s="3">
        <v>0</v>
      </c>
      <c r="E43" s="3">
        <v>1989886</v>
      </c>
      <c r="F43" s="3">
        <v>0</v>
      </c>
      <c r="G43" s="3">
        <v>0</v>
      </c>
      <c r="H43" s="3">
        <v>5576041</v>
      </c>
      <c r="I43" s="3">
        <v>950880</v>
      </c>
      <c r="J43" s="3">
        <v>0</v>
      </c>
      <c r="K43" s="3">
        <v>9674497</v>
      </c>
      <c r="L43" s="3">
        <v>950880</v>
      </c>
      <c r="M43" s="3">
        <v>0</v>
      </c>
      <c r="N43" s="3">
        <v>10625377</v>
      </c>
    </row>
    <row r="44" spans="1:15" x14ac:dyDescent="0.15">
      <c r="A44" s="1">
        <v>2012</v>
      </c>
      <c r="B44" s="3">
        <v>2990940</v>
      </c>
      <c r="C44" s="3">
        <v>0</v>
      </c>
      <c r="D44" s="3">
        <v>0</v>
      </c>
      <c r="E44" s="3">
        <v>0</v>
      </c>
      <c r="F44" s="3">
        <v>0</v>
      </c>
      <c r="G44" s="3">
        <v>0</v>
      </c>
      <c r="H44" s="3">
        <v>5696150</v>
      </c>
      <c r="I44" s="3">
        <v>890450</v>
      </c>
      <c r="J44" s="3">
        <v>0</v>
      </c>
      <c r="K44" s="3">
        <v>8687090</v>
      </c>
      <c r="L44" s="3">
        <v>890450</v>
      </c>
      <c r="M44" s="3">
        <v>0</v>
      </c>
      <c r="N44" s="3">
        <v>9577540</v>
      </c>
      <c r="O44" s="1" t="s">
        <v>329</v>
      </c>
    </row>
    <row r="45" spans="1:15" x14ac:dyDescent="0.15">
      <c r="A45" s="1">
        <v>2013</v>
      </c>
      <c r="B45" s="3">
        <v>3483958</v>
      </c>
      <c r="C45" s="3">
        <v>0</v>
      </c>
      <c r="D45" s="3">
        <v>0</v>
      </c>
      <c r="E45" s="3">
        <v>0</v>
      </c>
      <c r="F45" s="3">
        <v>0</v>
      </c>
      <c r="G45" s="3">
        <v>0</v>
      </c>
      <c r="H45" s="3">
        <v>5383053</v>
      </c>
      <c r="I45" s="3">
        <v>856500</v>
      </c>
      <c r="J45" s="3">
        <v>0</v>
      </c>
      <c r="K45" s="3">
        <v>8867011</v>
      </c>
      <c r="L45" s="3">
        <v>856500</v>
      </c>
      <c r="M45" s="3">
        <v>0</v>
      </c>
      <c r="N45" s="3">
        <v>9723511</v>
      </c>
    </row>
    <row r="46" spans="1:15" x14ac:dyDescent="0.15">
      <c r="A46" s="1">
        <v>2014</v>
      </c>
      <c r="B46" s="3">
        <v>2770892</v>
      </c>
      <c r="C46" s="3">
        <v>0</v>
      </c>
      <c r="D46" s="3">
        <v>0</v>
      </c>
      <c r="E46" s="3">
        <v>0</v>
      </c>
      <c r="F46" s="3">
        <v>0</v>
      </c>
      <c r="G46" s="3">
        <v>0</v>
      </c>
      <c r="H46" s="3">
        <v>6087100</v>
      </c>
      <c r="I46" s="3">
        <v>1369900</v>
      </c>
      <c r="J46" s="3">
        <v>0</v>
      </c>
      <c r="K46" s="3">
        <v>8857992</v>
      </c>
      <c r="L46" s="3">
        <v>1369900</v>
      </c>
      <c r="M46" s="3">
        <v>0</v>
      </c>
      <c r="N46" s="3">
        <v>10227892</v>
      </c>
    </row>
    <row r="47" spans="1:15" x14ac:dyDescent="0.15">
      <c r="A47" s="1">
        <v>2015</v>
      </c>
      <c r="B47" s="3">
        <v>2472911</v>
      </c>
      <c r="C47" s="3">
        <v>0</v>
      </c>
      <c r="D47" s="3">
        <v>0</v>
      </c>
      <c r="E47" s="3">
        <v>77923</v>
      </c>
      <c r="F47" s="3">
        <v>0</v>
      </c>
      <c r="G47" s="3">
        <v>0</v>
      </c>
      <c r="H47" s="3">
        <v>7118500</v>
      </c>
      <c r="I47" s="3">
        <v>1404500</v>
      </c>
      <c r="J47" s="3">
        <v>0</v>
      </c>
      <c r="K47" s="3">
        <v>9669334</v>
      </c>
      <c r="L47" s="3">
        <v>1404500</v>
      </c>
      <c r="M47" s="3">
        <v>0</v>
      </c>
      <c r="N47" s="3">
        <v>11073834</v>
      </c>
    </row>
    <row r="48" spans="1:15" x14ac:dyDescent="0.15">
      <c r="A48" s="1">
        <v>2016</v>
      </c>
      <c r="B48" s="3">
        <v>2445827</v>
      </c>
      <c r="C48" s="3">
        <v>0</v>
      </c>
      <c r="D48" s="3">
        <v>0</v>
      </c>
      <c r="E48" s="3">
        <v>0</v>
      </c>
      <c r="F48" s="3">
        <v>0</v>
      </c>
      <c r="G48" s="3">
        <v>0</v>
      </c>
      <c r="H48" s="3">
        <v>9934155</v>
      </c>
      <c r="I48" s="3">
        <v>828241</v>
      </c>
      <c r="J48" s="3">
        <v>0</v>
      </c>
      <c r="K48" s="3">
        <v>12379982</v>
      </c>
      <c r="L48" s="3">
        <v>828241</v>
      </c>
      <c r="M48" s="3">
        <v>0</v>
      </c>
      <c r="N48" s="3">
        <v>13208223</v>
      </c>
    </row>
  </sheetData>
  <phoneticPr fontId="0" type="noConversion"/>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75</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2525126</v>
      </c>
      <c r="C6" s="3">
        <v>0</v>
      </c>
      <c r="D6" s="3">
        <v>0</v>
      </c>
      <c r="E6" s="3">
        <v>0</v>
      </c>
      <c r="F6" s="3">
        <v>0</v>
      </c>
      <c r="G6" s="3">
        <v>0</v>
      </c>
      <c r="H6" s="3">
        <v>0</v>
      </c>
      <c r="I6" s="3">
        <v>0</v>
      </c>
      <c r="J6" s="3">
        <v>0</v>
      </c>
      <c r="K6" s="3">
        <f t="shared" ref="K6:M21" si="0">+B6+E6+H6</f>
        <v>2525126</v>
      </c>
      <c r="L6" s="3">
        <f t="shared" si="0"/>
        <v>0</v>
      </c>
      <c r="M6" s="3">
        <f t="shared" si="0"/>
        <v>0</v>
      </c>
      <c r="N6" s="3">
        <f t="shared" ref="N6:N35" si="1">+M6+L6+K6</f>
        <v>2525126</v>
      </c>
      <c r="O6" s="1" t="s">
        <v>76</v>
      </c>
    </row>
    <row r="7" spans="1:15" x14ac:dyDescent="0.15">
      <c r="A7" s="1">
        <v>1975</v>
      </c>
      <c r="B7" s="3">
        <v>2755000</v>
      </c>
      <c r="C7" s="3">
        <v>0</v>
      </c>
      <c r="D7" s="3">
        <v>0</v>
      </c>
      <c r="E7" s="3">
        <v>0</v>
      </c>
      <c r="F7" s="3">
        <v>0</v>
      </c>
      <c r="G7" s="3">
        <v>0</v>
      </c>
      <c r="H7" s="3">
        <v>0</v>
      </c>
      <c r="I7" s="3">
        <v>0</v>
      </c>
      <c r="J7" s="3">
        <v>0</v>
      </c>
      <c r="K7" s="3">
        <f t="shared" si="0"/>
        <v>2755000</v>
      </c>
      <c r="L7" s="3">
        <f t="shared" si="0"/>
        <v>0</v>
      </c>
      <c r="M7" s="3">
        <f t="shared" si="0"/>
        <v>0</v>
      </c>
      <c r="N7" s="3">
        <f t="shared" si="1"/>
        <v>2755000</v>
      </c>
    </row>
    <row r="8" spans="1:15" x14ac:dyDescent="0.15">
      <c r="A8" s="1">
        <v>1976</v>
      </c>
      <c r="B8" s="3">
        <v>2703000</v>
      </c>
      <c r="C8" s="3">
        <v>0</v>
      </c>
      <c r="D8" s="3">
        <v>0</v>
      </c>
      <c r="E8" s="3">
        <v>0</v>
      </c>
      <c r="F8" s="3">
        <v>0</v>
      </c>
      <c r="G8" s="3">
        <v>0</v>
      </c>
      <c r="H8" s="3">
        <v>0</v>
      </c>
      <c r="I8" s="3">
        <v>0</v>
      </c>
      <c r="J8" s="3">
        <v>0</v>
      </c>
      <c r="K8" s="3">
        <f t="shared" si="0"/>
        <v>2703000</v>
      </c>
      <c r="L8" s="3">
        <f t="shared" si="0"/>
        <v>0</v>
      </c>
      <c r="M8" s="3">
        <f t="shared" si="0"/>
        <v>0</v>
      </c>
      <c r="N8" s="3">
        <f t="shared" si="1"/>
        <v>2703000</v>
      </c>
    </row>
    <row r="9" spans="1:15" x14ac:dyDescent="0.15">
      <c r="A9" s="1">
        <v>1977</v>
      </c>
      <c r="B9" s="3">
        <v>2568000</v>
      </c>
      <c r="C9" s="3">
        <v>0</v>
      </c>
      <c r="D9" s="3">
        <v>0</v>
      </c>
      <c r="E9" s="3">
        <v>0</v>
      </c>
      <c r="F9" s="3">
        <v>0</v>
      </c>
      <c r="G9" s="3">
        <v>0</v>
      </c>
      <c r="H9" s="3">
        <v>0</v>
      </c>
      <c r="I9" s="3">
        <v>0</v>
      </c>
      <c r="J9" s="3">
        <v>0</v>
      </c>
      <c r="K9" s="3">
        <f t="shared" si="0"/>
        <v>2568000</v>
      </c>
      <c r="L9" s="3">
        <f t="shared" si="0"/>
        <v>0</v>
      </c>
      <c r="M9" s="3">
        <f t="shared" si="0"/>
        <v>0</v>
      </c>
      <c r="N9" s="3">
        <f t="shared" si="1"/>
        <v>2568000</v>
      </c>
    </row>
    <row r="10" spans="1:15" x14ac:dyDescent="0.15">
      <c r="A10" s="1">
        <v>1978</v>
      </c>
      <c r="B10" s="3">
        <v>3199000</v>
      </c>
      <c r="C10" s="3">
        <v>0</v>
      </c>
      <c r="D10" s="3">
        <v>0</v>
      </c>
      <c r="E10" s="3">
        <v>0</v>
      </c>
      <c r="F10" s="3">
        <v>0</v>
      </c>
      <c r="G10" s="3">
        <v>0</v>
      </c>
      <c r="H10" s="3">
        <v>0</v>
      </c>
      <c r="I10" s="3">
        <v>0</v>
      </c>
      <c r="J10" s="3">
        <v>0</v>
      </c>
      <c r="K10" s="3">
        <f t="shared" si="0"/>
        <v>3199000</v>
      </c>
      <c r="L10" s="3">
        <f t="shared" si="0"/>
        <v>0</v>
      </c>
      <c r="M10" s="3">
        <f t="shared" si="0"/>
        <v>0</v>
      </c>
      <c r="N10" s="3">
        <f t="shared" si="1"/>
        <v>3199000</v>
      </c>
    </row>
    <row r="11" spans="1:15" x14ac:dyDescent="0.15">
      <c r="A11" s="1">
        <v>1979</v>
      </c>
      <c r="B11" s="3">
        <v>3855000</v>
      </c>
      <c r="C11" s="3">
        <v>0</v>
      </c>
      <c r="D11" s="3">
        <v>0</v>
      </c>
      <c r="E11" s="3">
        <v>0</v>
      </c>
      <c r="F11" s="3">
        <v>0</v>
      </c>
      <c r="G11" s="3">
        <v>0</v>
      </c>
      <c r="H11" s="3">
        <v>0</v>
      </c>
      <c r="I11" s="3">
        <v>0</v>
      </c>
      <c r="J11" s="3">
        <v>0</v>
      </c>
      <c r="K11" s="3">
        <f t="shared" si="0"/>
        <v>3855000</v>
      </c>
      <c r="L11" s="3">
        <f t="shared" si="0"/>
        <v>0</v>
      </c>
      <c r="M11" s="3">
        <f t="shared" si="0"/>
        <v>0</v>
      </c>
      <c r="N11" s="3">
        <f t="shared" si="1"/>
        <v>3855000</v>
      </c>
    </row>
    <row r="12" spans="1:15" x14ac:dyDescent="0.15">
      <c r="A12" s="1">
        <v>1980</v>
      </c>
      <c r="B12" s="3">
        <v>4168000</v>
      </c>
      <c r="C12" s="3">
        <v>0</v>
      </c>
      <c r="D12" s="3">
        <v>0</v>
      </c>
      <c r="E12" s="3">
        <v>0</v>
      </c>
      <c r="F12" s="3">
        <v>0</v>
      </c>
      <c r="G12" s="3">
        <v>0</v>
      </c>
      <c r="H12" s="3">
        <v>0</v>
      </c>
      <c r="I12" s="3">
        <v>0</v>
      </c>
      <c r="J12" s="3">
        <v>0</v>
      </c>
      <c r="K12" s="3">
        <f t="shared" si="0"/>
        <v>4168000</v>
      </c>
      <c r="L12" s="3">
        <f t="shared" si="0"/>
        <v>0</v>
      </c>
      <c r="M12" s="3">
        <f t="shared" si="0"/>
        <v>0</v>
      </c>
      <c r="N12" s="3">
        <f t="shared" si="1"/>
        <v>4168000</v>
      </c>
    </row>
    <row r="13" spans="1:15" x14ac:dyDescent="0.15">
      <c r="A13" s="1">
        <v>1981</v>
      </c>
      <c r="B13" s="3">
        <v>4875000</v>
      </c>
      <c r="C13" s="3">
        <v>0</v>
      </c>
      <c r="D13" s="3">
        <v>0</v>
      </c>
      <c r="E13" s="3">
        <v>0</v>
      </c>
      <c r="F13" s="3">
        <v>0</v>
      </c>
      <c r="G13" s="3">
        <v>0</v>
      </c>
      <c r="H13" s="3">
        <v>0</v>
      </c>
      <c r="I13" s="3">
        <v>0</v>
      </c>
      <c r="J13" s="3">
        <v>0</v>
      </c>
      <c r="K13" s="3">
        <f t="shared" si="0"/>
        <v>4875000</v>
      </c>
      <c r="L13" s="3">
        <f t="shared" si="0"/>
        <v>0</v>
      </c>
      <c r="M13" s="3">
        <f t="shared" si="0"/>
        <v>0</v>
      </c>
      <c r="N13" s="3">
        <f t="shared" si="1"/>
        <v>4875000</v>
      </c>
    </row>
    <row r="14" spans="1:15" x14ac:dyDescent="0.15">
      <c r="A14" s="1">
        <v>1982</v>
      </c>
      <c r="B14" s="3">
        <v>5504000</v>
      </c>
      <c r="C14" s="3">
        <v>0</v>
      </c>
      <c r="D14" s="3">
        <v>0</v>
      </c>
      <c r="E14" s="3">
        <v>27000</v>
      </c>
      <c r="F14" s="3">
        <v>0</v>
      </c>
      <c r="G14" s="3">
        <v>0</v>
      </c>
      <c r="H14" s="3">
        <v>0</v>
      </c>
      <c r="I14" s="3">
        <v>0</v>
      </c>
      <c r="J14" s="3">
        <v>0</v>
      </c>
      <c r="K14" s="3">
        <f t="shared" si="0"/>
        <v>5531000</v>
      </c>
      <c r="L14" s="3">
        <f t="shared" si="0"/>
        <v>0</v>
      </c>
      <c r="M14" s="3">
        <f t="shared" si="0"/>
        <v>0</v>
      </c>
      <c r="N14" s="3">
        <f t="shared" si="1"/>
        <v>5531000</v>
      </c>
    </row>
    <row r="15" spans="1:15" x14ac:dyDescent="0.15">
      <c r="A15" s="1">
        <v>1983</v>
      </c>
      <c r="B15" s="3">
        <v>6470000</v>
      </c>
      <c r="C15" s="3">
        <v>0</v>
      </c>
      <c r="D15" s="3">
        <v>0</v>
      </c>
      <c r="E15" s="3">
        <v>27000</v>
      </c>
      <c r="F15" s="3">
        <v>0</v>
      </c>
      <c r="G15" s="3">
        <v>0</v>
      </c>
      <c r="H15" s="3">
        <v>0</v>
      </c>
      <c r="I15" s="3">
        <v>0</v>
      </c>
      <c r="J15" s="3">
        <v>0</v>
      </c>
      <c r="K15" s="3">
        <f t="shared" si="0"/>
        <v>6497000</v>
      </c>
      <c r="L15" s="3">
        <f t="shared" si="0"/>
        <v>0</v>
      </c>
      <c r="M15" s="3">
        <f t="shared" si="0"/>
        <v>0</v>
      </c>
      <c r="N15" s="3">
        <f t="shared" si="1"/>
        <v>6497000</v>
      </c>
    </row>
    <row r="16" spans="1:15" x14ac:dyDescent="0.15">
      <c r="A16" s="1">
        <v>1984</v>
      </c>
      <c r="B16" s="3">
        <v>6989000</v>
      </c>
      <c r="C16" s="3">
        <v>106000</v>
      </c>
      <c r="D16" s="3">
        <v>0</v>
      </c>
      <c r="E16" s="3">
        <f>100000+25000</f>
        <v>125000</v>
      </c>
      <c r="F16" s="3">
        <v>0</v>
      </c>
      <c r="G16" s="3">
        <v>0</v>
      </c>
      <c r="H16" s="3">
        <v>0</v>
      </c>
      <c r="I16" s="3">
        <v>0</v>
      </c>
      <c r="J16" s="3">
        <v>0</v>
      </c>
      <c r="K16" s="3">
        <f t="shared" si="0"/>
        <v>7114000</v>
      </c>
      <c r="L16" s="3">
        <f t="shared" si="0"/>
        <v>106000</v>
      </c>
      <c r="M16" s="3">
        <f t="shared" si="0"/>
        <v>0</v>
      </c>
      <c r="N16" s="3">
        <f t="shared" si="1"/>
        <v>7220000</v>
      </c>
    </row>
    <row r="17" spans="1:14" x14ac:dyDescent="0.15">
      <c r="A17" s="1">
        <v>1985</v>
      </c>
      <c r="B17" s="3">
        <v>7338000</v>
      </c>
      <c r="C17" s="3">
        <v>112000</v>
      </c>
      <c r="D17" s="3">
        <v>0</v>
      </c>
      <c r="E17" s="3">
        <f>175000+45000</f>
        <v>220000</v>
      </c>
      <c r="F17" s="3">
        <v>0</v>
      </c>
      <c r="G17" s="3">
        <v>0</v>
      </c>
      <c r="H17" s="3">
        <v>0</v>
      </c>
      <c r="I17" s="3">
        <v>0</v>
      </c>
      <c r="J17" s="3">
        <v>0</v>
      </c>
      <c r="K17" s="3">
        <f t="shared" si="0"/>
        <v>7558000</v>
      </c>
      <c r="L17" s="3">
        <f t="shared" si="0"/>
        <v>112000</v>
      </c>
      <c r="M17" s="3">
        <f t="shared" si="0"/>
        <v>0</v>
      </c>
      <c r="N17" s="3">
        <f t="shared" si="1"/>
        <v>7670000</v>
      </c>
    </row>
    <row r="18" spans="1:14" x14ac:dyDescent="0.15">
      <c r="A18" s="1">
        <v>1986</v>
      </c>
      <c r="B18" s="3">
        <v>7422000</v>
      </c>
      <c r="C18" s="3">
        <v>128000</v>
      </c>
      <c r="D18" s="3">
        <v>0</v>
      </c>
      <c r="E18" s="3">
        <f>395000+71000</f>
        <v>466000</v>
      </c>
      <c r="F18" s="3">
        <v>4000</v>
      </c>
      <c r="G18" s="3">
        <v>0</v>
      </c>
      <c r="H18" s="3">
        <v>0</v>
      </c>
      <c r="I18" s="3">
        <v>0</v>
      </c>
      <c r="J18" s="3">
        <v>0</v>
      </c>
      <c r="K18" s="3">
        <f t="shared" si="0"/>
        <v>7888000</v>
      </c>
      <c r="L18" s="3">
        <f t="shared" si="0"/>
        <v>132000</v>
      </c>
      <c r="M18" s="3">
        <f t="shared" si="0"/>
        <v>0</v>
      </c>
      <c r="N18" s="3">
        <f t="shared" si="1"/>
        <v>8020000</v>
      </c>
    </row>
    <row r="19" spans="1:14" x14ac:dyDescent="0.15">
      <c r="A19" s="1">
        <v>1987</v>
      </c>
      <c r="B19" s="3">
        <v>7573000</v>
      </c>
      <c r="C19" s="3">
        <v>147000</v>
      </c>
      <c r="D19" s="3">
        <v>0</v>
      </c>
      <c r="E19" s="3">
        <f>426000+107000</f>
        <v>533000</v>
      </c>
      <c r="F19" s="3">
        <v>3000</v>
      </c>
      <c r="G19" s="3">
        <v>0</v>
      </c>
      <c r="H19" s="3">
        <v>0</v>
      </c>
      <c r="I19" s="3">
        <v>0</v>
      </c>
      <c r="J19" s="3">
        <v>0</v>
      </c>
      <c r="K19" s="3">
        <f t="shared" si="0"/>
        <v>8106000</v>
      </c>
      <c r="L19" s="3">
        <f t="shared" si="0"/>
        <v>150000</v>
      </c>
      <c r="M19" s="3">
        <f t="shared" si="0"/>
        <v>0</v>
      </c>
      <c r="N19" s="3">
        <f t="shared" si="1"/>
        <v>8256000</v>
      </c>
    </row>
    <row r="20" spans="1:14" x14ac:dyDescent="0.15">
      <c r="A20" s="1">
        <v>1988</v>
      </c>
      <c r="B20" s="3">
        <v>7623000</v>
      </c>
      <c r="C20" s="3">
        <v>140000</v>
      </c>
      <c r="D20" s="3">
        <v>0</v>
      </c>
      <c r="E20" s="3">
        <f>442000+177000</f>
        <v>619000</v>
      </c>
      <c r="F20" s="3">
        <v>5000</v>
      </c>
      <c r="G20" s="3">
        <v>0</v>
      </c>
      <c r="H20" s="3">
        <v>0</v>
      </c>
      <c r="I20" s="3">
        <v>0</v>
      </c>
      <c r="J20" s="3">
        <v>0</v>
      </c>
      <c r="K20" s="3">
        <f t="shared" si="0"/>
        <v>8242000</v>
      </c>
      <c r="L20" s="3">
        <f t="shared" si="0"/>
        <v>145000</v>
      </c>
      <c r="M20" s="3">
        <f t="shared" si="0"/>
        <v>0</v>
      </c>
      <c r="N20" s="3">
        <f t="shared" si="1"/>
        <v>8387000</v>
      </c>
    </row>
    <row r="21" spans="1:14" x14ac:dyDescent="0.15">
      <c r="A21" s="1">
        <v>1989</v>
      </c>
      <c r="B21" s="3">
        <v>8636000</v>
      </c>
      <c r="C21" s="3">
        <v>132000</v>
      </c>
      <c r="D21" s="3">
        <v>0</v>
      </c>
      <c r="E21" s="3">
        <f>616000+174000</f>
        <v>790000</v>
      </c>
      <c r="F21" s="3">
        <v>5000</v>
      </c>
      <c r="G21" s="3">
        <v>0</v>
      </c>
      <c r="H21" s="3">
        <v>0</v>
      </c>
      <c r="I21" s="3">
        <v>0</v>
      </c>
      <c r="J21" s="3">
        <v>0</v>
      </c>
      <c r="K21" s="3">
        <f t="shared" si="0"/>
        <v>9426000</v>
      </c>
      <c r="L21" s="3">
        <f t="shared" si="0"/>
        <v>137000</v>
      </c>
      <c r="M21" s="3">
        <f t="shared" si="0"/>
        <v>0</v>
      </c>
      <c r="N21" s="3">
        <f t="shared" si="1"/>
        <v>9563000</v>
      </c>
    </row>
    <row r="22" spans="1:14" x14ac:dyDescent="0.15">
      <c r="A22" s="1">
        <v>1990</v>
      </c>
      <c r="B22" s="3">
        <v>10062000</v>
      </c>
      <c r="C22" s="3">
        <v>143000</v>
      </c>
      <c r="D22" s="3">
        <v>0</v>
      </c>
      <c r="E22" s="3">
        <f>653000+306000</f>
        <v>959000</v>
      </c>
      <c r="F22" s="3">
        <v>8000</v>
      </c>
      <c r="G22" s="3">
        <v>0</v>
      </c>
      <c r="H22" s="3">
        <v>0</v>
      </c>
      <c r="I22" s="3">
        <v>0</v>
      </c>
      <c r="J22" s="3">
        <v>0</v>
      </c>
      <c r="K22" s="3">
        <f t="shared" ref="K22:M35" si="2">+B22+E22+H22</f>
        <v>11021000</v>
      </c>
      <c r="L22" s="3">
        <f t="shared" si="2"/>
        <v>151000</v>
      </c>
      <c r="M22" s="3">
        <f t="shared" si="2"/>
        <v>0</v>
      </c>
      <c r="N22" s="3">
        <f t="shared" si="1"/>
        <v>11172000</v>
      </c>
    </row>
    <row r="23" spans="1:14" x14ac:dyDescent="0.15">
      <c r="A23" s="1">
        <v>1991</v>
      </c>
      <c r="B23" s="3">
        <v>9850000</v>
      </c>
      <c r="C23" s="3">
        <v>150000</v>
      </c>
      <c r="D23" s="3">
        <v>0</v>
      </c>
      <c r="E23" s="3">
        <f>650000+307000</f>
        <v>957000</v>
      </c>
      <c r="F23" s="3">
        <v>8000</v>
      </c>
      <c r="G23" s="3">
        <v>0</v>
      </c>
      <c r="H23" s="3">
        <v>0</v>
      </c>
      <c r="I23" s="3">
        <v>0</v>
      </c>
      <c r="J23" s="3">
        <v>0</v>
      </c>
      <c r="K23" s="3">
        <f t="shared" si="2"/>
        <v>10807000</v>
      </c>
      <c r="L23" s="3">
        <f t="shared" si="2"/>
        <v>158000</v>
      </c>
      <c r="M23" s="3">
        <f t="shared" si="2"/>
        <v>0</v>
      </c>
      <c r="N23" s="3">
        <f t="shared" si="1"/>
        <v>10965000</v>
      </c>
    </row>
    <row r="24" spans="1:14" x14ac:dyDescent="0.15">
      <c r="A24" s="1">
        <v>1992</v>
      </c>
      <c r="B24" s="3">
        <v>10037000</v>
      </c>
      <c r="C24" s="3">
        <v>163000</v>
      </c>
      <c r="D24" s="3">
        <v>0</v>
      </c>
      <c r="E24" s="3">
        <f>684000+408000</f>
        <v>1092000</v>
      </c>
      <c r="F24" s="3">
        <v>0</v>
      </c>
      <c r="G24" s="3">
        <v>0</v>
      </c>
      <c r="H24" s="3">
        <v>0</v>
      </c>
      <c r="I24" s="3">
        <v>0</v>
      </c>
      <c r="J24" s="3">
        <v>0</v>
      </c>
      <c r="K24" s="3">
        <f t="shared" si="2"/>
        <v>11129000</v>
      </c>
      <c r="L24" s="3">
        <f t="shared" si="2"/>
        <v>163000</v>
      </c>
      <c r="M24" s="3">
        <f t="shared" si="2"/>
        <v>0</v>
      </c>
      <c r="N24" s="3">
        <f t="shared" si="1"/>
        <v>11292000</v>
      </c>
    </row>
    <row r="25" spans="1:14" x14ac:dyDescent="0.15">
      <c r="A25" s="1">
        <v>1993</v>
      </c>
      <c r="B25" s="3">
        <v>9934000</v>
      </c>
      <c r="C25" s="3">
        <v>151000</v>
      </c>
      <c r="D25" s="3">
        <v>0</v>
      </c>
      <c r="E25" s="3">
        <f>802000+384000</f>
        <v>1186000</v>
      </c>
      <c r="F25" s="3">
        <v>0</v>
      </c>
      <c r="G25" s="3">
        <v>0</v>
      </c>
      <c r="H25" s="3">
        <v>0</v>
      </c>
      <c r="I25" s="3">
        <v>0</v>
      </c>
      <c r="J25" s="3">
        <v>0</v>
      </c>
      <c r="K25" s="3">
        <f t="shared" si="2"/>
        <v>11120000</v>
      </c>
      <c r="L25" s="3">
        <f t="shared" si="2"/>
        <v>151000</v>
      </c>
      <c r="M25" s="3">
        <f t="shared" si="2"/>
        <v>0</v>
      </c>
      <c r="N25" s="3">
        <f t="shared" si="1"/>
        <v>11271000</v>
      </c>
    </row>
    <row r="26" spans="1:14" x14ac:dyDescent="0.15">
      <c r="A26" s="1">
        <v>1994</v>
      </c>
      <c r="B26" s="3">
        <v>9657000</v>
      </c>
      <c r="C26" s="3">
        <v>147000</v>
      </c>
      <c r="D26" s="3">
        <v>0</v>
      </c>
      <c r="E26" s="3">
        <f>1006000+504000</f>
        <v>1510000</v>
      </c>
      <c r="F26" s="3">
        <v>0</v>
      </c>
      <c r="G26" s="3">
        <v>0</v>
      </c>
      <c r="H26" s="3">
        <v>0</v>
      </c>
      <c r="I26" s="3">
        <v>0</v>
      </c>
      <c r="J26" s="3">
        <v>0</v>
      </c>
      <c r="K26" s="3">
        <f t="shared" si="2"/>
        <v>11167000</v>
      </c>
      <c r="L26" s="3">
        <f t="shared" si="2"/>
        <v>147000</v>
      </c>
      <c r="M26" s="3">
        <f t="shared" si="2"/>
        <v>0</v>
      </c>
      <c r="N26" s="3">
        <f t="shared" si="1"/>
        <v>11314000</v>
      </c>
    </row>
    <row r="27" spans="1:14" x14ac:dyDescent="0.15">
      <c r="A27" s="1">
        <v>1995</v>
      </c>
      <c r="B27" s="3">
        <v>10447707</v>
      </c>
      <c r="C27" s="3">
        <v>146000</v>
      </c>
      <c r="D27" s="3">
        <v>0</v>
      </c>
      <c r="E27" s="3">
        <f>11788000-B27</f>
        <v>1340293</v>
      </c>
      <c r="F27" s="3">
        <v>0</v>
      </c>
      <c r="G27" s="3">
        <v>0</v>
      </c>
      <c r="H27" s="3">
        <v>50000</v>
      </c>
      <c r="I27" s="3">
        <v>0</v>
      </c>
      <c r="J27" s="3">
        <v>0</v>
      </c>
      <c r="K27" s="3">
        <f t="shared" si="2"/>
        <v>11838000</v>
      </c>
      <c r="L27" s="3">
        <f t="shared" si="2"/>
        <v>146000</v>
      </c>
      <c r="M27" s="3">
        <f t="shared" si="2"/>
        <v>0</v>
      </c>
      <c r="N27" s="3">
        <f t="shared" si="1"/>
        <v>11984000</v>
      </c>
    </row>
    <row r="28" spans="1:14" x14ac:dyDescent="0.15">
      <c r="A28" s="1">
        <v>1996</v>
      </c>
      <c r="B28" s="3">
        <v>10578462</v>
      </c>
      <c r="C28" s="3">
        <v>148000</v>
      </c>
      <c r="D28" s="3">
        <v>0</v>
      </c>
      <c r="E28" s="3">
        <f>11865000-B28</f>
        <v>1286538</v>
      </c>
      <c r="F28" s="3">
        <v>0</v>
      </c>
      <c r="G28" s="3">
        <v>0</v>
      </c>
      <c r="H28" s="3">
        <v>9000</v>
      </c>
      <c r="I28" s="3">
        <v>0</v>
      </c>
      <c r="J28" s="3">
        <v>0</v>
      </c>
      <c r="K28" s="3">
        <f t="shared" si="2"/>
        <v>11874000</v>
      </c>
      <c r="L28" s="3">
        <f t="shared" si="2"/>
        <v>148000</v>
      </c>
      <c r="M28" s="3">
        <f t="shared" si="2"/>
        <v>0</v>
      </c>
      <c r="N28" s="3">
        <f t="shared" si="1"/>
        <v>12022000</v>
      </c>
    </row>
    <row r="29" spans="1:14" x14ac:dyDescent="0.15">
      <c r="A29" s="1">
        <v>1997</v>
      </c>
      <c r="B29" s="3">
        <v>6330191</v>
      </c>
      <c r="C29" s="3">
        <v>148000</v>
      </c>
      <c r="D29" s="3">
        <v>0</v>
      </c>
      <c r="E29" s="3">
        <f>11309000-B29</f>
        <v>4978809</v>
      </c>
      <c r="F29" s="3">
        <v>0</v>
      </c>
      <c r="G29" s="3">
        <v>0</v>
      </c>
      <c r="H29" s="3">
        <v>9000</v>
      </c>
      <c r="I29" s="3">
        <v>0</v>
      </c>
      <c r="J29" s="3">
        <v>0</v>
      </c>
      <c r="K29" s="3">
        <f t="shared" si="2"/>
        <v>11318000</v>
      </c>
      <c r="L29" s="3">
        <f t="shared" si="2"/>
        <v>148000</v>
      </c>
      <c r="M29" s="3">
        <f t="shared" si="2"/>
        <v>0</v>
      </c>
      <c r="N29" s="3">
        <f t="shared" si="1"/>
        <v>11466000</v>
      </c>
    </row>
    <row r="30" spans="1:14" x14ac:dyDescent="0.15">
      <c r="A30" s="1">
        <v>1998</v>
      </c>
      <c r="B30" s="3">
        <f>3461073+3439028+4122424</f>
        <v>11022525</v>
      </c>
      <c r="C30" s="3">
        <v>131000</v>
      </c>
      <c r="D30" s="3">
        <v>0</v>
      </c>
      <c r="E30" s="3">
        <f>12325000-B30</f>
        <v>1302475</v>
      </c>
      <c r="F30" s="3">
        <v>0</v>
      </c>
      <c r="G30" s="3">
        <v>0</v>
      </c>
      <c r="H30" s="3">
        <v>8000</v>
      </c>
      <c r="I30" s="3">
        <v>0</v>
      </c>
      <c r="J30" s="3">
        <v>0</v>
      </c>
      <c r="K30" s="3">
        <f t="shared" si="2"/>
        <v>12333000</v>
      </c>
      <c r="L30" s="3">
        <f t="shared" si="2"/>
        <v>131000</v>
      </c>
      <c r="M30" s="3">
        <f t="shared" si="2"/>
        <v>0</v>
      </c>
      <c r="N30" s="3">
        <f t="shared" si="1"/>
        <v>12464000</v>
      </c>
    </row>
    <row r="31" spans="1:14" x14ac:dyDescent="0.15">
      <c r="A31" s="1">
        <v>1999</v>
      </c>
      <c r="B31" s="3">
        <v>11445079</v>
      </c>
      <c r="C31" s="3">
        <v>102000</v>
      </c>
      <c r="D31" s="3">
        <v>0</v>
      </c>
      <c r="E31" s="3">
        <f>12760000-B31</f>
        <v>1314921</v>
      </c>
      <c r="F31" s="3">
        <v>0</v>
      </c>
      <c r="G31" s="3">
        <v>0</v>
      </c>
      <c r="H31" s="3">
        <v>77000</v>
      </c>
      <c r="I31" s="3">
        <v>0</v>
      </c>
      <c r="J31" s="3">
        <v>0</v>
      </c>
      <c r="K31" s="3">
        <f t="shared" si="2"/>
        <v>12837000</v>
      </c>
      <c r="L31" s="3">
        <f t="shared" si="2"/>
        <v>102000</v>
      </c>
      <c r="M31" s="3">
        <f t="shared" si="2"/>
        <v>0</v>
      </c>
      <c r="N31" s="3">
        <f t="shared" si="1"/>
        <v>12939000</v>
      </c>
    </row>
    <row r="32" spans="1:14" x14ac:dyDescent="0.15">
      <c r="A32" s="1">
        <v>2000</v>
      </c>
      <c r="B32" s="3">
        <v>12551751</v>
      </c>
      <c r="C32" s="3">
        <v>179000</v>
      </c>
      <c r="D32" s="3">
        <v>0</v>
      </c>
      <c r="E32" s="3">
        <f>13739000-B32</f>
        <v>1187249</v>
      </c>
      <c r="F32" s="3">
        <v>0</v>
      </c>
      <c r="G32" s="3">
        <v>0</v>
      </c>
      <c r="H32" s="3">
        <v>79000</v>
      </c>
      <c r="I32" s="3">
        <v>0</v>
      </c>
      <c r="J32" s="3">
        <v>0</v>
      </c>
      <c r="K32" s="3">
        <f t="shared" si="2"/>
        <v>13818000</v>
      </c>
      <c r="L32" s="3">
        <f t="shared" si="2"/>
        <v>179000</v>
      </c>
      <c r="M32" s="3">
        <f t="shared" si="2"/>
        <v>0</v>
      </c>
      <c r="N32" s="3">
        <f t="shared" si="1"/>
        <v>13997000</v>
      </c>
    </row>
    <row r="33" spans="1:15" x14ac:dyDescent="0.15">
      <c r="A33" s="1">
        <v>2001</v>
      </c>
      <c r="B33" s="3">
        <f>4686091+3978622+4249892</f>
        <v>12914605</v>
      </c>
      <c r="C33" s="3">
        <v>211000</v>
      </c>
      <c r="D33" s="3">
        <v>0</v>
      </c>
      <c r="E33" s="3">
        <f>14327000-B33</f>
        <v>1412395</v>
      </c>
      <c r="F33" s="3">
        <v>0</v>
      </c>
      <c r="G33" s="3">
        <v>0</v>
      </c>
      <c r="H33" s="3">
        <v>87000</v>
      </c>
      <c r="I33" s="3">
        <v>0</v>
      </c>
      <c r="J33" s="3">
        <v>0</v>
      </c>
      <c r="K33" s="3">
        <f t="shared" si="2"/>
        <v>14414000</v>
      </c>
      <c r="L33" s="3">
        <f t="shared" si="2"/>
        <v>211000</v>
      </c>
      <c r="M33" s="3">
        <f t="shared" si="2"/>
        <v>0</v>
      </c>
      <c r="N33" s="3">
        <f t="shared" si="1"/>
        <v>14625000</v>
      </c>
    </row>
    <row r="34" spans="1:15" x14ac:dyDescent="0.15">
      <c r="A34" s="1">
        <v>2002</v>
      </c>
      <c r="B34" s="3">
        <v>14215287</v>
      </c>
      <c r="C34" s="3">
        <v>313000</v>
      </c>
      <c r="D34" s="3">
        <v>0</v>
      </c>
      <c r="E34" s="3">
        <f>15545000-B34</f>
        <v>1329713</v>
      </c>
      <c r="F34" s="3">
        <v>0</v>
      </c>
      <c r="G34" s="3">
        <v>0</v>
      </c>
      <c r="H34" s="3">
        <v>91000</v>
      </c>
      <c r="I34" s="3">
        <v>0</v>
      </c>
      <c r="J34" s="3">
        <v>0</v>
      </c>
      <c r="K34" s="3">
        <f t="shared" si="2"/>
        <v>15636000</v>
      </c>
      <c r="L34" s="3">
        <f t="shared" si="2"/>
        <v>313000</v>
      </c>
      <c r="M34" s="3">
        <f t="shared" si="2"/>
        <v>0</v>
      </c>
      <c r="N34" s="3">
        <f t="shared" si="1"/>
        <v>15949000</v>
      </c>
    </row>
    <row r="35" spans="1:15" x14ac:dyDescent="0.15">
      <c r="A35" s="1">
        <v>2003</v>
      </c>
      <c r="B35" s="3">
        <v>14775590</v>
      </c>
      <c r="C35" s="3">
        <v>292981</v>
      </c>
      <c r="D35" s="3">
        <v>0</v>
      </c>
      <c r="E35" s="3">
        <v>1448695</v>
      </c>
      <c r="F35" s="3">
        <v>12735</v>
      </c>
      <c r="G35" s="3">
        <v>0</v>
      </c>
      <c r="H35" s="3">
        <v>0</v>
      </c>
      <c r="I35" s="3">
        <v>0</v>
      </c>
      <c r="J35" s="3">
        <v>181935</v>
      </c>
      <c r="K35" s="3">
        <f t="shared" si="2"/>
        <v>16224285</v>
      </c>
      <c r="L35" s="3">
        <f t="shared" si="2"/>
        <v>305716</v>
      </c>
      <c r="M35" s="3">
        <f t="shared" si="2"/>
        <v>181935</v>
      </c>
      <c r="N35" s="3">
        <f t="shared" si="1"/>
        <v>16711936</v>
      </c>
    </row>
    <row r="36" spans="1:15" x14ac:dyDescent="0.15">
      <c r="A36" s="1">
        <v>2004</v>
      </c>
      <c r="B36" s="3">
        <v>15634852</v>
      </c>
      <c r="C36" s="3">
        <v>304225</v>
      </c>
      <c r="D36" s="3">
        <v>0</v>
      </c>
      <c r="E36" s="3">
        <v>1223202</v>
      </c>
      <c r="F36" s="3">
        <v>4330</v>
      </c>
      <c r="G36" s="3">
        <v>719505</v>
      </c>
      <c r="H36" s="3">
        <v>290963</v>
      </c>
      <c r="I36" s="3">
        <v>0</v>
      </c>
      <c r="J36" s="3">
        <v>0</v>
      </c>
      <c r="K36" s="3">
        <v>17149017</v>
      </c>
      <c r="L36" s="3">
        <v>308555</v>
      </c>
      <c r="M36" s="3">
        <v>719505</v>
      </c>
      <c r="N36" s="3">
        <v>18177077</v>
      </c>
      <c r="O36" s="1" t="s">
        <v>330</v>
      </c>
    </row>
    <row r="37" spans="1:15" x14ac:dyDescent="0.15">
      <c r="A37" s="1">
        <v>2005</v>
      </c>
      <c r="B37" s="3">
        <v>14518726</v>
      </c>
      <c r="C37" s="3">
        <v>246495</v>
      </c>
      <c r="D37" s="3">
        <v>0</v>
      </c>
      <c r="E37" s="3">
        <v>1171195</v>
      </c>
      <c r="F37" s="3">
        <v>2020</v>
      </c>
      <c r="G37" s="3">
        <v>852799</v>
      </c>
      <c r="H37" s="3">
        <v>93000</v>
      </c>
      <c r="I37" s="3">
        <v>0</v>
      </c>
      <c r="J37" s="3">
        <v>0</v>
      </c>
      <c r="K37" s="3">
        <v>15782921</v>
      </c>
      <c r="L37" s="3">
        <v>248515</v>
      </c>
      <c r="M37" s="3">
        <v>852799</v>
      </c>
      <c r="N37" s="3">
        <v>16884235</v>
      </c>
    </row>
    <row r="38" spans="1:15" x14ac:dyDescent="0.15">
      <c r="A38" s="1">
        <v>2006</v>
      </c>
      <c r="B38" s="3">
        <v>16242598</v>
      </c>
      <c r="C38" s="3">
        <v>291525</v>
      </c>
      <c r="D38" s="3">
        <v>0</v>
      </c>
      <c r="E38" s="3">
        <v>1216839</v>
      </c>
      <c r="F38" s="3">
        <v>3430</v>
      </c>
      <c r="G38" s="3">
        <v>724632</v>
      </c>
      <c r="H38" s="3">
        <v>101000</v>
      </c>
      <c r="I38" s="3">
        <v>0</v>
      </c>
      <c r="J38" s="3">
        <v>0</v>
      </c>
      <c r="K38" s="3">
        <v>17560437</v>
      </c>
      <c r="L38" s="3">
        <v>294955</v>
      </c>
      <c r="M38" s="3">
        <v>724632</v>
      </c>
      <c r="N38" s="3">
        <v>18580024</v>
      </c>
    </row>
    <row r="39" spans="1:15" x14ac:dyDescent="0.15">
      <c r="A39" s="1">
        <v>2007</v>
      </c>
      <c r="B39" s="3">
        <v>15898898</v>
      </c>
      <c r="C39" s="3">
        <v>267000</v>
      </c>
      <c r="D39" s="3">
        <v>0</v>
      </c>
      <c r="E39" s="3">
        <v>1290308</v>
      </c>
      <c r="F39" s="3">
        <v>4350</v>
      </c>
      <c r="G39" s="3">
        <v>786072</v>
      </c>
      <c r="H39" s="3">
        <v>0</v>
      </c>
      <c r="I39" s="3">
        <v>0</v>
      </c>
      <c r="J39" s="3">
        <v>96000</v>
      </c>
      <c r="K39" s="3">
        <v>17189206</v>
      </c>
      <c r="L39" s="3">
        <v>271350</v>
      </c>
      <c r="M39" s="3">
        <v>882072</v>
      </c>
      <c r="N39" s="3">
        <v>18342628</v>
      </c>
    </row>
    <row r="40" spans="1:15" x14ac:dyDescent="0.15">
      <c r="A40" s="1">
        <v>2008</v>
      </c>
      <c r="B40" s="3">
        <v>17543531</v>
      </c>
      <c r="C40" s="3">
        <v>358075</v>
      </c>
      <c r="D40" s="3">
        <v>0</v>
      </c>
      <c r="E40" s="3">
        <v>1260071</v>
      </c>
      <c r="F40" s="3">
        <v>4700</v>
      </c>
      <c r="G40" s="3">
        <v>1667908</v>
      </c>
      <c r="H40" s="3">
        <v>0</v>
      </c>
      <c r="I40" s="3">
        <v>0</v>
      </c>
      <c r="J40" s="3">
        <v>94000</v>
      </c>
      <c r="K40" s="3">
        <v>18803602</v>
      </c>
      <c r="L40" s="3">
        <v>362775</v>
      </c>
      <c r="M40" s="3">
        <v>1761908</v>
      </c>
      <c r="N40" s="3">
        <v>20928285</v>
      </c>
    </row>
    <row r="41" spans="1:15" x14ac:dyDescent="0.15">
      <c r="A41" s="1">
        <v>2009</v>
      </c>
      <c r="B41" s="3">
        <v>15939241</v>
      </c>
      <c r="C41" s="3">
        <v>338150</v>
      </c>
      <c r="D41" s="3">
        <v>0</v>
      </c>
      <c r="E41" s="3">
        <v>1354156</v>
      </c>
      <c r="F41" s="3">
        <v>0</v>
      </c>
      <c r="G41" s="3">
        <v>2386846</v>
      </c>
      <c r="H41" s="3">
        <v>86134</v>
      </c>
      <c r="I41" s="3">
        <v>0</v>
      </c>
      <c r="J41" s="3">
        <v>0</v>
      </c>
      <c r="K41" s="3">
        <v>17379531</v>
      </c>
      <c r="L41" s="3">
        <v>338150</v>
      </c>
      <c r="M41" s="3">
        <v>2386846</v>
      </c>
      <c r="N41" s="3">
        <v>20104527</v>
      </c>
      <c r="O41" s="1" t="s">
        <v>331</v>
      </c>
    </row>
    <row r="42" spans="1:15" x14ac:dyDescent="0.15">
      <c r="A42" s="1">
        <v>2010</v>
      </c>
      <c r="B42" s="3">
        <v>17332339</v>
      </c>
      <c r="C42" s="3">
        <v>242775</v>
      </c>
      <c r="D42" s="3">
        <v>0</v>
      </c>
      <c r="E42" s="3">
        <v>1917761</v>
      </c>
      <c r="F42" s="3">
        <v>0</v>
      </c>
      <c r="G42" s="3">
        <v>1800424</v>
      </c>
      <c r="H42" s="3">
        <v>88000</v>
      </c>
      <c r="I42" s="3">
        <v>0</v>
      </c>
      <c r="J42" s="3">
        <v>0</v>
      </c>
      <c r="K42" s="3">
        <v>19338100</v>
      </c>
      <c r="L42" s="3">
        <v>242775</v>
      </c>
      <c r="M42" s="3">
        <v>1800424</v>
      </c>
      <c r="N42" s="3">
        <v>21381299</v>
      </c>
    </row>
    <row r="43" spans="1:15" x14ac:dyDescent="0.15">
      <c r="A43" s="1">
        <v>2011</v>
      </c>
      <c r="B43" s="3">
        <v>15010477</v>
      </c>
      <c r="C43" s="3">
        <v>709312</v>
      </c>
      <c r="D43" s="3">
        <v>0</v>
      </c>
      <c r="E43" s="3">
        <v>2232410</v>
      </c>
      <c r="F43" s="3">
        <v>0</v>
      </c>
      <c r="G43" s="3">
        <v>2357231</v>
      </c>
      <c r="H43" s="3">
        <v>85000</v>
      </c>
      <c r="I43" s="3">
        <v>0</v>
      </c>
      <c r="J43" s="3">
        <v>0</v>
      </c>
      <c r="K43" s="3">
        <v>17327887</v>
      </c>
      <c r="L43" s="3">
        <v>709312</v>
      </c>
      <c r="M43" s="3">
        <v>2357231</v>
      </c>
      <c r="N43" s="3">
        <v>20394430</v>
      </c>
    </row>
    <row r="44" spans="1:15" x14ac:dyDescent="0.15">
      <c r="A44" s="1">
        <v>2012</v>
      </c>
      <c r="B44" s="3">
        <v>15968472</v>
      </c>
      <c r="C44" s="3">
        <v>293875</v>
      </c>
      <c r="D44" s="3">
        <v>0</v>
      </c>
      <c r="E44" s="3">
        <v>2271089</v>
      </c>
      <c r="F44" s="3">
        <v>0</v>
      </c>
      <c r="G44" s="3">
        <v>2805266</v>
      </c>
      <c r="H44" s="3">
        <v>88500</v>
      </c>
      <c r="I44" s="3">
        <v>0</v>
      </c>
      <c r="J44" s="3">
        <v>0</v>
      </c>
      <c r="K44" s="3">
        <v>18328061</v>
      </c>
      <c r="L44" s="3">
        <v>293875</v>
      </c>
      <c r="M44" s="3">
        <v>2805266</v>
      </c>
      <c r="N44" s="3">
        <v>21427202</v>
      </c>
    </row>
    <row r="45" spans="1:15" x14ac:dyDescent="0.15">
      <c r="A45" s="1">
        <v>2013</v>
      </c>
      <c r="B45" s="3">
        <v>15378940</v>
      </c>
      <c r="C45" s="3">
        <v>328450</v>
      </c>
      <c r="D45" s="3">
        <v>0</v>
      </c>
      <c r="E45" s="3">
        <v>2060176</v>
      </c>
      <c r="F45" s="3">
        <v>0</v>
      </c>
      <c r="G45" s="3">
        <v>2349605</v>
      </c>
      <c r="H45" s="3">
        <v>80000</v>
      </c>
      <c r="I45" s="3">
        <v>0</v>
      </c>
      <c r="J45" s="3">
        <v>0</v>
      </c>
      <c r="K45" s="3">
        <v>17519116</v>
      </c>
      <c r="L45" s="3">
        <v>328450</v>
      </c>
      <c r="M45" s="3">
        <v>2349605</v>
      </c>
      <c r="N45" s="3">
        <v>20197171</v>
      </c>
    </row>
    <row r="46" spans="1:15" x14ac:dyDescent="0.15">
      <c r="A46" s="1">
        <v>2014</v>
      </c>
      <c r="B46" s="3">
        <v>15082633</v>
      </c>
      <c r="C46" s="3">
        <v>563125</v>
      </c>
      <c r="D46" s="3">
        <v>0</v>
      </c>
      <c r="E46" s="3">
        <v>2200821</v>
      </c>
      <c r="F46" s="3">
        <v>0</v>
      </c>
      <c r="G46" s="3">
        <v>2553269</v>
      </c>
      <c r="H46" s="3">
        <v>108898</v>
      </c>
      <c r="I46" s="3">
        <v>0</v>
      </c>
      <c r="J46" s="3">
        <v>0</v>
      </c>
      <c r="K46" s="3">
        <v>17392352</v>
      </c>
      <c r="L46" s="3">
        <v>563125</v>
      </c>
      <c r="M46" s="3">
        <v>2553269</v>
      </c>
      <c r="N46" s="3">
        <v>20508746</v>
      </c>
    </row>
    <row r="47" spans="1:15" x14ac:dyDescent="0.15">
      <c r="A47" s="1">
        <v>2015</v>
      </c>
      <c r="B47" s="3">
        <v>14156630</v>
      </c>
      <c r="C47" s="3">
        <v>706375</v>
      </c>
      <c r="D47" s="3">
        <v>0</v>
      </c>
      <c r="E47" s="3">
        <v>2065992</v>
      </c>
      <c r="F47" s="3">
        <v>0</v>
      </c>
      <c r="G47" s="3">
        <v>2949867</v>
      </c>
      <c r="H47" s="3">
        <v>131528</v>
      </c>
      <c r="I47" s="3">
        <v>0</v>
      </c>
      <c r="J47" s="3">
        <v>0</v>
      </c>
      <c r="K47" s="3">
        <v>16354150</v>
      </c>
      <c r="L47" s="3">
        <v>706375</v>
      </c>
      <c r="M47" s="3">
        <v>2949867</v>
      </c>
      <c r="N47" s="3">
        <v>20010392</v>
      </c>
    </row>
    <row r="48" spans="1:15" x14ac:dyDescent="0.15">
      <c r="A48" s="1">
        <v>2016</v>
      </c>
      <c r="B48" s="3">
        <v>14777380</v>
      </c>
      <c r="C48" s="3">
        <v>725750</v>
      </c>
      <c r="D48" s="3">
        <v>0</v>
      </c>
      <c r="E48" s="3">
        <v>1987069</v>
      </c>
      <c r="F48" s="3">
        <v>0</v>
      </c>
      <c r="G48" s="3">
        <v>3253430</v>
      </c>
      <c r="H48" s="3">
        <v>114631</v>
      </c>
      <c r="I48" s="3">
        <v>0</v>
      </c>
      <c r="J48" s="3">
        <v>0</v>
      </c>
      <c r="K48" s="3">
        <v>16879080</v>
      </c>
      <c r="L48" s="3">
        <v>725750</v>
      </c>
      <c r="M48" s="3">
        <v>3253430</v>
      </c>
      <c r="N48" s="3">
        <v>20858260</v>
      </c>
    </row>
  </sheetData>
  <phoneticPr fontId="0" type="noConversion"/>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4" width="10.625" style="1"/>
    <col min="5" max="5" width="13.125" style="1" customWidth="1"/>
    <col min="6" max="10" width="10.625" style="1"/>
    <col min="11" max="11" width="11.875" style="1" customWidth="1"/>
    <col min="12" max="13" width="10.625" style="1"/>
    <col min="14" max="14" width="13.25" style="1" customWidth="1"/>
    <col min="15" max="16384" width="10.625" style="1"/>
  </cols>
  <sheetData>
    <row r="1" spans="1:15" x14ac:dyDescent="0.15">
      <c r="A1" s="1" t="s">
        <v>78</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53686</v>
      </c>
      <c r="C6" s="3">
        <v>0</v>
      </c>
      <c r="D6" s="3">
        <v>0</v>
      </c>
      <c r="E6" s="3">
        <v>0</v>
      </c>
      <c r="F6" s="3">
        <v>0</v>
      </c>
      <c r="G6" s="3">
        <v>0</v>
      </c>
      <c r="H6" s="3">
        <v>0</v>
      </c>
      <c r="I6" s="3">
        <v>0</v>
      </c>
      <c r="J6" s="3">
        <v>0</v>
      </c>
      <c r="K6" s="3">
        <f t="shared" ref="K6:M21" si="0">+B6+E6+H6</f>
        <v>53686</v>
      </c>
      <c r="L6" s="3">
        <f t="shared" si="0"/>
        <v>0</v>
      </c>
      <c r="M6" s="3">
        <f t="shared" si="0"/>
        <v>0</v>
      </c>
      <c r="N6" s="3">
        <f t="shared" ref="N6:N35" si="1">+M6+L6+K6</f>
        <v>53686</v>
      </c>
      <c r="O6" s="1" t="s">
        <v>79</v>
      </c>
    </row>
    <row r="7" spans="1:15" x14ac:dyDescent="0.15">
      <c r="A7" s="1">
        <v>1975</v>
      </c>
      <c r="B7" s="3">
        <v>733000</v>
      </c>
      <c r="C7" s="3">
        <v>0</v>
      </c>
      <c r="D7" s="3">
        <v>0</v>
      </c>
      <c r="E7" s="3">
        <v>0</v>
      </c>
      <c r="F7" s="3">
        <v>0</v>
      </c>
      <c r="G7" s="3">
        <v>0</v>
      </c>
      <c r="H7" s="3">
        <v>0</v>
      </c>
      <c r="I7" s="3">
        <v>0</v>
      </c>
      <c r="J7" s="3">
        <v>0</v>
      </c>
      <c r="K7" s="3">
        <f t="shared" si="0"/>
        <v>733000</v>
      </c>
      <c r="L7" s="3">
        <f t="shared" si="0"/>
        <v>0</v>
      </c>
      <c r="M7" s="3">
        <f t="shared" si="0"/>
        <v>0</v>
      </c>
      <c r="N7" s="3">
        <f t="shared" si="1"/>
        <v>733000</v>
      </c>
      <c r="O7" s="1" t="s">
        <v>94</v>
      </c>
    </row>
    <row r="8" spans="1:15" x14ac:dyDescent="0.15">
      <c r="A8" s="1">
        <v>1976</v>
      </c>
      <c r="B8" s="3">
        <v>1220000</v>
      </c>
      <c r="C8" s="3">
        <v>0</v>
      </c>
      <c r="D8" s="3">
        <v>0</v>
      </c>
      <c r="E8" s="3">
        <v>0</v>
      </c>
      <c r="F8" s="3">
        <v>0</v>
      </c>
      <c r="G8" s="3">
        <v>0</v>
      </c>
      <c r="H8" s="3">
        <v>0</v>
      </c>
      <c r="I8" s="3">
        <v>0</v>
      </c>
      <c r="J8" s="3">
        <v>0</v>
      </c>
      <c r="K8" s="3">
        <f t="shared" si="0"/>
        <v>1220000</v>
      </c>
      <c r="L8" s="3">
        <f t="shared" si="0"/>
        <v>0</v>
      </c>
      <c r="M8" s="3">
        <f t="shared" si="0"/>
        <v>0</v>
      </c>
      <c r="N8" s="3">
        <f t="shared" si="1"/>
        <v>1220000</v>
      </c>
    </row>
    <row r="9" spans="1:15" x14ac:dyDescent="0.15">
      <c r="A9" s="1">
        <v>1977</v>
      </c>
      <c r="B9" s="3">
        <v>1738000</v>
      </c>
      <c r="C9" s="3">
        <v>0</v>
      </c>
      <c r="D9" s="3">
        <v>0</v>
      </c>
      <c r="E9" s="3">
        <v>0</v>
      </c>
      <c r="F9" s="3">
        <v>0</v>
      </c>
      <c r="G9" s="3">
        <v>0</v>
      </c>
      <c r="H9" s="3">
        <v>0</v>
      </c>
      <c r="I9" s="3">
        <v>0</v>
      </c>
      <c r="J9" s="3">
        <v>0</v>
      </c>
      <c r="K9" s="3">
        <f t="shared" si="0"/>
        <v>1738000</v>
      </c>
      <c r="L9" s="3">
        <f t="shared" si="0"/>
        <v>0</v>
      </c>
      <c r="M9" s="3">
        <f t="shared" si="0"/>
        <v>0</v>
      </c>
      <c r="N9" s="3">
        <f t="shared" si="1"/>
        <v>1738000</v>
      </c>
    </row>
    <row r="10" spans="1:15" x14ac:dyDescent="0.15">
      <c r="A10" s="1">
        <v>1978</v>
      </c>
      <c r="B10" s="3">
        <v>2486000</v>
      </c>
      <c r="C10" s="3">
        <v>0</v>
      </c>
      <c r="D10" s="3">
        <v>0</v>
      </c>
      <c r="E10" s="3">
        <v>0</v>
      </c>
      <c r="F10" s="3">
        <v>0</v>
      </c>
      <c r="G10" s="3">
        <v>0</v>
      </c>
      <c r="H10" s="3">
        <v>0</v>
      </c>
      <c r="I10" s="3">
        <v>0</v>
      </c>
      <c r="J10" s="3">
        <v>0</v>
      </c>
      <c r="K10" s="3">
        <f t="shared" si="0"/>
        <v>2486000</v>
      </c>
      <c r="L10" s="3">
        <f t="shared" si="0"/>
        <v>0</v>
      </c>
      <c r="M10" s="3">
        <f t="shared" si="0"/>
        <v>0</v>
      </c>
      <c r="N10" s="3">
        <f t="shared" si="1"/>
        <v>2486000</v>
      </c>
    </row>
    <row r="11" spans="1:15" x14ac:dyDescent="0.15">
      <c r="A11" s="1">
        <v>1979</v>
      </c>
      <c r="B11" s="3">
        <v>3369000</v>
      </c>
      <c r="C11" s="3">
        <v>0</v>
      </c>
      <c r="D11" s="3">
        <v>0</v>
      </c>
      <c r="E11" s="3">
        <v>0</v>
      </c>
      <c r="F11" s="3">
        <v>0</v>
      </c>
      <c r="G11" s="3">
        <v>0</v>
      </c>
      <c r="H11" s="3">
        <v>0</v>
      </c>
      <c r="I11" s="3">
        <v>0</v>
      </c>
      <c r="J11" s="3">
        <v>0</v>
      </c>
      <c r="K11" s="3">
        <f t="shared" si="0"/>
        <v>3369000</v>
      </c>
      <c r="L11" s="3">
        <f t="shared" si="0"/>
        <v>0</v>
      </c>
      <c r="M11" s="3">
        <f t="shared" si="0"/>
        <v>0</v>
      </c>
      <c r="N11" s="3">
        <f t="shared" si="1"/>
        <v>3369000</v>
      </c>
    </row>
    <row r="12" spans="1:15" x14ac:dyDescent="0.15">
      <c r="A12" s="1">
        <v>1980</v>
      </c>
      <c r="B12" s="3">
        <v>9698000</v>
      </c>
      <c r="C12" s="3">
        <v>0</v>
      </c>
      <c r="D12" s="3">
        <v>0</v>
      </c>
      <c r="E12" s="3">
        <v>0</v>
      </c>
      <c r="F12" s="3">
        <v>0</v>
      </c>
      <c r="G12" s="3">
        <v>0</v>
      </c>
      <c r="H12" s="3">
        <v>5975000</v>
      </c>
      <c r="I12" s="3">
        <v>0</v>
      </c>
      <c r="J12" s="3">
        <v>0</v>
      </c>
      <c r="K12" s="3">
        <f t="shared" si="0"/>
        <v>15673000</v>
      </c>
      <c r="L12" s="3">
        <f t="shared" si="0"/>
        <v>0</v>
      </c>
      <c r="M12" s="3">
        <f t="shared" si="0"/>
        <v>0</v>
      </c>
      <c r="N12" s="3">
        <f t="shared" si="1"/>
        <v>15673000</v>
      </c>
      <c r="O12" s="1" t="s">
        <v>141</v>
      </c>
    </row>
    <row r="13" spans="1:15" x14ac:dyDescent="0.15">
      <c r="A13" s="1">
        <v>1981</v>
      </c>
      <c r="B13" s="3">
        <v>3829000</v>
      </c>
      <c r="C13" s="3">
        <v>0</v>
      </c>
      <c r="D13" s="3">
        <v>0</v>
      </c>
      <c r="E13" s="3">
        <v>0</v>
      </c>
      <c r="F13" s="3">
        <v>0</v>
      </c>
      <c r="G13" s="3">
        <v>0</v>
      </c>
      <c r="H13" s="3">
        <v>7225000</v>
      </c>
      <c r="I13" s="3">
        <v>0</v>
      </c>
      <c r="J13" s="3">
        <v>0</v>
      </c>
      <c r="K13" s="3">
        <f t="shared" si="0"/>
        <v>11054000</v>
      </c>
      <c r="L13" s="3">
        <f t="shared" si="0"/>
        <v>0</v>
      </c>
      <c r="M13" s="3">
        <f t="shared" si="0"/>
        <v>0</v>
      </c>
      <c r="N13" s="3">
        <f t="shared" si="1"/>
        <v>11054000</v>
      </c>
    </row>
    <row r="14" spans="1:15" x14ac:dyDescent="0.15">
      <c r="A14" s="1">
        <v>1982</v>
      </c>
      <c r="B14" s="3">
        <v>3733000</v>
      </c>
      <c r="C14" s="3">
        <v>0</v>
      </c>
      <c r="D14" s="3">
        <v>0</v>
      </c>
      <c r="E14" s="3">
        <v>0</v>
      </c>
      <c r="F14" s="3">
        <v>0</v>
      </c>
      <c r="G14" s="3">
        <v>0</v>
      </c>
      <c r="H14" s="3">
        <v>8398000</v>
      </c>
      <c r="I14" s="3">
        <v>0</v>
      </c>
      <c r="J14" s="3">
        <v>0</v>
      </c>
      <c r="K14" s="3">
        <f t="shared" si="0"/>
        <v>12131000</v>
      </c>
      <c r="L14" s="3">
        <f t="shared" si="0"/>
        <v>0</v>
      </c>
      <c r="M14" s="3">
        <f t="shared" si="0"/>
        <v>0</v>
      </c>
      <c r="N14" s="3">
        <f t="shared" si="1"/>
        <v>12131000</v>
      </c>
    </row>
    <row r="15" spans="1:15" x14ac:dyDescent="0.15">
      <c r="A15" s="1">
        <v>1983</v>
      </c>
      <c r="B15" s="3">
        <v>4088000</v>
      </c>
      <c r="C15" s="3">
        <v>0</v>
      </c>
      <c r="D15" s="3">
        <v>0</v>
      </c>
      <c r="E15" s="3">
        <v>0</v>
      </c>
      <c r="F15" s="3">
        <v>0</v>
      </c>
      <c r="G15" s="3">
        <v>0</v>
      </c>
      <c r="H15" s="3">
        <v>11050000</v>
      </c>
      <c r="I15" s="3">
        <v>0</v>
      </c>
      <c r="J15" s="3">
        <v>0</v>
      </c>
      <c r="K15" s="3">
        <f t="shared" si="0"/>
        <v>15138000</v>
      </c>
      <c r="L15" s="3">
        <f t="shared" si="0"/>
        <v>0</v>
      </c>
      <c r="M15" s="3">
        <f t="shared" si="0"/>
        <v>0</v>
      </c>
      <c r="N15" s="3">
        <f t="shared" si="1"/>
        <v>15138000</v>
      </c>
    </row>
    <row r="16" spans="1:15" x14ac:dyDescent="0.15">
      <c r="A16" s="1">
        <v>1984</v>
      </c>
      <c r="B16" s="3">
        <v>4079000</v>
      </c>
      <c r="C16" s="3">
        <v>0</v>
      </c>
      <c r="D16" s="3">
        <v>0</v>
      </c>
      <c r="E16" s="3">
        <v>0</v>
      </c>
      <c r="F16" s="3">
        <v>0</v>
      </c>
      <c r="G16" s="3">
        <v>0</v>
      </c>
      <c r="H16" s="3">
        <v>11609000</v>
      </c>
      <c r="I16" s="3">
        <v>0</v>
      </c>
      <c r="J16" s="3">
        <v>0</v>
      </c>
      <c r="K16" s="3">
        <f t="shared" si="0"/>
        <v>15688000</v>
      </c>
      <c r="L16" s="3">
        <f t="shared" si="0"/>
        <v>0</v>
      </c>
      <c r="M16" s="3">
        <f t="shared" si="0"/>
        <v>0</v>
      </c>
      <c r="N16" s="3">
        <f t="shared" si="1"/>
        <v>15688000</v>
      </c>
    </row>
    <row r="17" spans="1:15" x14ac:dyDescent="0.15">
      <c r="A17" s="1">
        <v>1985</v>
      </c>
      <c r="B17" s="3">
        <v>4420000</v>
      </c>
      <c r="C17" s="3">
        <v>0</v>
      </c>
      <c r="D17" s="3">
        <v>0</v>
      </c>
      <c r="E17" s="3">
        <v>0</v>
      </c>
      <c r="F17" s="3">
        <v>0</v>
      </c>
      <c r="G17" s="3">
        <v>0</v>
      </c>
      <c r="H17" s="3">
        <v>11721000</v>
      </c>
      <c r="I17" s="3">
        <v>1006000</v>
      </c>
      <c r="J17" s="3">
        <v>0</v>
      </c>
      <c r="K17" s="3">
        <f t="shared" si="0"/>
        <v>16141000</v>
      </c>
      <c r="L17" s="3">
        <f t="shared" si="0"/>
        <v>1006000</v>
      </c>
      <c r="M17" s="3">
        <f t="shared" si="0"/>
        <v>0</v>
      </c>
      <c r="N17" s="3">
        <f t="shared" si="1"/>
        <v>17147000</v>
      </c>
    </row>
    <row r="18" spans="1:15" x14ac:dyDescent="0.15">
      <c r="A18" s="1">
        <v>1986</v>
      </c>
      <c r="B18" s="3">
        <v>4420000</v>
      </c>
      <c r="C18" s="3">
        <v>0</v>
      </c>
      <c r="D18" s="3">
        <v>0</v>
      </c>
      <c r="E18" s="3">
        <v>0</v>
      </c>
      <c r="F18" s="3">
        <v>0</v>
      </c>
      <c r="G18" s="3">
        <v>0</v>
      </c>
      <c r="H18" s="3">
        <v>12166000</v>
      </c>
      <c r="I18" s="3">
        <v>1175000</v>
      </c>
      <c r="J18" s="3">
        <v>0</v>
      </c>
      <c r="K18" s="3">
        <f t="shared" si="0"/>
        <v>16586000</v>
      </c>
      <c r="L18" s="3">
        <f t="shared" si="0"/>
        <v>1175000</v>
      </c>
      <c r="M18" s="3">
        <f t="shared" si="0"/>
        <v>0</v>
      </c>
      <c r="N18" s="3">
        <f t="shared" si="1"/>
        <v>17761000</v>
      </c>
    </row>
    <row r="19" spans="1:15" x14ac:dyDescent="0.15">
      <c r="A19" s="1">
        <v>1987</v>
      </c>
      <c r="B19" s="3">
        <v>4350000</v>
      </c>
      <c r="C19" s="3">
        <v>0</v>
      </c>
      <c r="D19" s="3">
        <v>0</v>
      </c>
      <c r="E19" s="3">
        <v>0</v>
      </c>
      <c r="F19" s="3">
        <v>0</v>
      </c>
      <c r="G19" s="3">
        <v>0</v>
      </c>
      <c r="H19" s="3">
        <v>13777000</v>
      </c>
      <c r="I19" s="3">
        <v>1006000</v>
      </c>
      <c r="J19" s="3">
        <v>0</v>
      </c>
      <c r="K19" s="3">
        <f t="shared" si="0"/>
        <v>18127000</v>
      </c>
      <c r="L19" s="3">
        <f t="shared" si="0"/>
        <v>1006000</v>
      </c>
      <c r="M19" s="3">
        <f t="shared" si="0"/>
        <v>0</v>
      </c>
      <c r="N19" s="3">
        <f t="shared" si="1"/>
        <v>19133000</v>
      </c>
    </row>
    <row r="20" spans="1:15" x14ac:dyDescent="0.15">
      <c r="A20" s="1">
        <v>1988</v>
      </c>
      <c r="B20" s="3">
        <v>4420000</v>
      </c>
      <c r="C20" s="3">
        <v>0</v>
      </c>
      <c r="D20" s="3">
        <v>0</v>
      </c>
      <c r="E20" s="3">
        <v>0</v>
      </c>
      <c r="F20" s="3">
        <v>0</v>
      </c>
      <c r="G20" s="3">
        <v>0</v>
      </c>
      <c r="H20" s="3">
        <v>14739000</v>
      </c>
      <c r="I20" s="3">
        <v>1103000</v>
      </c>
      <c r="J20" s="3">
        <v>0</v>
      </c>
      <c r="K20" s="3">
        <f t="shared" si="0"/>
        <v>19159000</v>
      </c>
      <c r="L20" s="3">
        <f t="shared" si="0"/>
        <v>1103000</v>
      </c>
      <c r="M20" s="3">
        <f t="shared" si="0"/>
        <v>0</v>
      </c>
      <c r="N20" s="3">
        <f t="shared" si="1"/>
        <v>20262000</v>
      </c>
    </row>
    <row r="21" spans="1:15" x14ac:dyDescent="0.15">
      <c r="A21" s="1">
        <v>1989</v>
      </c>
      <c r="B21" s="3">
        <v>5851000</v>
      </c>
      <c r="C21" s="3">
        <v>0</v>
      </c>
      <c r="D21" s="3">
        <v>0</v>
      </c>
      <c r="E21" s="3">
        <v>0</v>
      </c>
      <c r="F21" s="3">
        <v>0</v>
      </c>
      <c r="G21" s="3">
        <v>0</v>
      </c>
      <c r="H21" s="3">
        <v>16820000</v>
      </c>
      <c r="I21" s="3">
        <v>1227000</v>
      </c>
      <c r="J21" s="3">
        <v>0</v>
      </c>
      <c r="K21" s="3">
        <f t="shared" si="0"/>
        <v>22671000</v>
      </c>
      <c r="L21" s="3">
        <f t="shared" si="0"/>
        <v>1227000</v>
      </c>
      <c r="M21" s="3">
        <f t="shared" si="0"/>
        <v>0</v>
      </c>
      <c r="N21" s="3">
        <f t="shared" si="1"/>
        <v>23898000</v>
      </c>
    </row>
    <row r="22" spans="1:15" x14ac:dyDescent="0.15">
      <c r="A22" s="1">
        <v>1990</v>
      </c>
      <c r="B22" s="3">
        <v>5953000</v>
      </c>
      <c r="C22" s="3">
        <v>0</v>
      </c>
      <c r="D22" s="3">
        <v>0</v>
      </c>
      <c r="E22" s="3">
        <f>1560000+771000</f>
        <v>2331000</v>
      </c>
      <c r="F22" s="3">
        <v>0</v>
      </c>
      <c r="G22" s="3">
        <v>0</v>
      </c>
      <c r="H22" s="3">
        <v>16861000</v>
      </c>
      <c r="I22" s="3">
        <v>1228000</v>
      </c>
      <c r="J22" s="3">
        <v>0</v>
      </c>
      <c r="K22" s="3">
        <f t="shared" ref="K22:M35" si="2">+B22+E22+H22</f>
        <v>25145000</v>
      </c>
      <c r="L22" s="3">
        <f t="shared" si="2"/>
        <v>1228000</v>
      </c>
      <c r="M22" s="3">
        <f t="shared" si="2"/>
        <v>0</v>
      </c>
      <c r="N22" s="3">
        <f t="shared" si="1"/>
        <v>26373000</v>
      </c>
    </row>
    <row r="23" spans="1:15" x14ac:dyDescent="0.15">
      <c r="A23" s="1">
        <v>1991</v>
      </c>
      <c r="B23" s="3">
        <v>5562000</v>
      </c>
      <c r="C23" s="3">
        <v>0</v>
      </c>
      <c r="D23" s="3">
        <v>0</v>
      </c>
      <c r="E23" s="3">
        <f>1138000+700000</f>
        <v>1838000</v>
      </c>
      <c r="F23" s="3">
        <v>0</v>
      </c>
      <c r="G23" s="3">
        <v>0</v>
      </c>
      <c r="H23" s="3">
        <v>16886000</v>
      </c>
      <c r="I23" s="3">
        <v>1228000</v>
      </c>
      <c r="J23" s="3">
        <v>0</v>
      </c>
      <c r="K23" s="3">
        <f t="shared" si="2"/>
        <v>24286000</v>
      </c>
      <c r="L23" s="3">
        <f t="shared" si="2"/>
        <v>1228000</v>
      </c>
      <c r="M23" s="3">
        <f t="shared" si="2"/>
        <v>0</v>
      </c>
      <c r="N23" s="3">
        <f t="shared" si="1"/>
        <v>25514000</v>
      </c>
    </row>
    <row r="24" spans="1:15" x14ac:dyDescent="0.15">
      <c r="A24" s="1">
        <v>1992</v>
      </c>
      <c r="B24" s="3">
        <v>5654000</v>
      </c>
      <c r="C24" s="3">
        <v>0</v>
      </c>
      <c r="D24" s="3">
        <v>0</v>
      </c>
      <c r="E24" s="3">
        <f>1075000+661000</f>
        <v>1736000</v>
      </c>
      <c r="F24" s="3">
        <v>0</v>
      </c>
      <c r="G24" s="3">
        <v>0</v>
      </c>
      <c r="H24" s="3">
        <v>17926000</v>
      </c>
      <c r="I24" s="3">
        <v>1304000</v>
      </c>
      <c r="J24" s="3">
        <v>0</v>
      </c>
      <c r="K24" s="3">
        <f t="shared" si="2"/>
        <v>25316000</v>
      </c>
      <c r="L24" s="3">
        <f t="shared" si="2"/>
        <v>1304000</v>
      </c>
      <c r="M24" s="3">
        <f t="shared" si="2"/>
        <v>0</v>
      </c>
      <c r="N24" s="3">
        <f t="shared" si="1"/>
        <v>26620000</v>
      </c>
    </row>
    <row r="25" spans="1:15" x14ac:dyDescent="0.15">
      <c r="A25" s="1">
        <v>1993</v>
      </c>
      <c r="B25" s="3">
        <v>5654000</v>
      </c>
      <c r="C25" s="3">
        <v>0</v>
      </c>
      <c r="D25" s="3">
        <v>0</v>
      </c>
      <c r="E25" s="3">
        <v>1000000</v>
      </c>
      <c r="F25" s="3">
        <v>0</v>
      </c>
      <c r="G25" s="3">
        <v>0</v>
      </c>
      <c r="H25" s="3">
        <v>18921000</v>
      </c>
      <c r="I25" s="3">
        <v>1304000</v>
      </c>
      <c r="J25" s="3">
        <v>0</v>
      </c>
      <c r="K25" s="3">
        <f t="shared" si="2"/>
        <v>25575000</v>
      </c>
      <c r="L25" s="3">
        <f t="shared" si="2"/>
        <v>1304000</v>
      </c>
      <c r="M25" s="3">
        <f t="shared" si="2"/>
        <v>0</v>
      </c>
      <c r="N25" s="3">
        <f t="shared" si="1"/>
        <v>26879000</v>
      </c>
    </row>
    <row r="26" spans="1:15" x14ac:dyDescent="0.15">
      <c r="A26" s="1">
        <v>1994</v>
      </c>
      <c r="B26" s="3">
        <v>5853000</v>
      </c>
      <c r="C26" s="3">
        <v>0</v>
      </c>
      <c r="D26" s="3">
        <v>0</v>
      </c>
      <c r="E26" s="3">
        <v>555000</v>
      </c>
      <c r="F26" s="3">
        <v>0</v>
      </c>
      <c r="G26" s="3">
        <v>0</v>
      </c>
      <c r="H26" s="3">
        <v>19536000</v>
      </c>
      <c r="I26" s="3">
        <v>1582000</v>
      </c>
      <c r="J26" s="3">
        <v>0</v>
      </c>
      <c r="K26" s="3">
        <f t="shared" si="2"/>
        <v>25944000</v>
      </c>
      <c r="L26" s="3">
        <f t="shared" si="2"/>
        <v>1582000</v>
      </c>
      <c r="M26" s="3">
        <f t="shared" si="2"/>
        <v>0</v>
      </c>
      <c r="N26" s="3">
        <f t="shared" si="1"/>
        <v>27526000</v>
      </c>
    </row>
    <row r="27" spans="1:15" x14ac:dyDescent="0.15">
      <c r="A27" s="1">
        <v>1995</v>
      </c>
      <c r="B27" s="3">
        <v>5962502</v>
      </c>
      <c r="C27" s="3">
        <v>0</v>
      </c>
      <c r="D27" s="3">
        <v>0</v>
      </c>
      <c r="E27" s="3">
        <f>53885000-B27</f>
        <v>47922498</v>
      </c>
      <c r="F27" s="3">
        <v>1546000</v>
      </c>
      <c r="G27" s="3">
        <v>0</v>
      </c>
      <c r="H27" s="3">
        <v>17339000</v>
      </c>
      <c r="I27" s="3">
        <v>10352000</v>
      </c>
      <c r="J27" s="3">
        <v>0</v>
      </c>
      <c r="K27" s="3">
        <f t="shared" si="2"/>
        <v>71224000</v>
      </c>
      <c r="L27" s="3">
        <f t="shared" si="2"/>
        <v>11898000</v>
      </c>
      <c r="M27" s="3">
        <f t="shared" si="2"/>
        <v>0</v>
      </c>
      <c r="N27" s="3">
        <f t="shared" si="1"/>
        <v>83122000</v>
      </c>
      <c r="O27" s="1" t="s">
        <v>207</v>
      </c>
    </row>
    <row r="28" spans="1:15" x14ac:dyDescent="0.15">
      <c r="A28" s="1">
        <v>1996</v>
      </c>
      <c r="B28" s="3">
        <v>5766735</v>
      </c>
      <c r="C28" s="3">
        <v>0</v>
      </c>
      <c r="D28" s="3">
        <v>0</v>
      </c>
      <c r="E28" s="3">
        <f>59568000-B28</f>
        <v>53801265</v>
      </c>
      <c r="F28" s="3">
        <v>1546000</v>
      </c>
      <c r="G28" s="3">
        <v>0</v>
      </c>
      <c r="H28" s="3">
        <v>17818000</v>
      </c>
      <c r="I28" s="3">
        <v>11077000</v>
      </c>
      <c r="J28" s="3">
        <v>0</v>
      </c>
      <c r="K28" s="3">
        <f t="shared" si="2"/>
        <v>77386000</v>
      </c>
      <c r="L28" s="3">
        <f t="shared" si="2"/>
        <v>12623000</v>
      </c>
      <c r="M28" s="3">
        <f t="shared" si="2"/>
        <v>0</v>
      </c>
      <c r="N28" s="3">
        <f t="shared" si="1"/>
        <v>90009000</v>
      </c>
      <c r="O28" s="1" t="s">
        <v>229</v>
      </c>
    </row>
    <row r="29" spans="1:15" x14ac:dyDescent="0.15">
      <c r="A29" s="1">
        <v>1997</v>
      </c>
      <c r="B29" s="3">
        <v>5184175</v>
      </c>
      <c r="C29" s="3">
        <v>0</v>
      </c>
      <c r="D29" s="3">
        <v>0</v>
      </c>
      <c r="E29" s="3">
        <f>59025000-B29</f>
        <v>53840825</v>
      </c>
      <c r="F29" s="3">
        <v>0</v>
      </c>
      <c r="G29" s="3">
        <v>0</v>
      </c>
      <c r="H29" s="3">
        <v>21039000</v>
      </c>
      <c r="I29" s="3">
        <v>13293000</v>
      </c>
      <c r="J29" s="3">
        <v>0</v>
      </c>
      <c r="K29" s="3">
        <f t="shared" si="2"/>
        <v>80064000</v>
      </c>
      <c r="L29" s="3">
        <f t="shared" si="2"/>
        <v>13293000</v>
      </c>
      <c r="M29" s="3">
        <f t="shared" si="2"/>
        <v>0</v>
      </c>
      <c r="N29" s="3">
        <f t="shared" si="1"/>
        <v>93357000</v>
      </c>
    </row>
    <row r="30" spans="1:15" x14ac:dyDescent="0.15">
      <c r="A30" s="1">
        <v>1998</v>
      </c>
      <c r="B30" s="3">
        <f>4870409+626667</f>
        <v>5497076</v>
      </c>
      <c r="C30" s="3">
        <v>0</v>
      </c>
      <c r="D30" s="3">
        <v>0</v>
      </c>
      <c r="E30" s="3">
        <f>59256000-B30</f>
        <v>53758924</v>
      </c>
      <c r="F30" s="3">
        <v>0</v>
      </c>
      <c r="G30" s="3">
        <v>0</v>
      </c>
      <c r="H30" s="3">
        <v>24053000</v>
      </c>
      <c r="I30" s="3">
        <v>13671000</v>
      </c>
      <c r="J30" s="3">
        <v>0</v>
      </c>
      <c r="K30" s="3">
        <f t="shared" si="2"/>
        <v>83309000</v>
      </c>
      <c r="L30" s="3">
        <f t="shared" si="2"/>
        <v>13671000</v>
      </c>
      <c r="M30" s="3">
        <f t="shared" si="2"/>
        <v>0</v>
      </c>
      <c r="N30" s="3">
        <f t="shared" si="1"/>
        <v>96980000</v>
      </c>
    </row>
    <row r="31" spans="1:15" x14ac:dyDescent="0.15">
      <c r="A31" s="1">
        <v>1999</v>
      </c>
      <c r="B31" s="3">
        <v>36239132</v>
      </c>
      <c r="C31" s="3">
        <v>0</v>
      </c>
      <c r="D31" s="3">
        <v>0</v>
      </c>
      <c r="E31" s="3">
        <f>62972000-B31</f>
        <v>26732868</v>
      </c>
      <c r="F31" s="3">
        <v>0</v>
      </c>
      <c r="G31" s="3">
        <v>0</v>
      </c>
      <c r="H31" s="3">
        <v>32350000</v>
      </c>
      <c r="I31" s="3">
        <v>14921000</v>
      </c>
      <c r="J31" s="3">
        <v>0</v>
      </c>
      <c r="K31" s="3">
        <f t="shared" si="2"/>
        <v>95322000</v>
      </c>
      <c r="L31" s="3">
        <f t="shared" si="2"/>
        <v>14921000</v>
      </c>
      <c r="M31" s="3">
        <f t="shared" si="2"/>
        <v>0</v>
      </c>
      <c r="N31" s="3">
        <f t="shared" si="1"/>
        <v>110243000</v>
      </c>
      <c r="O31" s="1" t="s">
        <v>245</v>
      </c>
    </row>
    <row r="32" spans="1:15" x14ac:dyDescent="0.15">
      <c r="A32" s="1">
        <v>2000</v>
      </c>
      <c r="B32" s="3">
        <v>38595119</v>
      </c>
      <c r="C32" s="3">
        <v>0</v>
      </c>
      <c r="D32" s="3">
        <v>0</v>
      </c>
      <c r="E32" s="3">
        <f>66641000-B32</f>
        <v>28045881</v>
      </c>
      <c r="F32" s="3">
        <v>0</v>
      </c>
      <c r="G32" s="3">
        <v>0</v>
      </c>
      <c r="H32" s="3">
        <v>35101000</v>
      </c>
      <c r="I32" s="3">
        <v>15845000</v>
      </c>
      <c r="J32" s="3">
        <v>0</v>
      </c>
      <c r="K32" s="3">
        <f t="shared" si="2"/>
        <v>101742000</v>
      </c>
      <c r="L32" s="3">
        <f t="shared" si="2"/>
        <v>15845000</v>
      </c>
      <c r="M32" s="3">
        <f t="shared" si="2"/>
        <v>0</v>
      </c>
      <c r="N32" s="3">
        <f t="shared" si="1"/>
        <v>117587000</v>
      </c>
    </row>
    <row r="33" spans="1:15" x14ac:dyDescent="0.15">
      <c r="A33" s="1">
        <v>2001</v>
      </c>
      <c r="B33" s="3">
        <v>36174856</v>
      </c>
      <c r="C33" s="3">
        <v>0</v>
      </c>
      <c r="D33" s="3">
        <v>0</v>
      </c>
      <c r="E33" s="3">
        <f>70260000-B33</f>
        <v>34085144</v>
      </c>
      <c r="F33" s="3">
        <v>0</v>
      </c>
      <c r="G33" s="3">
        <v>0</v>
      </c>
      <c r="H33" s="3">
        <v>44982000</v>
      </c>
      <c r="I33" s="3">
        <v>10823000</v>
      </c>
      <c r="J33" s="3">
        <v>0</v>
      </c>
      <c r="K33" s="3">
        <f t="shared" si="2"/>
        <v>115242000</v>
      </c>
      <c r="L33" s="3">
        <f t="shared" si="2"/>
        <v>10823000</v>
      </c>
      <c r="M33" s="3">
        <f t="shared" si="2"/>
        <v>0</v>
      </c>
      <c r="N33" s="3">
        <f t="shared" si="1"/>
        <v>126065000</v>
      </c>
    </row>
    <row r="34" spans="1:15" x14ac:dyDescent="0.15">
      <c r="A34" s="1">
        <v>2002</v>
      </c>
      <c r="B34" s="3">
        <v>34304464</v>
      </c>
      <c r="C34" s="3">
        <v>0</v>
      </c>
      <c r="D34" s="3">
        <v>0</v>
      </c>
      <c r="E34" s="3">
        <f>70289000-B34</f>
        <v>35984536</v>
      </c>
      <c r="F34" s="3">
        <v>1443000</v>
      </c>
      <c r="G34" s="3">
        <v>0</v>
      </c>
      <c r="H34" s="3">
        <v>40178000</v>
      </c>
      <c r="I34" s="3">
        <v>14681000</v>
      </c>
      <c r="J34" s="3">
        <v>0</v>
      </c>
      <c r="K34" s="3">
        <f t="shared" si="2"/>
        <v>110467000</v>
      </c>
      <c r="L34" s="3">
        <f t="shared" si="2"/>
        <v>16124000</v>
      </c>
      <c r="M34" s="3">
        <f t="shared" si="2"/>
        <v>0</v>
      </c>
      <c r="N34" s="3">
        <f t="shared" si="1"/>
        <v>126591000</v>
      </c>
    </row>
    <row r="35" spans="1:15" x14ac:dyDescent="0.15">
      <c r="A35" s="1">
        <v>2003</v>
      </c>
      <c r="B35" s="3">
        <v>34621020</v>
      </c>
      <c r="C35" s="3">
        <v>0</v>
      </c>
      <c r="D35" s="3">
        <v>0</v>
      </c>
      <c r="E35" s="3">
        <v>34516962</v>
      </c>
      <c r="F35" s="3">
        <v>1819733</v>
      </c>
      <c r="G35" s="3">
        <v>0</v>
      </c>
      <c r="H35" s="3">
        <v>39440561</v>
      </c>
      <c r="I35" s="3">
        <v>12547803</v>
      </c>
      <c r="J35" s="3">
        <v>0</v>
      </c>
      <c r="K35" s="3">
        <f t="shared" si="2"/>
        <v>108578543</v>
      </c>
      <c r="L35" s="3">
        <f t="shared" si="2"/>
        <v>14367536</v>
      </c>
      <c r="M35" s="3">
        <f t="shared" si="2"/>
        <v>0</v>
      </c>
      <c r="N35" s="3">
        <f t="shared" si="1"/>
        <v>122946079</v>
      </c>
    </row>
    <row r="36" spans="1:15" x14ac:dyDescent="0.15">
      <c r="A36" s="1">
        <v>2004</v>
      </c>
      <c r="B36" s="3">
        <v>38478030</v>
      </c>
      <c r="C36" s="3">
        <v>0</v>
      </c>
      <c r="D36" s="3">
        <v>0</v>
      </c>
      <c r="E36" s="3">
        <v>38868494</v>
      </c>
      <c r="F36" s="3">
        <v>3821450</v>
      </c>
      <c r="G36" s="3">
        <v>46000000</v>
      </c>
      <c r="H36" s="3">
        <v>33274155</v>
      </c>
      <c r="I36" s="3">
        <v>10030844</v>
      </c>
      <c r="J36" s="3">
        <v>1102140</v>
      </c>
      <c r="K36" s="3">
        <v>110620679</v>
      </c>
      <c r="L36" s="3">
        <v>13852294</v>
      </c>
      <c r="M36" s="3">
        <v>47102140</v>
      </c>
      <c r="N36" s="3">
        <v>171575113</v>
      </c>
      <c r="O36" s="1" t="s">
        <v>332</v>
      </c>
    </row>
    <row r="37" spans="1:15" x14ac:dyDescent="0.15">
      <c r="A37" s="1">
        <v>2005</v>
      </c>
      <c r="B37" s="3">
        <v>42157682</v>
      </c>
      <c r="C37" s="3">
        <v>0</v>
      </c>
      <c r="D37" s="3">
        <v>0</v>
      </c>
      <c r="E37" s="3">
        <v>40714383</v>
      </c>
      <c r="F37" s="3">
        <v>1607810</v>
      </c>
      <c r="G37" s="3">
        <v>0</v>
      </c>
      <c r="H37" s="3">
        <v>41005335</v>
      </c>
      <c r="I37" s="3">
        <v>12341441</v>
      </c>
      <c r="J37" s="3">
        <v>0</v>
      </c>
      <c r="K37" s="3">
        <v>123877400</v>
      </c>
      <c r="L37" s="3">
        <v>13949251</v>
      </c>
      <c r="M37" s="3">
        <v>0</v>
      </c>
      <c r="N37" s="3">
        <v>137826651</v>
      </c>
    </row>
    <row r="38" spans="1:15" x14ac:dyDescent="0.15">
      <c r="A38" s="1">
        <v>2006</v>
      </c>
      <c r="B38" s="3">
        <v>46626464</v>
      </c>
      <c r="C38" s="3">
        <v>0</v>
      </c>
      <c r="D38" s="3">
        <v>0</v>
      </c>
      <c r="E38" s="3">
        <v>43144000</v>
      </c>
      <c r="F38" s="3">
        <v>687615</v>
      </c>
      <c r="G38" s="3">
        <v>0</v>
      </c>
      <c r="H38" s="3">
        <v>42949837</v>
      </c>
      <c r="I38" s="3">
        <v>14466580</v>
      </c>
      <c r="J38" s="3">
        <v>22200</v>
      </c>
      <c r="K38" s="3">
        <v>132720301</v>
      </c>
      <c r="L38" s="3">
        <v>15154195</v>
      </c>
      <c r="M38" s="3">
        <v>22200</v>
      </c>
      <c r="N38" s="3">
        <v>147896696</v>
      </c>
    </row>
    <row r="39" spans="1:15" x14ac:dyDescent="0.15">
      <c r="A39" s="1">
        <v>2007</v>
      </c>
      <c r="B39" s="3">
        <v>53547137</v>
      </c>
      <c r="C39" s="3">
        <v>0</v>
      </c>
      <c r="D39" s="3">
        <v>0</v>
      </c>
      <c r="E39" s="3">
        <v>48214831</v>
      </c>
      <c r="F39" s="3">
        <v>937091</v>
      </c>
      <c r="G39" s="3">
        <v>0</v>
      </c>
      <c r="H39" s="3">
        <v>47534230</v>
      </c>
      <c r="I39" s="3">
        <v>19806993</v>
      </c>
      <c r="J39" s="3">
        <v>2405740</v>
      </c>
      <c r="K39" s="3">
        <v>149296198</v>
      </c>
      <c r="L39" s="3">
        <v>20744084</v>
      </c>
      <c r="M39" s="3">
        <v>2405740</v>
      </c>
      <c r="N39" s="3">
        <v>172446022</v>
      </c>
    </row>
    <row r="40" spans="1:15" x14ac:dyDescent="0.15">
      <c r="A40" s="1">
        <v>2008</v>
      </c>
      <c r="B40" s="3">
        <v>62743659</v>
      </c>
      <c r="C40" s="3">
        <v>0</v>
      </c>
      <c r="D40" s="3">
        <v>0</v>
      </c>
      <c r="E40" s="3">
        <v>52222968</v>
      </c>
      <c r="F40" s="3">
        <v>2193167</v>
      </c>
      <c r="G40" s="3">
        <v>0</v>
      </c>
      <c r="H40" s="3">
        <v>58845925</v>
      </c>
      <c r="I40" s="3">
        <v>18780180</v>
      </c>
      <c r="J40" s="3">
        <v>2638679</v>
      </c>
      <c r="K40" s="3">
        <v>173812552</v>
      </c>
      <c r="L40" s="3">
        <v>20973347</v>
      </c>
      <c r="M40" s="3">
        <v>2638679</v>
      </c>
      <c r="N40" s="3">
        <v>197424578</v>
      </c>
    </row>
    <row r="41" spans="1:15" x14ac:dyDescent="0.15">
      <c r="A41" s="1">
        <v>2009</v>
      </c>
      <c r="B41" s="3">
        <v>71080822</v>
      </c>
      <c r="C41" s="3">
        <v>0</v>
      </c>
      <c r="D41" s="3">
        <v>0</v>
      </c>
      <c r="E41" s="3">
        <v>52962505</v>
      </c>
      <c r="F41" s="3">
        <v>2352532</v>
      </c>
      <c r="G41" s="3">
        <v>0</v>
      </c>
      <c r="H41" s="3">
        <v>60727419</v>
      </c>
      <c r="I41" s="3">
        <v>18822069</v>
      </c>
      <c r="J41" s="3">
        <v>911605</v>
      </c>
      <c r="K41" s="3">
        <v>184770746</v>
      </c>
      <c r="L41" s="3">
        <v>21174601</v>
      </c>
      <c r="M41" s="3">
        <v>911605</v>
      </c>
      <c r="N41" s="3">
        <v>206856952</v>
      </c>
    </row>
    <row r="42" spans="1:15" x14ac:dyDescent="0.15">
      <c r="A42" s="1">
        <v>2010</v>
      </c>
      <c r="B42" s="3">
        <v>70658772</v>
      </c>
      <c r="C42" s="3">
        <v>0</v>
      </c>
      <c r="D42" s="3">
        <v>0</v>
      </c>
      <c r="E42" s="3">
        <v>63353933</v>
      </c>
      <c r="F42" s="3">
        <v>1687569</v>
      </c>
      <c r="G42" s="3">
        <v>0</v>
      </c>
      <c r="H42" s="3">
        <v>59950964</v>
      </c>
      <c r="I42" s="3">
        <v>17313774</v>
      </c>
      <c r="J42" s="3">
        <v>1068768</v>
      </c>
      <c r="K42" s="3">
        <v>193963669</v>
      </c>
      <c r="L42" s="3">
        <v>19001343</v>
      </c>
      <c r="M42" s="3">
        <v>1068768</v>
      </c>
      <c r="N42" s="3">
        <v>214033780</v>
      </c>
    </row>
    <row r="43" spans="1:15" x14ac:dyDescent="0.15">
      <c r="A43" s="1">
        <v>2011</v>
      </c>
      <c r="B43" s="3">
        <v>68607040</v>
      </c>
      <c r="C43" s="3">
        <v>0</v>
      </c>
      <c r="D43" s="3">
        <v>0</v>
      </c>
      <c r="E43" s="3">
        <v>65852625</v>
      </c>
      <c r="F43" s="3">
        <v>551675</v>
      </c>
      <c r="G43" s="3">
        <v>0</v>
      </c>
      <c r="H43" s="3">
        <v>54125698</v>
      </c>
      <c r="I43" s="3">
        <v>17445025</v>
      </c>
      <c r="J43" s="3">
        <v>1483697</v>
      </c>
      <c r="K43" s="3">
        <v>188585363</v>
      </c>
      <c r="L43" s="3">
        <v>17996700</v>
      </c>
      <c r="M43" s="3">
        <v>1483697</v>
      </c>
      <c r="N43" s="3">
        <v>208065760</v>
      </c>
    </row>
    <row r="44" spans="1:15" x14ac:dyDescent="0.15">
      <c r="A44" s="1">
        <v>2012</v>
      </c>
      <c r="B44" s="3">
        <v>79766276</v>
      </c>
      <c r="C44" s="3">
        <v>0</v>
      </c>
      <c r="D44" s="3">
        <v>0</v>
      </c>
      <c r="E44" s="3">
        <v>66662087</v>
      </c>
      <c r="F44" s="3">
        <v>541267</v>
      </c>
      <c r="G44" s="3">
        <v>0</v>
      </c>
      <c r="H44" s="3">
        <v>59494044</v>
      </c>
      <c r="I44" s="3">
        <v>17737236</v>
      </c>
      <c r="J44" s="3">
        <v>0</v>
      </c>
      <c r="K44" s="3">
        <v>205922407</v>
      </c>
      <c r="L44" s="3">
        <v>18278503</v>
      </c>
      <c r="M44" s="3">
        <v>0</v>
      </c>
      <c r="N44" s="3">
        <v>224200910</v>
      </c>
    </row>
    <row r="45" spans="1:15" x14ac:dyDescent="0.15">
      <c r="A45" s="1">
        <v>2013</v>
      </c>
      <c r="B45" s="3">
        <v>81566640</v>
      </c>
      <c r="C45" s="3">
        <v>0</v>
      </c>
      <c r="D45" s="3">
        <v>0</v>
      </c>
      <c r="E45" s="3">
        <v>73582101</v>
      </c>
      <c r="F45" s="3">
        <v>2791418</v>
      </c>
      <c r="G45" s="3">
        <v>0</v>
      </c>
      <c r="H45" s="3">
        <v>65152583</v>
      </c>
      <c r="I45" s="3">
        <v>16570682</v>
      </c>
      <c r="J45" s="3">
        <v>0</v>
      </c>
      <c r="K45" s="3">
        <v>220301324</v>
      </c>
      <c r="L45" s="3">
        <v>19362100</v>
      </c>
      <c r="M45" s="3">
        <v>0</v>
      </c>
      <c r="N45" s="3">
        <v>239663424</v>
      </c>
    </row>
    <row r="46" spans="1:15" x14ac:dyDescent="0.15">
      <c r="A46" s="1">
        <v>2014</v>
      </c>
      <c r="B46" s="3">
        <v>83154225</v>
      </c>
      <c r="C46" s="3">
        <v>0</v>
      </c>
      <c r="D46" s="3">
        <v>0</v>
      </c>
      <c r="E46" s="3">
        <v>76733376</v>
      </c>
      <c r="F46" s="3">
        <v>2348504</v>
      </c>
      <c r="G46" s="3">
        <v>0</v>
      </c>
      <c r="H46" s="3">
        <v>71654132</v>
      </c>
      <c r="I46" s="3">
        <v>18595562</v>
      </c>
      <c r="J46" s="3">
        <v>0</v>
      </c>
      <c r="K46" s="3">
        <v>231541733</v>
      </c>
      <c r="L46" s="3">
        <v>20944066</v>
      </c>
      <c r="M46" s="3">
        <v>0</v>
      </c>
      <c r="N46" s="3">
        <v>252485799</v>
      </c>
    </row>
    <row r="47" spans="1:15" x14ac:dyDescent="0.15">
      <c r="A47" s="1">
        <v>2015</v>
      </c>
      <c r="B47" s="3">
        <v>84844975</v>
      </c>
      <c r="C47" s="3">
        <v>0</v>
      </c>
      <c r="D47" s="3">
        <v>0</v>
      </c>
      <c r="E47" s="3">
        <v>201234024</v>
      </c>
      <c r="F47" s="3">
        <v>56348221</v>
      </c>
      <c r="G47" s="3">
        <v>0</v>
      </c>
      <c r="H47" s="3">
        <v>70724728</v>
      </c>
      <c r="I47" s="3">
        <v>14433654</v>
      </c>
      <c r="J47" s="3">
        <v>0</v>
      </c>
      <c r="K47" s="3">
        <v>356803727</v>
      </c>
      <c r="L47" s="3">
        <v>70781875</v>
      </c>
      <c r="M47" s="3">
        <v>0</v>
      </c>
      <c r="N47" s="3">
        <v>427585602</v>
      </c>
      <c r="O47" s="1" t="s">
        <v>333</v>
      </c>
    </row>
    <row r="48" spans="1:15" x14ac:dyDescent="0.15">
      <c r="A48" s="1">
        <v>2016</v>
      </c>
      <c r="B48" s="3">
        <v>87900752</v>
      </c>
      <c r="C48" s="3">
        <v>0</v>
      </c>
      <c r="D48" s="3">
        <v>0</v>
      </c>
      <c r="E48" s="3">
        <v>219996380</v>
      </c>
      <c r="F48" s="3">
        <v>57290125</v>
      </c>
      <c r="G48" s="3">
        <v>0</v>
      </c>
      <c r="H48" s="3">
        <v>71499667</v>
      </c>
      <c r="I48" s="3">
        <v>19066608</v>
      </c>
      <c r="J48" s="3">
        <v>0</v>
      </c>
      <c r="K48" s="3">
        <v>379396799</v>
      </c>
      <c r="L48" s="3">
        <v>76356733</v>
      </c>
      <c r="M48" s="3">
        <v>0</v>
      </c>
      <c r="N48" s="3">
        <v>455753532</v>
      </c>
    </row>
  </sheetData>
  <phoneticPr fontId="0" type="noConversion"/>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75" style="1" customWidth="1"/>
    <col min="3" max="10" width="10.625" style="1"/>
    <col min="11" max="11" width="12" style="1" customWidth="1"/>
    <col min="12" max="13" width="10.625" style="1"/>
    <col min="14" max="14" width="12.5" style="1" customWidth="1"/>
    <col min="15" max="16384" width="10.625" style="1"/>
  </cols>
  <sheetData>
    <row r="1" spans="1:15" x14ac:dyDescent="0.15">
      <c r="A1" s="1" t="s">
        <v>80</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1400000</v>
      </c>
      <c r="C6" s="3">
        <v>0</v>
      </c>
      <c r="D6" s="3">
        <v>0</v>
      </c>
      <c r="E6" s="3">
        <v>0</v>
      </c>
      <c r="F6" s="3">
        <v>0</v>
      </c>
      <c r="G6" s="3">
        <v>0</v>
      </c>
      <c r="H6" s="3">
        <v>0</v>
      </c>
      <c r="I6" s="3">
        <v>0</v>
      </c>
      <c r="J6" s="3">
        <v>0</v>
      </c>
      <c r="K6" s="3">
        <f t="shared" ref="K6:M21" si="0">+B6+E6+H6</f>
        <v>1400000</v>
      </c>
      <c r="L6" s="3">
        <f t="shared" si="0"/>
        <v>0</v>
      </c>
      <c r="M6" s="3">
        <f t="shared" si="0"/>
        <v>0</v>
      </c>
      <c r="N6" s="3">
        <f t="shared" ref="N6:N35" si="1">+M6+L6+K6</f>
        <v>1400000</v>
      </c>
      <c r="O6" s="1" t="s">
        <v>64</v>
      </c>
    </row>
    <row r="7" spans="1:15" x14ac:dyDescent="0.15">
      <c r="A7" s="1">
        <v>1975</v>
      </c>
      <c r="B7" s="3">
        <v>3196000</v>
      </c>
      <c r="C7" s="3">
        <v>0</v>
      </c>
      <c r="D7" s="3">
        <v>0</v>
      </c>
      <c r="E7" s="3">
        <v>0</v>
      </c>
      <c r="F7" s="3">
        <v>0</v>
      </c>
      <c r="G7" s="3">
        <v>0</v>
      </c>
      <c r="H7" s="3">
        <v>0</v>
      </c>
      <c r="I7" s="3">
        <v>0</v>
      </c>
      <c r="J7" s="3">
        <v>0</v>
      </c>
      <c r="K7" s="3">
        <f t="shared" si="0"/>
        <v>3196000</v>
      </c>
      <c r="L7" s="3">
        <f t="shared" si="0"/>
        <v>0</v>
      </c>
      <c r="M7" s="3">
        <f t="shared" si="0"/>
        <v>0</v>
      </c>
      <c r="N7" s="3">
        <f t="shared" si="1"/>
        <v>3196000</v>
      </c>
    </row>
    <row r="8" spans="1:15" x14ac:dyDescent="0.15">
      <c r="A8" s="1">
        <v>1976</v>
      </c>
      <c r="B8" s="3">
        <v>3884000</v>
      </c>
      <c r="C8" s="3">
        <v>0</v>
      </c>
      <c r="D8" s="3">
        <v>0</v>
      </c>
      <c r="E8" s="3">
        <v>0</v>
      </c>
      <c r="F8" s="3">
        <v>0</v>
      </c>
      <c r="G8" s="3">
        <v>0</v>
      </c>
      <c r="H8" s="3">
        <v>0</v>
      </c>
      <c r="I8" s="3">
        <v>0</v>
      </c>
      <c r="J8" s="3">
        <v>0</v>
      </c>
      <c r="K8" s="3">
        <f t="shared" si="0"/>
        <v>3884000</v>
      </c>
      <c r="L8" s="3">
        <f t="shared" si="0"/>
        <v>0</v>
      </c>
      <c r="M8" s="3">
        <f t="shared" si="0"/>
        <v>0</v>
      </c>
      <c r="N8" s="3">
        <f t="shared" si="1"/>
        <v>3884000</v>
      </c>
    </row>
    <row r="9" spans="1:15" x14ac:dyDescent="0.15">
      <c r="A9" s="1">
        <v>1977</v>
      </c>
      <c r="B9" s="3">
        <v>2975000</v>
      </c>
      <c r="C9" s="3">
        <v>0</v>
      </c>
      <c r="D9" s="3">
        <v>0</v>
      </c>
      <c r="E9" s="3">
        <v>0</v>
      </c>
      <c r="F9" s="3">
        <v>0</v>
      </c>
      <c r="G9" s="3">
        <v>0</v>
      </c>
      <c r="H9" s="3">
        <v>0</v>
      </c>
      <c r="I9" s="3">
        <v>0</v>
      </c>
      <c r="J9" s="3">
        <v>0</v>
      </c>
      <c r="K9" s="3">
        <f t="shared" si="0"/>
        <v>2975000</v>
      </c>
      <c r="L9" s="3">
        <f t="shared" si="0"/>
        <v>0</v>
      </c>
      <c r="M9" s="3">
        <f t="shared" si="0"/>
        <v>0</v>
      </c>
      <c r="N9" s="3">
        <f t="shared" si="1"/>
        <v>2975000</v>
      </c>
    </row>
    <row r="10" spans="1:15" x14ac:dyDescent="0.15">
      <c r="A10" s="1">
        <v>1978</v>
      </c>
      <c r="B10" s="3">
        <v>4292000</v>
      </c>
      <c r="C10" s="3">
        <v>0</v>
      </c>
      <c r="D10" s="3">
        <v>0</v>
      </c>
      <c r="E10" s="3">
        <v>0</v>
      </c>
      <c r="F10" s="3">
        <v>0</v>
      </c>
      <c r="G10" s="3">
        <v>0</v>
      </c>
      <c r="H10" s="3">
        <v>0</v>
      </c>
      <c r="I10" s="3">
        <v>0</v>
      </c>
      <c r="J10" s="3">
        <v>0</v>
      </c>
      <c r="K10" s="3">
        <f t="shared" si="0"/>
        <v>4292000</v>
      </c>
      <c r="L10" s="3">
        <f t="shared" si="0"/>
        <v>0</v>
      </c>
      <c r="M10" s="3">
        <f t="shared" si="0"/>
        <v>0</v>
      </c>
      <c r="N10" s="3">
        <f t="shared" si="1"/>
        <v>4292000</v>
      </c>
    </row>
    <row r="11" spans="1:15" x14ac:dyDescent="0.15">
      <c r="A11" s="1">
        <v>1979</v>
      </c>
      <c r="B11" s="3">
        <v>4046000</v>
      </c>
      <c r="C11" s="3">
        <v>0</v>
      </c>
      <c r="D11" s="3">
        <v>0</v>
      </c>
      <c r="E11" s="3">
        <v>0</v>
      </c>
      <c r="F11" s="3">
        <v>0</v>
      </c>
      <c r="G11" s="3">
        <v>0</v>
      </c>
      <c r="H11" s="3">
        <v>0</v>
      </c>
      <c r="I11" s="3">
        <v>0</v>
      </c>
      <c r="J11" s="3">
        <v>0</v>
      </c>
      <c r="K11" s="3">
        <f t="shared" si="0"/>
        <v>4046000</v>
      </c>
      <c r="L11" s="3">
        <f t="shared" si="0"/>
        <v>0</v>
      </c>
      <c r="M11" s="3">
        <f t="shared" si="0"/>
        <v>0</v>
      </c>
      <c r="N11" s="3">
        <f t="shared" si="1"/>
        <v>4046000</v>
      </c>
    </row>
    <row r="12" spans="1:15" x14ac:dyDescent="0.15">
      <c r="A12" s="1">
        <v>1980</v>
      </c>
      <c r="B12" s="3">
        <v>4501000</v>
      </c>
      <c r="C12" s="3">
        <v>0</v>
      </c>
      <c r="D12" s="3">
        <v>0</v>
      </c>
      <c r="E12" s="3">
        <v>0</v>
      </c>
      <c r="F12" s="3">
        <v>0</v>
      </c>
      <c r="G12" s="3">
        <v>0</v>
      </c>
      <c r="H12" s="3">
        <v>0</v>
      </c>
      <c r="I12" s="3">
        <v>0</v>
      </c>
      <c r="J12" s="3">
        <v>0</v>
      </c>
      <c r="K12" s="3">
        <f t="shared" si="0"/>
        <v>4501000</v>
      </c>
      <c r="L12" s="3">
        <f t="shared" si="0"/>
        <v>0</v>
      </c>
      <c r="M12" s="3">
        <f t="shared" si="0"/>
        <v>0</v>
      </c>
      <c r="N12" s="3">
        <f t="shared" si="1"/>
        <v>4501000</v>
      </c>
    </row>
    <row r="13" spans="1:15" x14ac:dyDescent="0.15">
      <c r="A13" s="1">
        <v>1981</v>
      </c>
      <c r="B13" s="3">
        <v>4677000</v>
      </c>
      <c r="C13" s="3">
        <v>0</v>
      </c>
      <c r="D13" s="3">
        <v>0</v>
      </c>
      <c r="E13" s="3">
        <v>0</v>
      </c>
      <c r="F13" s="3">
        <v>0</v>
      </c>
      <c r="G13" s="3">
        <v>0</v>
      </c>
      <c r="H13" s="3">
        <v>0</v>
      </c>
      <c r="I13" s="3">
        <v>0</v>
      </c>
      <c r="J13" s="3">
        <v>0</v>
      </c>
      <c r="K13" s="3">
        <f t="shared" si="0"/>
        <v>4677000</v>
      </c>
      <c r="L13" s="3">
        <f t="shared" si="0"/>
        <v>0</v>
      </c>
      <c r="M13" s="3">
        <f t="shared" si="0"/>
        <v>0</v>
      </c>
      <c r="N13" s="3">
        <f t="shared" si="1"/>
        <v>4677000</v>
      </c>
    </row>
    <row r="14" spans="1:15" x14ac:dyDescent="0.15">
      <c r="A14" s="1">
        <v>1982</v>
      </c>
      <c r="B14" s="3">
        <v>5301000</v>
      </c>
      <c r="C14" s="3">
        <v>0</v>
      </c>
      <c r="D14" s="3">
        <v>0</v>
      </c>
      <c r="E14" s="3">
        <v>3000</v>
      </c>
      <c r="F14" s="3">
        <v>0</v>
      </c>
      <c r="G14" s="3">
        <v>0</v>
      </c>
      <c r="H14" s="3">
        <v>0</v>
      </c>
      <c r="I14" s="3">
        <v>0</v>
      </c>
      <c r="J14" s="3">
        <v>0</v>
      </c>
      <c r="K14" s="3">
        <f t="shared" si="0"/>
        <v>5304000</v>
      </c>
      <c r="L14" s="3">
        <f t="shared" si="0"/>
        <v>0</v>
      </c>
      <c r="M14" s="3">
        <f t="shared" si="0"/>
        <v>0</v>
      </c>
      <c r="N14" s="3">
        <f t="shared" si="1"/>
        <v>5304000</v>
      </c>
    </row>
    <row r="15" spans="1:15" x14ac:dyDescent="0.15">
      <c r="A15" s="1">
        <v>1983</v>
      </c>
      <c r="B15" s="3">
        <v>6423000</v>
      </c>
      <c r="C15" s="3">
        <v>0</v>
      </c>
      <c r="D15" s="3">
        <v>0</v>
      </c>
      <c r="E15" s="3">
        <v>2000</v>
      </c>
      <c r="F15" s="3">
        <v>0</v>
      </c>
      <c r="G15" s="3">
        <v>0</v>
      </c>
      <c r="H15" s="3">
        <v>0</v>
      </c>
      <c r="I15" s="3">
        <v>0</v>
      </c>
      <c r="J15" s="3">
        <v>0</v>
      </c>
      <c r="K15" s="3">
        <f t="shared" si="0"/>
        <v>6425000</v>
      </c>
      <c r="L15" s="3">
        <f t="shared" si="0"/>
        <v>0</v>
      </c>
      <c r="M15" s="3">
        <f t="shared" si="0"/>
        <v>0</v>
      </c>
      <c r="N15" s="3">
        <f t="shared" si="1"/>
        <v>6425000</v>
      </c>
    </row>
    <row r="16" spans="1:15" x14ac:dyDescent="0.15">
      <c r="A16" s="1">
        <v>1984</v>
      </c>
      <c r="B16" s="3">
        <v>7396000</v>
      </c>
      <c r="C16" s="3">
        <v>0</v>
      </c>
      <c r="D16" s="3">
        <v>0</v>
      </c>
      <c r="E16" s="3">
        <v>2000</v>
      </c>
      <c r="F16" s="3">
        <v>0</v>
      </c>
      <c r="G16" s="3">
        <v>0</v>
      </c>
      <c r="H16" s="3">
        <v>31000</v>
      </c>
      <c r="I16" s="3">
        <v>0</v>
      </c>
      <c r="J16" s="3">
        <v>0</v>
      </c>
      <c r="K16" s="3">
        <f t="shared" si="0"/>
        <v>7429000</v>
      </c>
      <c r="L16" s="3">
        <f t="shared" si="0"/>
        <v>0</v>
      </c>
      <c r="M16" s="3">
        <f t="shared" si="0"/>
        <v>0</v>
      </c>
      <c r="N16" s="3">
        <f t="shared" si="1"/>
        <v>7429000</v>
      </c>
    </row>
    <row r="17" spans="1:15" x14ac:dyDescent="0.15">
      <c r="A17" s="1">
        <v>1985</v>
      </c>
      <c r="B17" s="3">
        <v>7094000</v>
      </c>
      <c r="C17" s="3">
        <v>0</v>
      </c>
      <c r="D17" s="3">
        <v>0</v>
      </c>
      <c r="E17" s="3">
        <v>1000</v>
      </c>
      <c r="F17" s="3">
        <v>0</v>
      </c>
      <c r="G17" s="3">
        <v>0</v>
      </c>
      <c r="H17" s="3">
        <v>28000</v>
      </c>
      <c r="I17" s="3">
        <v>0</v>
      </c>
      <c r="J17" s="3">
        <v>0</v>
      </c>
      <c r="K17" s="3">
        <f t="shared" si="0"/>
        <v>7123000</v>
      </c>
      <c r="L17" s="3">
        <f t="shared" si="0"/>
        <v>0</v>
      </c>
      <c r="M17" s="3">
        <f t="shared" si="0"/>
        <v>0</v>
      </c>
      <c r="N17" s="3">
        <f t="shared" si="1"/>
        <v>7123000</v>
      </c>
    </row>
    <row r="18" spans="1:15" x14ac:dyDescent="0.15">
      <c r="A18" s="1">
        <v>1986</v>
      </c>
      <c r="B18" s="3">
        <v>9762000</v>
      </c>
      <c r="C18" s="3">
        <v>0</v>
      </c>
      <c r="D18" s="3">
        <v>0</v>
      </c>
      <c r="E18" s="3">
        <v>2000</v>
      </c>
      <c r="F18" s="3">
        <v>0</v>
      </c>
      <c r="G18" s="3">
        <v>0</v>
      </c>
      <c r="H18" s="3">
        <v>28000</v>
      </c>
      <c r="I18" s="3">
        <v>0</v>
      </c>
      <c r="J18" s="3">
        <v>0</v>
      </c>
      <c r="K18" s="3">
        <f t="shared" si="0"/>
        <v>9792000</v>
      </c>
      <c r="L18" s="3">
        <f t="shared" si="0"/>
        <v>0</v>
      </c>
      <c r="M18" s="3">
        <f t="shared" si="0"/>
        <v>0</v>
      </c>
      <c r="N18" s="3">
        <f t="shared" si="1"/>
        <v>9792000</v>
      </c>
    </row>
    <row r="19" spans="1:15" x14ac:dyDescent="0.15">
      <c r="A19" s="1">
        <v>1987</v>
      </c>
      <c r="B19" s="3">
        <v>10489000</v>
      </c>
      <c r="C19" s="3">
        <v>0</v>
      </c>
      <c r="D19" s="3">
        <v>0</v>
      </c>
      <c r="E19" s="3">
        <v>2000</v>
      </c>
      <c r="F19" s="3">
        <v>0</v>
      </c>
      <c r="G19" s="3">
        <v>0</v>
      </c>
      <c r="H19" s="3">
        <v>28000</v>
      </c>
      <c r="I19" s="3">
        <v>0</v>
      </c>
      <c r="J19" s="3">
        <v>0</v>
      </c>
      <c r="K19" s="3">
        <f t="shared" si="0"/>
        <v>10519000</v>
      </c>
      <c r="L19" s="3">
        <f t="shared" si="0"/>
        <v>0</v>
      </c>
      <c r="M19" s="3">
        <f t="shared" si="0"/>
        <v>0</v>
      </c>
      <c r="N19" s="3">
        <f t="shared" si="1"/>
        <v>10519000</v>
      </c>
    </row>
    <row r="20" spans="1:15" x14ac:dyDescent="0.15">
      <c r="A20" s="1">
        <v>1988</v>
      </c>
      <c r="B20" s="3">
        <v>12973000</v>
      </c>
      <c r="C20" s="3">
        <v>0</v>
      </c>
      <c r="D20" s="3">
        <v>0</v>
      </c>
      <c r="E20" s="3">
        <v>2000</v>
      </c>
      <c r="F20" s="3">
        <v>0</v>
      </c>
      <c r="G20" s="3">
        <v>0</v>
      </c>
      <c r="H20" s="3">
        <v>0</v>
      </c>
      <c r="I20" s="3">
        <v>0</v>
      </c>
      <c r="J20" s="3">
        <v>0</v>
      </c>
      <c r="K20" s="3">
        <f t="shared" si="0"/>
        <v>12975000</v>
      </c>
      <c r="L20" s="3">
        <f t="shared" si="0"/>
        <v>0</v>
      </c>
      <c r="M20" s="3">
        <f t="shared" si="0"/>
        <v>0</v>
      </c>
      <c r="N20" s="3">
        <f t="shared" si="1"/>
        <v>12975000</v>
      </c>
    </row>
    <row r="21" spans="1:15" x14ac:dyDescent="0.15">
      <c r="A21" s="1">
        <v>1989</v>
      </c>
      <c r="B21" s="3">
        <v>12900000</v>
      </c>
      <c r="C21" s="3">
        <v>0</v>
      </c>
      <c r="D21" s="3">
        <v>0</v>
      </c>
      <c r="E21" s="3">
        <v>1000</v>
      </c>
      <c r="F21" s="3">
        <v>1000</v>
      </c>
      <c r="G21" s="3">
        <v>0</v>
      </c>
      <c r="H21" s="3">
        <v>0</v>
      </c>
      <c r="I21" s="3">
        <v>0</v>
      </c>
      <c r="J21" s="3">
        <v>0</v>
      </c>
      <c r="K21" s="3">
        <f t="shared" si="0"/>
        <v>12901000</v>
      </c>
      <c r="L21" s="3">
        <f t="shared" si="0"/>
        <v>1000</v>
      </c>
      <c r="M21" s="3">
        <f t="shared" si="0"/>
        <v>0</v>
      </c>
      <c r="N21" s="3">
        <f t="shared" si="1"/>
        <v>12902000</v>
      </c>
    </row>
    <row r="22" spans="1:15" x14ac:dyDescent="0.15">
      <c r="A22" s="1">
        <v>1990</v>
      </c>
      <c r="B22" s="3">
        <v>13623000</v>
      </c>
      <c r="C22" s="3">
        <v>0</v>
      </c>
      <c r="D22" s="3">
        <v>0</v>
      </c>
      <c r="E22" s="3">
        <v>1000</v>
      </c>
      <c r="F22" s="3">
        <v>1000</v>
      </c>
      <c r="G22" s="3">
        <v>0</v>
      </c>
      <c r="H22" s="3">
        <v>0</v>
      </c>
      <c r="I22" s="3">
        <v>0</v>
      </c>
      <c r="J22" s="3">
        <v>0</v>
      </c>
      <c r="K22" s="3">
        <f t="shared" ref="K22:M35" si="2">+B22+E22+H22</f>
        <v>13624000</v>
      </c>
      <c r="L22" s="3">
        <f t="shared" si="2"/>
        <v>1000</v>
      </c>
      <c r="M22" s="3">
        <f t="shared" si="2"/>
        <v>0</v>
      </c>
      <c r="N22" s="3">
        <f t="shared" si="1"/>
        <v>13625000</v>
      </c>
    </row>
    <row r="23" spans="1:15" x14ac:dyDescent="0.15">
      <c r="A23" s="1">
        <v>1991</v>
      </c>
      <c r="B23" s="3">
        <v>20673000</v>
      </c>
      <c r="C23" s="3">
        <v>0</v>
      </c>
      <c r="D23" s="3">
        <v>0</v>
      </c>
      <c r="E23" s="3">
        <f>1000+471000</f>
        <v>472000</v>
      </c>
      <c r="F23" s="3">
        <v>1000</v>
      </c>
      <c r="G23" s="3">
        <v>0</v>
      </c>
      <c r="H23" s="3">
        <v>32000</v>
      </c>
      <c r="I23" s="3">
        <v>0</v>
      </c>
      <c r="J23" s="3">
        <v>0</v>
      </c>
      <c r="K23" s="3">
        <f t="shared" si="2"/>
        <v>21177000</v>
      </c>
      <c r="L23" s="3">
        <f t="shared" si="2"/>
        <v>1000</v>
      </c>
      <c r="M23" s="3">
        <f t="shared" si="2"/>
        <v>0</v>
      </c>
      <c r="N23" s="3">
        <f t="shared" si="1"/>
        <v>21178000</v>
      </c>
    </row>
    <row r="24" spans="1:15" x14ac:dyDescent="0.15">
      <c r="A24" s="1">
        <v>1992</v>
      </c>
      <c r="B24" s="3">
        <v>22481000</v>
      </c>
      <c r="C24" s="3">
        <v>0</v>
      </c>
      <c r="D24" s="3">
        <v>0</v>
      </c>
      <c r="E24" s="3">
        <f>1000+1001000</f>
        <v>1002000</v>
      </c>
      <c r="F24" s="3">
        <v>0</v>
      </c>
      <c r="G24" s="3">
        <v>0</v>
      </c>
      <c r="H24" s="3">
        <v>0</v>
      </c>
      <c r="I24" s="3">
        <v>0</v>
      </c>
      <c r="J24" s="3">
        <v>0</v>
      </c>
      <c r="K24" s="3">
        <f t="shared" si="2"/>
        <v>23483000</v>
      </c>
      <c r="L24" s="3">
        <f t="shared" si="2"/>
        <v>0</v>
      </c>
      <c r="M24" s="3">
        <f t="shared" si="2"/>
        <v>0</v>
      </c>
      <c r="N24" s="3">
        <f t="shared" si="1"/>
        <v>23483000</v>
      </c>
    </row>
    <row r="25" spans="1:15" x14ac:dyDescent="0.15">
      <c r="A25" s="1">
        <v>1993</v>
      </c>
      <c r="B25" s="3">
        <v>22516000</v>
      </c>
      <c r="C25" s="3">
        <v>0</v>
      </c>
      <c r="D25" s="3">
        <v>0</v>
      </c>
      <c r="E25" s="3">
        <f>2000+1053000</f>
        <v>1055000</v>
      </c>
      <c r="F25" s="3">
        <v>0</v>
      </c>
      <c r="G25" s="3">
        <v>0</v>
      </c>
      <c r="H25" s="3">
        <v>0</v>
      </c>
      <c r="I25" s="3">
        <v>0</v>
      </c>
      <c r="J25" s="3">
        <v>0</v>
      </c>
      <c r="K25" s="3">
        <f t="shared" si="2"/>
        <v>23571000</v>
      </c>
      <c r="L25" s="3">
        <f t="shared" si="2"/>
        <v>0</v>
      </c>
      <c r="M25" s="3">
        <f t="shared" si="2"/>
        <v>0</v>
      </c>
      <c r="N25" s="3">
        <f t="shared" si="1"/>
        <v>23571000</v>
      </c>
    </row>
    <row r="26" spans="1:15" x14ac:dyDescent="0.15">
      <c r="A26" s="1">
        <v>1994</v>
      </c>
      <c r="B26" s="3">
        <v>45950000</v>
      </c>
      <c r="C26" s="3">
        <v>0</v>
      </c>
      <c r="D26" s="3">
        <v>0</v>
      </c>
      <c r="E26" s="3">
        <f>2000+665000</f>
        <v>667000</v>
      </c>
      <c r="F26" s="3">
        <v>3000</v>
      </c>
      <c r="G26" s="3">
        <v>0</v>
      </c>
      <c r="H26" s="3">
        <v>0</v>
      </c>
      <c r="I26" s="3">
        <v>0</v>
      </c>
      <c r="J26" s="3">
        <v>0</v>
      </c>
      <c r="K26" s="3">
        <f t="shared" si="2"/>
        <v>46617000</v>
      </c>
      <c r="L26" s="3">
        <f t="shared" si="2"/>
        <v>3000</v>
      </c>
      <c r="M26" s="3">
        <f t="shared" si="2"/>
        <v>0</v>
      </c>
      <c r="N26" s="3">
        <f t="shared" si="1"/>
        <v>46620000</v>
      </c>
      <c r="O26" s="1" t="s">
        <v>197</v>
      </c>
    </row>
    <row r="27" spans="1:15" x14ac:dyDescent="0.15">
      <c r="A27" s="1">
        <v>1995</v>
      </c>
      <c r="B27" s="3">
        <v>52943501</v>
      </c>
      <c r="C27" s="3">
        <v>0</v>
      </c>
      <c r="D27" s="3">
        <v>0</v>
      </c>
      <c r="E27" s="3">
        <f>53369000-B27</f>
        <v>425499</v>
      </c>
      <c r="F27" s="3">
        <v>5000</v>
      </c>
      <c r="G27" s="3">
        <v>0</v>
      </c>
      <c r="H27" s="3">
        <v>841000</v>
      </c>
      <c r="I27" s="3">
        <v>0</v>
      </c>
      <c r="J27" s="3">
        <v>0</v>
      </c>
      <c r="K27" s="3">
        <f t="shared" si="2"/>
        <v>54210000</v>
      </c>
      <c r="L27" s="3">
        <f t="shared" si="2"/>
        <v>5000</v>
      </c>
      <c r="M27" s="3">
        <f t="shared" si="2"/>
        <v>0</v>
      </c>
      <c r="N27" s="3">
        <f t="shared" si="1"/>
        <v>54215000</v>
      </c>
    </row>
    <row r="28" spans="1:15" x14ac:dyDescent="0.15">
      <c r="A28" s="1">
        <v>1996</v>
      </c>
      <c r="B28" s="3">
        <v>56050418</v>
      </c>
      <c r="C28" s="3">
        <v>0</v>
      </c>
      <c r="D28" s="3">
        <v>0</v>
      </c>
      <c r="E28" s="3">
        <f>515734+18326</f>
        <v>534060</v>
      </c>
      <c r="F28" s="3">
        <v>11000</v>
      </c>
      <c r="G28" s="3">
        <v>0</v>
      </c>
      <c r="H28" s="3">
        <v>1293000</v>
      </c>
      <c r="I28" s="3">
        <v>0</v>
      </c>
      <c r="J28" s="3">
        <v>0</v>
      </c>
      <c r="K28" s="3">
        <f t="shared" si="2"/>
        <v>57877478</v>
      </c>
      <c r="L28" s="3">
        <f t="shared" si="2"/>
        <v>11000</v>
      </c>
      <c r="M28" s="3">
        <f t="shared" si="2"/>
        <v>0</v>
      </c>
      <c r="N28" s="3">
        <f t="shared" si="1"/>
        <v>57888478</v>
      </c>
    </row>
    <row r="29" spans="1:15" x14ac:dyDescent="0.15">
      <c r="A29" s="1">
        <v>1997</v>
      </c>
      <c r="B29" s="3">
        <v>57083859</v>
      </c>
      <c r="C29" s="3">
        <v>0</v>
      </c>
      <c r="D29" s="3">
        <v>0</v>
      </c>
      <c r="E29" s="3">
        <f>58149000-B29</f>
        <v>1065141</v>
      </c>
      <c r="F29" s="3">
        <v>14000</v>
      </c>
      <c r="G29" s="3">
        <v>0</v>
      </c>
      <c r="H29" s="3">
        <v>1482000</v>
      </c>
      <c r="I29" s="3">
        <v>0</v>
      </c>
      <c r="J29" s="3">
        <v>0</v>
      </c>
      <c r="K29" s="3">
        <f t="shared" si="2"/>
        <v>59631000</v>
      </c>
      <c r="L29" s="3">
        <f t="shared" si="2"/>
        <v>14000</v>
      </c>
      <c r="M29" s="3">
        <f t="shared" si="2"/>
        <v>0</v>
      </c>
      <c r="N29" s="3">
        <f t="shared" si="1"/>
        <v>59645000</v>
      </c>
    </row>
    <row r="30" spans="1:15" x14ac:dyDescent="0.15">
      <c r="A30" s="1">
        <v>1998</v>
      </c>
      <c r="B30" s="3">
        <f>57479994+5285517+85890</f>
        <v>62851401</v>
      </c>
      <c r="C30" s="3">
        <v>0</v>
      </c>
      <c r="D30" s="3">
        <v>0</v>
      </c>
      <c r="E30" s="3">
        <f>69427000-B30</f>
        <v>6575599</v>
      </c>
      <c r="F30" s="3">
        <v>11000</v>
      </c>
      <c r="G30" s="3">
        <v>0</v>
      </c>
      <c r="H30" s="3">
        <v>1506000</v>
      </c>
      <c r="I30" s="3">
        <v>0</v>
      </c>
      <c r="J30" s="3">
        <v>0</v>
      </c>
      <c r="K30" s="3">
        <f t="shared" si="2"/>
        <v>70933000</v>
      </c>
      <c r="L30" s="3">
        <f t="shared" si="2"/>
        <v>11000</v>
      </c>
      <c r="M30" s="3">
        <f t="shared" si="2"/>
        <v>0</v>
      </c>
      <c r="N30" s="3">
        <f t="shared" si="1"/>
        <v>70944000</v>
      </c>
    </row>
    <row r="31" spans="1:15" x14ac:dyDescent="0.15">
      <c r="A31" s="1">
        <v>1999</v>
      </c>
      <c r="B31" s="3">
        <v>71487461</v>
      </c>
      <c r="C31" s="3">
        <v>0</v>
      </c>
      <c r="D31" s="3">
        <v>0</v>
      </c>
      <c r="E31" s="3">
        <f>74159000-B31</f>
        <v>2671539</v>
      </c>
      <c r="F31" s="3">
        <v>14000</v>
      </c>
      <c r="G31" s="3">
        <v>0</v>
      </c>
      <c r="H31" s="3">
        <v>1533000</v>
      </c>
      <c r="I31" s="3">
        <v>0</v>
      </c>
      <c r="J31" s="3">
        <v>0</v>
      </c>
      <c r="K31" s="3">
        <f t="shared" si="2"/>
        <v>75692000</v>
      </c>
      <c r="L31" s="3">
        <f t="shared" si="2"/>
        <v>14000</v>
      </c>
      <c r="M31" s="3">
        <f t="shared" si="2"/>
        <v>0</v>
      </c>
      <c r="N31" s="3">
        <f t="shared" si="1"/>
        <v>75706000</v>
      </c>
    </row>
    <row r="32" spans="1:15" x14ac:dyDescent="0.15">
      <c r="A32" s="1">
        <v>2000</v>
      </c>
      <c r="B32" s="3">
        <v>74030274</v>
      </c>
      <c r="C32" s="3">
        <v>0</v>
      </c>
      <c r="D32" s="3">
        <v>0</v>
      </c>
      <c r="E32" s="3">
        <f>2543494+14833</f>
        <v>2558327</v>
      </c>
      <c r="F32" s="3">
        <v>7000</v>
      </c>
      <c r="G32" s="3">
        <v>0</v>
      </c>
      <c r="H32" s="3">
        <v>4076000</v>
      </c>
      <c r="I32" s="3">
        <v>0</v>
      </c>
      <c r="J32" s="3">
        <v>0</v>
      </c>
      <c r="K32" s="3">
        <f t="shared" si="2"/>
        <v>80664601</v>
      </c>
      <c r="L32" s="3">
        <f t="shared" si="2"/>
        <v>7000</v>
      </c>
      <c r="M32" s="3">
        <f t="shared" si="2"/>
        <v>0</v>
      </c>
      <c r="N32" s="3">
        <f t="shared" si="1"/>
        <v>80671601</v>
      </c>
    </row>
    <row r="33" spans="1:15" x14ac:dyDescent="0.15">
      <c r="A33" s="1">
        <v>2001</v>
      </c>
      <c r="B33" s="3">
        <f>74719946+11953109</f>
        <v>86673055</v>
      </c>
      <c r="C33" s="3">
        <v>0</v>
      </c>
      <c r="D33" s="3">
        <v>0</v>
      </c>
      <c r="E33" s="3">
        <f>90651000-B33</f>
        <v>3977945</v>
      </c>
      <c r="F33" s="3">
        <v>13000</v>
      </c>
      <c r="G33" s="3">
        <v>0</v>
      </c>
      <c r="H33" s="3">
        <v>7882000</v>
      </c>
      <c r="I33" s="3">
        <v>0</v>
      </c>
      <c r="J33" s="3">
        <v>0</v>
      </c>
      <c r="K33" s="3">
        <f t="shared" si="2"/>
        <v>98533000</v>
      </c>
      <c r="L33" s="3">
        <f t="shared" si="2"/>
        <v>13000</v>
      </c>
      <c r="M33" s="3">
        <f t="shared" si="2"/>
        <v>0</v>
      </c>
      <c r="N33" s="3">
        <f t="shared" si="1"/>
        <v>98546000</v>
      </c>
    </row>
    <row r="34" spans="1:15" x14ac:dyDescent="0.15">
      <c r="A34" s="1">
        <v>2002</v>
      </c>
      <c r="B34" s="3">
        <v>90205889</v>
      </c>
      <c r="C34" s="3">
        <v>0</v>
      </c>
      <c r="D34" s="3">
        <v>0</v>
      </c>
      <c r="E34" s="3">
        <f>101247000-B34</f>
        <v>11041111</v>
      </c>
      <c r="F34" s="3">
        <v>11000</v>
      </c>
      <c r="G34" s="3">
        <v>0</v>
      </c>
      <c r="H34" s="3">
        <v>1211000</v>
      </c>
      <c r="I34" s="3">
        <v>0</v>
      </c>
      <c r="J34" s="3">
        <v>0</v>
      </c>
      <c r="K34" s="3">
        <f t="shared" si="2"/>
        <v>102458000</v>
      </c>
      <c r="L34" s="3">
        <f t="shared" si="2"/>
        <v>11000</v>
      </c>
      <c r="M34" s="3">
        <f t="shared" si="2"/>
        <v>0</v>
      </c>
      <c r="N34" s="3">
        <f t="shared" si="1"/>
        <v>102469000</v>
      </c>
    </row>
    <row r="35" spans="1:15" x14ac:dyDescent="0.15">
      <c r="A35" s="1">
        <v>2003</v>
      </c>
      <c r="B35" s="3">
        <v>104733978</v>
      </c>
      <c r="C35" s="3">
        <v>0</v>
      </c>
      <c r="D35" s="3">
        <v>0</v>
      </c>
      <c r="E35" s="3">
        <v>8611221</v>
      </c>
      <c r="F35" s="3">
        <v>12250</v>
      </c>
      <c r="G35" s="3">
        <v>7800000</v>
      </c>
      <c r="H35" s="3">
        <v>1366795</v>
      </c>
      <c r="I35" s="3">
        <v>0</v>
      </c>
      <c r="J35" s="3">
        <v>577879</v>
      </c>
      <c r="K35" s="3">
        <f t="shared" si="2"/>
        <v>114711994</v>
      </c>
      <c r="L35" s="3">
        <f t="shared" si="2"/>
        <v>12250</v>
      </c>
      <c r="M35" s="3">
        <f t="shared" si="2"/>
        <v>8377879</v>
      </c>
      <c r="N35" s="3">
        <f t="shared" si="1"/>
        <v>123102123</v>
      </c>
      <c r="O35" s="1" t="s">
        <v>260</v>
      </c>
    </row>
    <row r="36" spans="1:15" x14ac:dyDescent="0.15">
      <c r="A36" s="1">
        <v>2004</v>
      </c>
      <c r="B36" s="3">
        <v>114171089</v>
      </c>
      <c r="C36" s="3">
        <v>0</v>
      </c>
      <c r="D36" s="3">
        <v>0</v>
      </c>
      <c r="E36" s="3">
        <v>11924685</v>
      </c>
      <c r="F36" s="3">
        <v>0</v>
      </c>
      <c r="G36" s="3">
        <v>0</v>
      </c>
      <c r="H36" s="3">
        <v>8184209</v>
      </c>
      <c r="I36" s="3">
        <v>0</v>
      </c>
      <c r="J36" s="3">
        <v>0</v>
      </c>
      <c r="K36" s="3">
        <v>134279983</v>
      </c>
      <c r="L36" s="3">
        <v>0</v>
      </c>
      <c r="M36" s="3">
        <v>0</v>
      </c>
      <c r="N36" s="3">
        <v>134279983</v>
      </c>
    </row>
    <row r="37" spans="1:15" x14ac:dyDescent="0.15">
      <c r="A37" s="1">
        <v>2005</v>
      </c>
      <c r="B37" s="3">
        <v>126559856</v>
      </c>
      <c r="C37" s="3">
        <v>0</v>
      </c>
      <c r="D37" s="3">
        <v>0</v>
      </c>
      <c r="E37" s="3">
        <v>12383075</v>
      </c>
      <c r="F37" s="3">
        <v>5800</v>
      </c>
      <c r="G37" s="3">
        <v>0</v>
      </c>
      <c r="H37" s="3">
        <v>10462631</v>
      </c>
      <c r="I37" s="3">
        <v>0</v>
      </c>
      <c r="J37" s="3">
        <v>0</v>
      </c>
      <c r="K37" s="3">
        <v>149405562</v>
      </c>
      <c r="L37" s="3">
        <v>5800</v>
      </c>
      <c r="M37" s="3">
        <v>0</v>
      </c>
      <c r="N37" s="3">
        <v>149411362</v>
      </c>
    </row>
    <row r="38" spans="1:15" x14ac:dyDescent="0.15">
      <c r="A38" s="1">
        <v>2006</v>
      </c>
      <c r="B38" s="3">
        <v>153935324</v>
      </c>
      <c r="C38" s="3">
        <v>0</v>
      </c>
      <c r="D38" s="3">
        <v>0</v>
      </c>
      <c r="E38" s="3">
        <v>13403169</v>
      </c>
      <c r="F38" s="3">
        <v>7050</v>
      </c>
      <c r="G38" s="3">
        <v>0</v>
      </c>
      <c r="H38" s="3">
        <v>6496671</v>
      </c>
      <c r="I38" s="3">
        <v>0</v>
      </c>
      <c r="J38" s="3">
        <v>0</v>
      </c>
      <c r="K38" s="3">
        <v>173835164</v>
      </c>
      <c r="L38" s="3">
        <v>7050</v>
      </c>
      <c r="M38" s="3">
        <v>0</v>
      </c>
      <c r="N38" s="3">
        <v>173842214</v>
      </c>
    </row>
    <row r="39" spans="1:15" x14ac:dyDescent="0.15">
      <c r="A39" s="1">
        <v>2007</v>
      </c>
      <c r="B39" s="3">
        <v>167097577</v>
      </c>
      <c r="C39" s="3">
        <v>0</v>
      </c>
      <c r="D39" s="3">
        <v>0</v>
      </c>
      <c r="E39" s="3">
        <v>14711620</v>
      </c>
      <c r="F39" s="3">
        <v>15075</v>
      </c>
      <c r="G39" s="3">
        <v>0</v>
      </c>
      <c r="H39" s="3">
        <v>3132816</v>
      </c>
      <c r="I39" s="3">
        <v>0</v>
      </c>
      <c r="J39" s="3">
        <v>0</v>
      </c>
      <c r="K39" s="3">
        <v>184942013</v>
      </c>
      <c r="L39" s="3">
        <v>15075</v>
      </c>
      <c r="M39" s="3">
        <v>0</v>
      </c>
      <c r="N39" s="3">
        <v>184957088</v>
      </c>
    </row>
    <row r="40" spans="1:15" x14ac:dyDescent="0.15">
      <c r="A40" s="1">
        <v>2008</v>
      </c>
      <c r="B40" s="3">
        <v>181197606</v>
      </c>
      <c r="C40" s="3">
        <v>0</v>
      </c>
      <c r="D40" s="3">
        <v>0</v>
      </c>
      <c r="E40" s="3">
        <v>21317184</v>
      </c>
      <c r="F40" s="3">
        <v>8650</v>
      </c>
      <c r="G40" s="3">
        <v>0</v>
      </c>
      <c r="H40" s="3">
        <v>3375735</v>
      </c>
      <c r="I40" s="3">
        <v>0</v>
      </c>
      <c r="J40" s="3">
        <v>0</v>
      </c>
      <c r="K40" s="3">
        <v>205890525</v>
      </c>
      <c r="L40" s="3">
        <v>8650</v>
      </c>
      <c r="M40" s="3">
        <v>0</v>
      </c>
      <c r="N40" s="3">
        <v>205899175</v>
      </c>
    </row>
    <row r="41" spans="1:15" x14ac:dyDescent="0.15">
      <c r="A41" s="1">
        <v>2009</v>
      </c>
      <c r="B41" s="3">
        <v>195235205</v>
      </c>
      <c r="C41" s="3">
        <v>0</v>
      </c>
      <c r="D41" s="3">
        <v>0</v>
      </c>
      <c r="E41" s="3">
        <v>23776408</v>
      </c>
      <c r="F41" s="3">
        <v>2000</v>
      </c>
      <c r="G41" s="3">
        <v>0</v>
      </c>
      <c r="H41" s="3">
        <v>3724827</v>
      </c>
      <c r="I41" s="3">
        <v>0</v>
      </c>
      <c r="J41" s="3">
        <v>0</v>
      </c>
      <c r="K41" s="3">
        <v>222736440</v>
      </c>
      <c r="L41" s="3">
        <v>2000</v>
      </c>
      <c r="M41" s="3">
        <v>0</v>
      </c>
      <c r="N41" s="3">
        <v>222738440</v>
      </c>
    </row>
    <row r="42" spans="1:15" x14ac:dyDescent="0.15">
      <c r="A42" s="1">
        <v>2010</v>
      </c>
      <c r="B42" s="3">
        <v>211054963</v>
      </c>
      <c r="C42" s="3">
        <v>0</v>
      </c>
      <c r="D42" s="3">
        <v>0</v>
      </c>
      <c r="E42" s="3">
        <v>24178986</v>
      </c>
      <c r="F42" s="3">
        <v>7500</v>
      </c>
      <c r="G42" s="3">
        <v>0</v>
      </c>
      <c r="H42" s="3">
        <v>3818418</v>
      </c>
      <c r="I42" s="3">
        <v>0</v>
      </c>
      <c r="J42" s="3">
        <v>0</v>
      </c>
      <c r="K42" s="3">
        <v>239052367</v>
      </c>
      <c r="L42" s="3">
        <v>7500</v>
      </c>
      <c r="M42" s="3">
        <v>0</v>
      </c>
      <c r="N42" s="3">
        <v>239059867</v>
      </c>
    </row>
    <row r="43" spans="1:15" x14ac:dyDescent="0.15">
      <c r="A43" s="1">
        <v>2011</v>
      </c>
      <c r="B43" s="3">
        <v>205226122</v>
      </c>
      <c r="C43" s="3">
        <v>0</v>
      </c>
      <c r="D43" s="3">
        <v>0</v>
      </c>
      <c r="E43" s="3">
        <v>25278731</v>
      </c>
      <c r="F43" s="3">
        <v>4500</v>
      </c>
      <c r="G43" s="3">
        <v>0</v>
      </c>
      <c r="H43" s="3">
        <v>3733567</v>
      </c>
      <c r="I43" s="3">
        <v>0</v>
      </c>
      <c r="J43" s="3">
        <v>0</v>
      </c>
      <c r="K43" s="3">
        <v>234238420</v>
      </c>
      <c r="L43" s="3">
        <v>4500</v>
      </c>
      <c r="M43" s="3">
        <v>0</v>
      </c>
      <c r="N43" s="3">
        <v>234242920</v>
      </c>
    </row>
    <row r="44" spans="1:15" x14ac:dyDescent="0.15">
      <c r="A44" s="1">
        <v>2012</v>
      </c>
      <c r="B44" s="3">
        <v>266574668</v>
      </c>
      <c r="C44" s="3">
        <v>0</v>
      </c>
      <c r="D44" s="3">
        <v>0</v>
      </c>
      <c r="E44" s="3">
        <v>23970236</v>
      </c>
      <c r="F44" s="3">
        <v>4400</v>
      </c>
      <c r="G44" s="3">
        <v>0</v>
      </c>
      <c r="H44" s="3">
        <v>2747050</v>
      </c>
      <c r="I44" s="3">
        <v>0</v>
      </c>
      <c r="J44" s="3">
        <v>0</v>
      </c>
      <c r="K44" s="3">
        <v>293291954</v>
      </c>
      <c r="L44" s="3">
        <v>4400</v>
      </c>
      <c r="M44" s="3">
        <v>0</v>
      </c>
      <c r="N44" s="3">
        <v>293296354</v>
      </c>
    </row>
    <row r="45" spans="1:15" x14ac:dyDescent="0.15">
      <c r="A45" s="1">
        <v>2013</v>
      </c>
      <c r="B45" s="3">
        <v>303216316</v>
      </c>
      <c r="C45" s="3">
        <v>0</v>
      </c>
      <c r="D45" s="3">
        <v>0</v>
      </c>
      <c r="E45" s="3">
        <v>40630904</v>
      </c>
      <c r="F45" s="3">
        <v>3500</v>
      </c>
      <c r="G45" s="3">
        <v>0</v>
      </c>
      <c r="H45" s="3">
        <v>1832079</v>
      </c>
      <c r="I45" s="3">
        <v>0</v>
      </c>
      <c r="J45" s="3">
        <v>0</v>
      </c>
      <c r="K45" s="3">
        <v>345679299</v>
      </c>
      <c r="L45" s="3">
        <v>3500</v>
      </c>
      <c r="M45" s="3">
        <v>0</v>
      </c>
      <c r="N45" s="3">
        <v>345682799</v>
      </c>
      <c r="O45" s="1" t="s">
        <v>334</v>
      </c>
    </row>
    <row r="46" spans="1:15" x14ac:dyDescent="0.15">
      <c r="A46" s="1">
        <v>2014</v>
      </c>
      <c r="B46" s="3">
        <v>303040582</v>
      </c>
      <c r="C46" s="3">
        <v>0</v>
      </c>
      <c r="D46" s="3">
        <v>0</v>
      </c>
      <c r="E46" s="3">
        <v>51206027</v>
      </c>
      <c r="F46" s="3">
        <v>8300</v>
      </c>
      <c r="G46" s="3">
        <v>0</v>
      </c>
      <c r="H46" s="3">
        <v>529437</v>
      </c>
      <c r="I46" s="3">
        <v>0</v>
      </c>
      <c r="J46" s="3">
        <v>0</v>
      </c>
      <c r="K46" s="3">
        <v>354776046</v>
      </c>
      <c r="L46" s="3">
        <v>8300</v>
      </c>
      <c r="M46" s="3">
        <v>0</v>
      </c>
      <c r="N46" s="3">
        <v>354784346</v>
      </c>
    </row>
    <row r="47" spans="1:15" x14ac:dyDescent="0.15">
      <c r="A47" s="1">
        <v>2015</v>
      </c>
      <c r="B47" s="3">
        <v>307996676</v>
      </c>
      <c r="C47" s="3">
        <v>0</v>
      </c>
      <c r="D47" s="3">
        <v>0</v>
      </c>
      <c r="E47" s="3">
        <v>60156020</v>
      </c>
      <c r="F47" s="3">
        <v>4651</v>
      </c>
      <c r="G47" s="3">
        <v>0</v>
      </c>
      <c r="H47" s="3">
        <v>63508</v>
      </c>
      <c r="I47" s="3">
        <v>0</v>
      </c>
      <c r="J47" s="3">
        <v>0</v>
      </c>
      <c r="K47" s="3">
        <v>368216204</v>
      </c>
      <c r="L47" s="3">
        <v>4651</v>
      </c>
      <c r="M47" s="3">
        <v>0</v>
      </c>
      <c r="N47" s="3">
        <v>368220855</v>
      </c>
    </row>
    <row r="48" spans="1:15" x14ac:dyDescent="0.15">
      <c r="A48" s="1">
        <v>2016</v>
      </c>
      <c r="B48" s="3">
        <v>304841897</v>
      </c>
      <c r="C48" s="3">
        <v>0</v>
      </c>
      <c r="D48" s="3">
        <v>0</v>
      </c>
      <c r="E48" s="3">
        <v>51602810</v>
      </c>
      <c r="F48" s="3">
        <v>1600</v>
      </c>
      <c r="G48" s="3">
        <v>0</v>
      </c>
      <c r="H48" s="3">
        <v>11151</v>
      </c>
      <c r="I48" s="3">
        <v>0</v>
      </c>
      <c r="J48" s="3">
        <v>0</v>
      </c>
      <c r="K48" s="3">
        <v>356455858</v>
      </c>
      <c r="L48" s="3">
        <v>1600</v>
      </c>
      <c r="M48" s="3">
        <v>0</v>
      </c>
      <c r="N48" s="3">
        <v>356457458</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85" workbookViewId="0"/>
  </sheetViews>
  <sheetFormatPr defaultColWidth="10.625" defaultRowHeight="11.25" x14ac:dyDescent="0.15"/>
  <cols>
    <col min="1" max="1" width="10.625" style="1"/>
    <col min="2" max="2" width="12.875" style="1" customWidth="1"/>
    <col min="3" max="3" width="12.625" style="1" customWidth="1"/>
    <col min="4" max="4" width="10.625" style="1"/>
    <col min="5" max="5" width="11.5" style="1" customWidth="1"/>
    <col min="6" max="10" width="10.625" style="1"/>
    <col min="11" max="11" width="13" style="1" customWidth="1"/>
    <col min="12" max="13" width="10.625" style="1"/>
    <col min="14" max="14" width="12.5" style="1" customWidth="1"/>
    <col min="15" max="16384" width="10.625" style="1"/>
  </cols>
  <sheetData>
    <row r="1" spans="1:22" x14ac:dyDescent="0.15">
      <c r="A1" s="1" t="s">
        <v>13</v>
      </c>
    </row>
    <row r="2" spans="1:22" x14ac:dyDescent="0.15">
      <c r="E2" s="2" t="s">
        <v>6</v>
      </c>
      <c r="F2" s="2"/>
      <c r="G2" s="2"/>
      <c r="H2" s="2"/>
      <c r="I2" s="2"/>
      <c r="J2" s="2"/>
    </row>
    <row r="3" spans="1:22" x14ac:dyDescent="0.15">
      <c r="B3" s="2" t="s">
        <v>5</v>
      </c>
      <c r="C3" s="2"/>
      <c r="D3" s="2"/>
      <c r="E3" s="2" t="s">
        <v>7</v>
      </c>
      <c r="F3" s="2"/>
      <c r="G3" s="2"/>
      <c r="H3" s="2" t="s">
        <v>8</v>
      </c>
      <c r="I3" s="2"/>
      <c r="J3" s="2"/>
    </row>
    <row r="4" spans="1:22"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22" x14ac:dyDescent="0.15">
      <c r="A6" s="1">
        <v>1974</v>
      </c>
      <c r="B6" s="3">
        <v>25655400</v>
      </c>
      <c r="C6" s="3">
        <v>0</v>
      </c>
      <c r="D6" s="3">
        <v>0</v>
      </c>
      <c r="E6" s="3">
        <f>5291733+391410</f>
        <v>5683143</v>
      </c>
      <c r="F6" s="3">
        <v>0</v>
      </c>
      <c r="G6" s="3">
        <v>0</v>
      </c>
      <c r="H6" s="3">
        <v>0</v>
      </c>
      <c r="I6" s="3">
        <v>0</v>
      </c>
      <c r="J6" s="3">
        <v>0</v>
      </c>
      <c r="K6" s="3">
        <f t="shared" ref="K6:M7" si="0">+B6+E6+H6</f>
        <v>31338543</v>
      </c>
      <c r="L6" s="3">
        <f t="shared" si="0"/>
        <v>0</v>
      </c>
      <c r="M6" s="3">
        <f t="shared" si="0"/>
        <v>0</v>
      </c>
      <c r="N6" s="3">
        <f>+M6+L6+K6</f>
        <v>31338543</v>
      </c>
      <c r="O6" s="3" t="s">
        <v>14</v>
      </c>
      <c r="P6" s="3"/>
      <c r="Q6" s="3"/>
      <c r="R6" s="3"/>
      <c r="S6" s="3"/>
      <c r="T6" s="3"/>
      <c r="U6" s="3"/>
      <c r="V6" s="3"/>
    </row>
    <row r="7" spans="1:22" x14ac:dyDescent="0.15">
      <c r="A7" s="1">
        <v>1975</v>
      </c>
      <c r="B7" s="3">
        <v>34003000</v>
      </c>
      <c r="C7" s="3">
        <v>0</v>
      </c>
      <c r="D7" s="3">
        <v>0</v>
      </c>
      <c r="E7" s="3">
        <f>6906000+981000</f>
        <v>7887000</v>
      </c>
      <c r="F7" s="3">
        <v>0</v>
      </c>
      <c r="G7" s="3">
        <v>0</v>
      </c>
      <c r="H7" s="3">
        <v>0</v>
      </c>
      <c r="I7" s="3">
        <v>0</v>
      </c>
      <c r="J7" s="3">
        <v>0</v>
      </c>
      <c r="K7" s="3">
        <f t="shared" si="0"/>
        <v>41890000</v>
      </c>
      <c r="L7" s="3">
        <f t="shared" si="0"/>
        <v>0</v>
      </c>
      <c r="M7" s="3">
        <f t="shared" si="0"/>
        <v>0</v>
      </c>
      <c r="N7" s="3">
        <f>+M7+L7+K7</f>
        <v>41890000</v>
      </c>
      <c r="O7" s="3" t="s">
        <v>86</v>
      </c>
      <c r="P7" s="3"/>
      <c r="Q7" s="3"/>
      <c r="R7" s="3"/>
      <c r="S7" s="3"/>
      <c r="T7" s="3"/>
      <c r="U7" s="3"/>
      <c r="V7" s="3"/>
    </row>
    <row r="8" spans="1:22" x14ac:dyDescent="0.15">
      <c r="A8" s="1">
        <v>1976</v>
      </c>
      <c r="B8" s="3">
        <v>40742000</v>
      </c>
      <c r="C8" s="3">
        <v>0</v>
      </c>
      <c r="D8" s="3">
        <v>0</v>
      </c>
      <c r="E8" s="3">
        <f>9176000+1155000</f>
        <v>10331000</v>
      </c>
      <c r="F8" s="3">
        <v>0</v>
      </c>
      <c r="G8" s="3">
        <v>0</v>
      </c>
      <c r="H8" s="3">
        <v>0</v>
      </c>
      <c r="I8" s="3">
        <v>0</v>
      </c>
      <c r="J8" s="3">
        <v>0</v>
      </c>
      <c r="K8" s="3">
        <f t="shared" ref="K8:K35" si="1">+B8+E8+H8</f>
        <v>51073000</v>
      </c>
      <c r="L8" s="3">
        <f t="shared" ref="L8:L35" si="2">+C8+F8+I8</f>
        <v>0</v>
      </c>
      <c r="M8" s="3">
        <f t="shared" ref="M8:M35" si="3">+D8+G8+J8</f>
        <v>0</v>
      </c>
      <c r="N8" s="3">
        <f t="shared" ref="N8:N35" si="4">+M8+L8+K8</f>
        <v>51073000</v>
      </c>
      <c r="O8" s="3"/>
      <c r="P8" s="3"/>
      <c r="Q8" s="3"/>
      <c r="R8" s="3"/>
      <c r="S8" s="3"/>
      <c r="T8" s="3"/>
      <c r="U8" s="3"/>
      <c r="V8" s="3"/>
    </row>
    <row r="9" spans="1:22" x14ac:dyDescent="0.15">
      <c r="A9" s="1">
        <v>1977</v>
      </c>
      <c r="B9" s="3">
        <v>50704000</v>
      </c>
      <c r="C9" s="3">
        <v>0</v>
      </c>
      <c r="D9" s="3">
        <v>0</v>
      </c>
      <c r="E9" s="3">
        <f>15730000+1954000</f>
        <v>17684000</v>
      </c>
      <c r="F9" s="3">
        <v>0</v>
      </c>
      <c r="G9" s="3">
        <v>0</v>
      </c>
      <c r="H9" s="3">
        <v>0</v>
      </c>
      <c r="I9" s="3">
        <v>0</v>
      </c>
      <c r="J9" s="3">
        <v>0</v>
      </c>
      <c r="K9" s="3">
        <f t="shared" si="1"/>
        <v>68388000</v>
      </c>
      <c r="L9" s="3">
        <f t="shared" si="2"/>
        <v>0</v>
      </c>
      <c r="M9" s="3">
        <f t="shared" si="3"/>
        <v>0</v>
      </c>
      <c r="N9" s="3">
        <f t="shared" si="4"/>
        <v>68388000</v>
      </c>
      <c r="O9" s="3"/>
      <c r="P9" s="3"/>
      <c r="Q9" s="3"/>
      <c r="R9" s="3"/>
      <c r="S9" s="3"/>
      <c r="T9" s="3"/>
      <c r="U9" s="3"/>
      <c r="V9" s="3"/>
    </row>
    <row r="10" spans="1:22" x14ac:dyDescent="0.15">
      <c r="A10" s="1">
        <v>1978</v>
      </c>
      <c r="B10" s="3">
        <v>55874000</v>
      </c>
      <c r="C10" s="3">
        <v>0</v>
      </c>
      <c r="D10" s="3">
        <v>0</v>
      </c>
      <c r="E10" s="3">
        <f>19804000+2713000</f>
        <v>22517000</v>
      </c>
      <c r="F10" s="3">
        <v>0</v>
      </c>
      <c r="G10" s="3">
        <v>0</v>
      </c>
      <c r="H10" s="3">
        <v>0</v>
      </c>
      <c r="I10" s="3">
        <v>0</v>
      </c>
      <c r="J10" s="3">
        <v>0</v>
      </c>
      <c r="K10" s="3">
        <f t="shared" si="1"/>
        <v>78391000</v>
      </c>
      <c r="L10" s="3">
        <f t="shared" si="2"/>
        <v>0</v>
      </c>
      <c r="M10" s="3">
        <f t="shared" si="3"/>
        <v>0</v>
      </c>
      <c r="N10" s="3">
        <f t="shared" si="4"/>
        <v>78391000</v>
      </c>
      <c r="O10" s="3"/>
      <c r="P10" s="3"/>
      <c r="Q10" s="3"/>
      <c r="R10" s="3"/>
      <c r="S10" s="3"/>
      <c r="T10" s="3"/>
      <c r="U10" s="3"/>
      <c r="V10" s="3"/>
    </row>
    <row r="11" spans="1:22" x14ac:dyDescent="0.15">
      <c r="A11" s="1">
        <v>1979</v>
      </c>
      <c r="B11" s="3">
        <f>55584000+19892000+3218000</f>
        <v>78694000</v>
      </c>
      <c r="C11" s="3">
        <v>0</v>
      </c>
      <c r="D11" s="3">
        <v>0</v>
      </c>
      <c r="E11" s="3">
        <v>0</v>
      </c>
      <c r="F11" s="3">
        <v>0</v>
      </c>
      <c r="G11" s="3">
        <v>0</v>
      </c>
      <c r="H11" s="3">
        <v>0</v>
      </c>
      <c r="I11" s="3">
        <v>0</v>
      </c>
      <c r="J11" s="3">
        <v>0</v>
      </c>
      <c r="K11" s="3">
        <f t="shared" si="1"/>
        <v>78694000</v>
      </c>
      <c r="L11" s="3">
        <f t="shared" si="2"/>
        <v>0</v>
      </c>
      <c r="M11" s="3">
        <f t="shared" si="3"/>
        <v>0</v>
      </c>
      <c r="N11" s="3">
        <f t="shared" si="4"/>
        <v>78694000</v>
      </c>
      <c r="O11" s="3" t="s">
        <v>112</v>
      </c>
      <c r="P11" s="3"/>
      <c r="Q11" s="3"/>
      <c r="R11" s="3"/>
      <c r="S11" s="3"/>
      <c r="T11" s="3"/>
      <c r="U11" s="3"/>
      <c r="V11" s="3"/>
    </row>
    <row r="12" spans="1:22" x14ac:dyDescent="0.15">
      <c r="A12" s="1">
        <v>1980</v>
      </c>
      <c r="B12" s="3">
        <f>53283000+22709000+2318000</f>
        <v>78310000</v>
      </c>
      <c r="C12" s="3">
        <v>0</v>
      </c>
      <c r="D12" s="3">
        <v>0</v>
      </c>
      <c r="E12" s="3">
        <f>490000+12000</f>
        <v>502000</v>
      </c>
      <c r="F12" s="3">
        <v>0</v>
      </c>
      <c r="G12" s="3">
        <v>0</v>
      </c>
      <c r="H12" s="3">
        <v>0</v>
      </c>
      <c r="I12" s="3">
        <v>0</v>
      </c>
      <c r="J12" s="3">
        <v>0</v>
      </c>
      <c r="K12" s="3">
        <f t="shared" si="1"/>
        <v>78812000</v>
      </c>
      <c r="L12" s="3">
        <f t="shared" si="2"/>
        <v>0</v>
      </c>
      <c r="M12" s="3">
        <f t="shared" si="3"/>
        <v>0</v>
      </c>
      <c r="N12" s="3">
        <f t="shared" si="4"/>
        <v>78812000</v>
      </c>
      <c r="O12" s="3" t="s">
        <v>122</v>
      </c>
      <c r="P12" s="3"/>
      <c r="Q12" s="3"/>
      <c r="R12" s="3"/>
      <c r="S12" s="3"/>
      <c r="T12" s="3"/>
      <c r="U12" s="3"/>
      <c r="V12" s="3"/>
    </row>
    <row r="13" spans="1:22" x14ac:dyDescent="0.15">
      <c r="A13" s="1">
        <v>1981</v>
      </c>
      <c r="B13" s="3">
        <f>58305000+23778000+2700000</f>
        <v>84783000</v>
      </c>
      <c r="C13" s="3">
        <v>0</v>
      </c>
      <c r="D13" s="3">
        <v>0</v>
      </c>
      <c r="E13" s="3">
        <f>745000+12000</f>
        <v>757000</v>
      </c>
      <c r="F13" s="3">
        <v>0</v>
      </c>
      <c r="G13" s="3">
        <v>0</v>
      </c>
      <c r="H13" s="3">
        <v>0</v>
      </c>
      <c r="I13" s="3">
        <v>0</v>
      </c>
      <c r="J13" s="3">
        <v>0</v>
      </c>
      <c r="K13" s="3">
        <f t="shared" si="1"/>
        <v>85540000</v>
      </c>
      <c r="L13" s="3">
        <f t="shared" si="2"/>
        <v>0</v>
      </c>
      <c r="M13" s="3">
        <f t="shared" si="3"/>
        <v>0</v>
      </c>
      <c r="N13" s="3">
        <f t="shared" si="4"/>
        <v>85540000</v>
      </c>
      <c r="O13" s="3" t="s">
        <v>136</v>
      </c>
      <c r="P13" s="3"/>
      <c r="Q13" s="3"/>
      <c r="R13" s="3"/>
      <c r="S13" s="3"/>
      <c r="T13" s="3"/>
      <c r="U13" s="3"/>
      <c r="V13" s="3"/>
    </row>
    <row r="14" spans="1:22" x14ac:dyDescent="0.15">
      <c r="A14" s="1">
        <v>1982</v>
      </c>
      <c r="B14" s="3">
        <f>57654000+24669000+2426000</f>
        <v>84749000</v>
      </c>
      <c r="C14" s="3">
        <v>0</v>
      </c>
      <c r="D14" s="3">
        <v>0</v>
      </c>
      <c r="E14" s="3">
        <f>1609000+5000</f>
        <v>1614000</v>
      </c>
      <c r="F14" s="3">
        <v>4015000</v>
      </c>
      <c r="G14" s="3">
        <v>0</v>
      </c>
      <c r="H14" s="3">
        <v>0</v>
      </c>
      <c r="I14" s="3">
        <v>0</v>
      </c>
      <c r="J14" s="3">
        <v>0</v>
      </c>
      <c r="K14" s="3">
        <f t="shared" si="1"/>
        <v>86363000</v>
      </c>
      <c r="L14" s="3">
        <f t="shared" si="2"/>
        <v>4015000</v>
      </c>
      <c r="M14" s="3">
        <f t="shared" si="3"/>
        <v>0</v>
      </c>
      <c r="N14" s="3">
        <f t="shared" si="4"/>
        <v>90378000</v>
      </c>
      <c r="O14" s="3"/>
      <c r="P14" s="3"/>
      <c r="Q14" s="3"/>
      <c r="R14" s="3"/>
      <c r="S14" s="3"/>
      <c r="T14" s="3"/>
      <c r="U14" s="3"/>
      <c r="V14" s="3"/>
    </row>
    <row r="15" spans="1:22" x14ac:dyDescent="0.15">
      <c r="A15" s="1">
        <v>1983</v>
      </c>
      <c r="B15" s="3">
        <f>61379000+24831000+2656000</f>
        <v>88866000</v>
      </c>
      <c r="C15" s="3">
        <v>0</v>
      </c>
      <c r="D15" s="3">
        <v>0</v>
      </c>
      <c r="E15" s="3">
        <f>1334000+9000</f>
        <v>1343000</v>
      </c>
      <c r="F15" s="3">
        <v>3628000</v>
      </c>
      <c r="G15" s="3">
        <v>0</v>
      </c>
      <c r="H15" s="3">
        <v>0</v>
      </c>
      <c r="I15" s="3">
        <v>0</v>
      </c>
      <c r="J15" s="3">
        <v>0</v>
      </c>
      <c r="K15" s="3">
        <f t="shared" si="1"/>
        <v>90209000</v>
      </c>
      <c r="L15" s="3">
        <f t="shared" si="2"/>
        <v>3628000</v>
      </c>
      <c r="M15" s="3">
        <f t="shared" si="3"/>
        <v>0</v>
      </c>
      <c r="N15" s="3">
        <f t="shared" si="4"/>
        <v>93837000</v>
      </c>
      <c r="O15" s="3"/>
      <c r="P15" s="3"/>
      <c r="Q15" s="3"/>
      <c r="R15" s="3"/>
      <c r="S15" s="3"/>
      <c r="T15" s="3"/>
      <c r="U15" s="3"/>
      <c r="V15" s="3"/>
    </row>
    <row r="16" spans="1:22" x14ac:dyDescent="0.15">
      <c r="A16" s="1">
        <v>1984</v>
      </c>
      <c r="B16" s="3">
        <f>61794000+22752000+2826000</f>
        <v>87372000</v>
      </c>
      <c r="C16" s="3">
        <v>0</v>
      </c>
      <c r="D16" s="3">
        <v>0</v>
      </c>
      <c r="E16" s="3">
        <f>1640000+13000</f>
        <v>1653000</v>
      </c>
      <c r="F16" s="3">
        <v>3874000</v>
      </c>
      <c r="G16" s="3">
        <v>0</v>
      </c>
      <c r="H16" s="3">
        <v>0</v>
      </c>
      <c r="I16" s="3">
        <v>965000</v>
      </c>
      <c r="J16" s="3">
        <v>0</v>
      </c>
      <c r="K16" s="3">
        <f t="shared" si="1"/>
        <v>89025000</v>
      </c>
      <c r="L16" s="3">
        <f t="shared" si="2"/>
        <v>4839000</v>
      </c>
      <c r="M16" s="3">
        <f t="shared" si="3"/>
        <v>0</v>
      </c>
      <c r="N16" s="3">
        <f t="shared" si="4"/>
        <v>93864000</v>
      </c>
      <c r="O16" s="3"/>
      <c r="P16" s="3"/>
      <c r="Q16" s="3"/>
      <c r="R16" s="3"/>
      <c r="S16" s="3"/>
      <c r="T16" s="3"/>
      <c r="U16" s="3"/>
      <c r="V16" s="3"/>
    </row>
    <row r="17" spans="1:22" x14ac:dyDescent="0.15">
      <c r="A17" s="1">
        <v>1985</v>
      </c>
      <c r="B17" s="3">
        <f>69341000+26159000+3191000</f>
        <v>98691000</v>
      </c>
      <c r="C17" s="3">
        <v>0</v>
      </c>
      <c r="D17" s="3">
        <v>0</v>
      </c>
      <c r="E17" s="3">
        <f>2318000+10000</f>
        <v>2328000</v>
      </c>
      <c r="F17" s="3">
        <v>3448000</v>
      </c>
      <c r="G17" s="3">
        <v>0</v>
      </c>
      <c r="H17" s="3">
        <v>0</v>
      </c>
      <c r="I17" s="3">
        <v>0</v>
      </c>
      <c r="J17" s="3">
        <v>0</v>
      </c>
      <c r="K17" s="3">
        <f t="shared" si="1"/>
        <v>101019000</v>
      </c>
      <c r="L17" s="3">
        <f t="shared" si="2"/>
        <v>3448000</v>
      </c>
      <c r="M17" s="3">
        <f t="shared" si="3"/>
        <v>0</v>
      </c>
      <c r="N17" s="3">
        <f t="shared" si="4"/>
        <v>104467000</v>
      </c>
      <c r="O17" s="3"/>
      <c r="P17" s="3"/>
      <c r="Q17" s="3"/>
      <c r="R17" s="3"/>
      <c r="S17" s="3"/>
      <c r="T17" s="3"/>
      <c r="U17" s="3"/>
      <c r="V17" s="3"/>
    </row>
    <row r="18" spans="1:22" x14ac:dyDescent="0.15">
      <c r="A18" s="1">
        <v>1986</v>
      </c>
      <c r="B18" s="3">
        <f>81417000+32023000+3806000</f>
        <v>117246000</v>
      </c>
      <c r="C18" s="3">
        <v>0</v>
      </c>
      <c r="D18" s="3">
        <v>0</v>
      </c>
      <c r="E18" s="3">
        <f>2601000+12000</f>
        <v>2613000</v>
      </c>
      <c r="F18" s="3">
        <f>1073000+2812000+2000</f>
        <v>3887000</v>
      </c>
      <c r="G18" s="3">
        <v>0</v>
      </c>
      <c r="H18" s="3">
        <v>0</v>
      </c>
      <c r="I18" s="3">
        <v>0</v>
      </c>
      <c r="J18" s="3">
        <v>0</v>
      </c>
      <c r="K18" s="3">
        <f t="shared" si="1"/>
        <v>119859000</v>
      </c>
      <c r="L18" s="3">
        <f t="shared" si="2"/>
        <v>3887000</v>
      </c>
      <c r="M18" s="3">
        <f t="shared" si="3"/>
        <v>0</v>
      </c>
      <c r="N18" s="3">
        <f t="shared" si="4"/>
        <v>123746000</v>
      </c>
      <c r="O18" s="3"/>
      <c r="P18" s="3"/>
      <c r="Q18" s="3"/>
      <c r="R18" s="3"/>
      <c r="S18" s="3"/>
      <c r="T18" s="3"/>
      <c r="U18" s="3"/>
      <c r="V18" s="3"/>
    </row>
    <row r="19" spans="1:22" x14ac:dyDescent="0.15">
      <c r="A19" s="1">
        <v>1987</v>
      </c>
      <c r="B19" s="3">
        <f>88724000+37405000+3514000</f>
        <v>129643000</v>
      </c>
      <c r="C19" s="3">
        <v>0</v>
      </c>
      <c r="D19" s="3">
        <v>0</v>
      </c>
      <c r="E19" s="3">
        <f>1490000+13000</f>
        <v>1503000</v>
      </c>
      <c r="F19" s="3">
        <v>3479000</v>
      </c>
      <c r="G19" s="3">
        <v>0</v>
      </c>
      <c r="H19" s="3">
        <v>0</v>
      </c>
      <c r="I19" s="3">
        <v>0</v>
      </c>
      <c r="J19" s="3">
        <v>0</v>
      </c>
      <c r="K19" s="3">
        <f t="shared" si="1"/>
        <v>131146000</v>
      </c>
      <c r="L19" s="3">
        <f t="shared" si="2"/>
        <v>3479000</v>
      </c>
      <c r="M19" s="3">
        <f t="shared" si="3"/>
        <v>0</v>
      </c>
      <c r="N19" s="3">
        <f t="shared" si="4"/>
        <v>134625000</v>
      </c>
      <c r="O19" s="3"/>
      <c r="P19" s="3"/>
      <c r="Q19" s="3"/>
      <c r="R19" s="3"/>
      <c r="S19" s="3"/>
      <c r="T19" s="3"/>
      <c r="U19" s="3"/>
      <c r="V19" s="3"/>
    </row>
    <row r="20" spans="1:22" x14ac:dyDescent="0.15">
      <c r="A20" s="1">
        <v>1988</v>
      </c>
      <c r="B20" s="3">
        <f>92073000+38208000+3934000</f>
        <v>134215000</v>
      </c>
      <c r="C20" s="3">
        <v>0</v>
      </c>
      <c r="D20" s="3">
        <v>0</v>
      </c>
      <c r="E20" s="3">
        <f>775000+12000</f>
        <v>787000</v>
      </c>
      <c r="F20" s="3">
        <v>3410000</v>
      </c>
      <c r="G20" s="3">
        <v>0</v>
      </c>
      <c r="H20" s="3">
        <v>0</v>
      </c>
      <c r="I20" s="3">
        <v>0</v>
      </c>
      <c r="J20" s="3">
        <v>0</v>
      </c>
      <c r="K20" s="3">
        <f t="shared" si="1"/>
        <v>135002000</v>
      </c>
      <c r="L20" s="3">
        <f t="shared" si="2"/>
        <v>3410000</v>
      </c>
      <c r="M20" s="3">
        <f t="shared" si="3"/>
        <v>0</v>
      </c>
      <c r="N20" s="3">
        <f t="shared" si="4"/>
        <v>138412000</v>
      </c>
      <c r="O20" s="3"/>
      <c r="P20" s="3"/>
      <c r="Q20" s="3"/>
      <c r="R20" s="3"/>
      <c r="S20" s="3"/>
      <c r="T20" s="3"/>
      <c r="U20" s="3"/>
      <c r="V20" s="3"/>
    </row>
    <row r="21" spans="1:22" x14ac:dyDescent="0.15">
      <c r="A21" s="1">
        <v>1989</v>
      </c>
      <c r="B21" s="3">
        <f>92210000+44603000+3852000</f>
        <v>140665000</v>
      </c>
      <c r="C21" s="3">
        <v>0</v>
      </c>
      <c r="D21" s="3">
        <v>0</v>
      </c>
      <c r="E21" s="3">
        <f>302000+14000</f>
        <v>316000</v>
      </c>
      <c r="F21" s="3">
        <v>3233000</v>
      </c>
      <c r="G21" s="3">
        <v>0</v>
      </c>
      <c r="H21" s="3">
        <v>0</v>
      </c>
      <c r="I21" s="3">
        <v>0</v>
      </c>
      <c r="J21" s="3">
        <v>0</v>
      </c>
      <c r="K21" s="3">
        <f t="shared" si="1"/>
        <v>140981000</v>
      </c>
      <c r="L21" s="3">
        <f t="shared" si="2"/>
        <v>3233000</v>
      </c>
      <c r="M21" s="3">
        <f t="shared" si="3"/>
        <v>0</v>
      </c>
      <c r="N21" s="3">
        <f t="shared" si="4"/>
        <v>144214000</v>
      </c>
      <c r="O21" s="3"/>
      <c r="P21" s="3"/>
      <c r="Q21" s="3"/>
      <c r="R21" s="3"/>
      <c r="S21" s="3"/>
      <c r="T21" s="3"/>
      <c r="U21" s="3"/>
      <c r="V21" s="3"/>
    </row>
    <row r="22" spans="1:22" x14ac:dyDescent="0.15">
      <c r="A22" s="1">
        <v>1990</v>
      </c>
      <c r="B22" s="3">
        <f>105137000+50695000+3069000</f>
        <v>158901000</v>
      </c>
      <c r="C22" s="3">
        <v>0</v>
      </c>
      <c r="D22" s="3">
        <v>0</v>
      </c>
      <c r="E22" s="3">
        <f>70000+14000</f>
        <v>84000</v>
      </c>
      <c r="F22" s="3">
        <v>3018000</v>
      </c>
      <c r="G22" s="3">
        <v>0</v>
      </c>
      <c r="H22" s="3">
        <v>0</v>
      </c>
      <c r="I22" s="3">
        <v>0</v>
      </c>
      <c r="J22" s="3">
        <v>0</v>
      </c>
      <c r="K22" s="3">
        <f t="shared" si="1"/>
        <v>158985000</v>
      </c>
      <c r="L22" s="3">
        <f t="shared" si="2"/>
        <v>3018000</v>
      </c>
      <c r="M22" s="3">
        <f t="shared" si="3"/>
        <v>0</v>
      </c>
      <c r="N22" s="3">
        <f t="shared" si="4"/>
        <v>162003000</v>
      </c>
      <c r="O22" s="3"/>
      <c r="P22" s="3"/>
      <c r="Q22" s="3"/>
      <c r="R22" s="3"/>
      <c r="S22" s="3"/>
      <c r="T22" s="3"/>
      <c r="U22" s="3"/>
      <c r="V22" s="3"/>
    </row>
    <row r="23" spans="1:22" x14ac:dyDescent="0.15">
      <c r="A23" s="1">
        <v>1991</v>
      </c>
      <c r="B23" s="3">
        <f>103331000+55473000+3044000</f>
        <v>161848000</v>
      </c>
      <c r="C23" s="3">
        <v>0</v>
      </c>
      <c r="D23" s="3">
        <v>0</v>
      </c>
      <c r="E23" s="3">
        <f>2000+9000</f>
        <v>11000</v>
      </c>
      <c r="F23" s="3">
        <v>2888000</v>
      </c>
      <c r="G23" s="3">
        <v>0</v>
      </c>
      <c r="H23" s="3">
        <v>0</v>
      </c>
      <c r="I23" s="3">
        <v>0</v>
      </c>
      <c r="J23" s="3">
        <v>0</v>
      </c>
      <c r="K23" s="3">
        <f t="shared" si="1"/>
        <v>161859000</v>
      </c>
      <c r="L23" s="3">
        <f t="shared" si="2"/>
        <v>2888000</v>
      </c>
      <c r="M23" s="3">
        <f t="shared" si="3"/>
        <v>0</v>
      </c>
      <c r="N23" s="3">
        <f t="shared" si="4"/>
        <v>164747000</v>
      </c>
      <c r="O23" s="3"/>
      <c r="P23" s="3"/>
      <c r="Q23" s="3"/>
      <c r="R23" s="3"/>
      <c r="S23" s="3"/>
      <c r="T23" s="3"/>
      <c r="U23" s="3"/>
      <c r="V23" s="3"/>
    </row>
    <row r="24" spans="1:22" x14ac:dyDescent="0.15">
      <c r="A24" s="1">
        <v>1992</v>
      </c>
      <c r="B24" s="3">
        <f>105897000+57446000+2887000</f>
        <v>166230000</v>
      </c>
      <c r="C24" s="3">
        <v>0</v>
      </c>
      <c r="D24" s="3">
        <v>0</v>
      </c>
      <c r="E24" s="3">
        <v>6000</v>
      </c>
      <c r="F24" s="3">
        <v>2969000</v>
      </c>
      <c r="G24" s="3">
        <v>0</v>
      </c>
      <c r="H24" s="3">
        <v>0</v>
      </c>
      <c r="I24" s="3">
        <v>0</v>
      </c>
      <c r="J24" s="3">
        <v>0</v>
      </c>
      <c r="K24" s="3">
        <f t="shared" si="1"/>
        <v>166236000</v>
      </c>
      <c r="L24" s="3">
        <f t="shared" si="2"/>
        <v>2969000</v>
      </c>
      <c r="M24" s="3">
        <f t="shared" si="3"/>
        <v>0</v>
      </c>
      <c r="N24" s="3">
        <f t="shared" si="4"/>
        <v>169205000</v>
      </c>
      <c r="O24" s="3"/>
      <c r="P24" s="3"/>
      <c r="Q24" s="3"/>
      <c r="R24" s="3"/>
      <c r="S24" s="3"/>
      <c r="T24" s="3"/>
      <c r="U24" s="3"/>
      <c r="V24" s="3"/>
    </row>
    <row r="25" spans="1:22" x14ac:dyDescent="0.15">
      <c r="A25" s="1">
        <v>1993</v>
      </c>
      <c r="B25" s="3">
        <f>95963000+53093000+2314000</f>
        <v>151370000</v>
      </c>
      <c r="C25" s="3">
        <v>0</v>
      </c>
      <c r="D25" s="3">
        <v>0</v>
      </c>
      <c r="E25" s="3">
        <v>9000</v>
      </c>
      <c r="F25" s="3">
        <v>2266000</v>
      </c>
      <c r="G25" s="3">
        <v>0</v>
      </c>
      <c r="H25" s="3">
        <v>0</v>
      </c>
      <c r="I25" s="3">
        <v>0</v>
      </c>
      <c r="J25" s="3">
        <v>0</v>
      </c>
      <c r="K25" s="3">
        <f t="shared" si="1"/>
        <v>151379000</v>
      </c>
      <c r="L25" s="3">
        <f t="shared" si="2"/>
        <v>2266000</v>
      </c>
      <c r="M25" s="3">
        <f t="shared" si="3"/>
        <v>0</v>
      </c>
      <c r="N25" s="3">
        <f t="shared" si="4"/>
        <v>153645000</v>
      </c>
      <c r="O25" s="3"/>
      <c r="P25" s="3"/>
      <c r="Q25" s="3"/>
      <c r="R25" s="3"/>
      <c r="S25" s="3"/>
      <c r="T25" s="3"/>
      <c r="U25" s="3"/>
      <c r="V25" s="3"/>
    </row>
    <row r="26" spans="1:22" x14ac:dyDescent="0.15">
      <c r="A26" s="1">
        <v>1994</v>
      </c>
      <c r="B26" s="3">
        <f>134541000+71245000+2173000</f>
        <v>207959000</v>
      </c>
      <c r="C26" s="3">
        <v>0</v>
      </c>
      <c r="D26" s="3">
        <v>0</v>
      </c>
      <c r="E26" s="3">
        <v>10000</v>
      </c>
      <c r="F26" s="3">
        <v>2137000</v>
      </c>
      <c r="G26" s="3">
        <v>0</v>
      </c>
      <c r="H26" s="3">
        <v>0</v>
      </c>
      <c r="I26" s="3">
        <v>0</v>
      </c>
      <c r="J26" s="3">
        <v>0</v>
      </c>
      <c r="K26" s="3">
        <f t="shared" si="1"/>
        <v>207969000</v>
      </c>
      <c r="L26" s="3">
        <f t="shared" si="2"/>
        <v>2137000</v>
      </c>
      <c r="M26" s="3">
        <f t="shared" si="3"/>
        <v>0</v>
      </c>
      <c r="N26" s="3">
        <f t="shared" si="4"/>
        <v>210106000</v>
      </c>
      <c r="O26" s="3"/>
      <c r="P26" s="3"/>
      <c r="Q26" s="3"/>
      <c r="R26" s="3"/>
      <c r="S26" s="3"/>
      <c r="T26" s="3"/>
      <c r="U26" s="3"/>
      <c r="V26" s="3"/>
    </row>
    <row r="27" spans="1:22" x14ac:dyDescent="0.15">
      <c r="A27" s="1">
        <v>1995</v>
      </c>
      <c r="B27" s="3">
        <v>232045605</v>
      </c>
      <c r="C27" s="3">
        <v>0</v>
      </c>
      <c r="D27" s="3">
        <v>0</v>
      </c>
      <c r="E27" s="3">
        <f>232067000-B27</f>
        <v>21395</v>
      </c>
      <c r="F27" s="3">
        <v>2423000</v>
      </c>
      <c r="G27" s="3">
        <v>0</v>
      </c>
      <c r="H27" s="3">
        <v>0</v>
      </c>
      <c r="I27" s="3">
        <v>0</v>
      </c>
      <c r="J27" s="3">
        <v>0</v>
      </c>
      <c r="K27" s="3">
        <f t="shared" si="1"/>
        <v>232067000</v>
      </c>
      <c r="L27" s="3">
        <f t="shared" si="2"/>
        <v>2423000</v>
      </c>
      <c r="M27" s="3">
        <f t="shared" si="3"/>
        <v>0</v>
      </c>
      <c r="N27" s="3">
        <f t="shared" si="4"/>
        <v>234490000</v>
      </c>
      <c r="O27" s="3"/>
      <c r="P27" s="3"/>
      <c r="Q27" s="3"/>
      <c r="R27" s="3"/>
      <c r="S27" s="3"/>
      <c r="T27" s="3"/>
      <c r="U27" s="3"/>
      <c r="V27" s="3"/>
    </row>
    <row r="28" spans="1:22" x14ac:dyDescent="0.15">
      <c r="A28" s="1">
        <v>1996</v>
      </c>
      <c r="B28" s="3">
        <f>235582000-E28</f>
        <v>235551282</v>
      </c>
      <c r="C28" s="3">
        <v>0</v>
      </c>
      <c r="D28" s="3">
        <v>0</v>
      </c>
      <c r="E28" s="3">
        <v>30718</v>
      </c>
      <c r="F28" s="3">
        <v>1908000</v>
      </c>
      <c r="G28" s="3">
        <v>0</v>
      </c>
      <c r="H28" s="3">
        <v>0</v>
      </c>
      <c r="I28" s="3">
        <v>0</v>
      </c>
      <c r="J28" s="3">
        <v>0</v>
      </c>
      <c r="K28" s="3">
        <f t="shared" si="1"/>
        <v>235582000</v>
      </c>
      <c r="L28" s="3">
        <f t="shared" si="2"/>
        <v>1908000</v>
      </c>
      <c r="M28" s="3">
        <f t="shared" si="3"/>
        <v>0</v>
      </c>
      <c r="N28" s="3">
        <f t="shared" si="4"/>
        <v>237490000</v>
      </c>
      <c r="O28" s="3"/>
      <c r="P28" s="3"/>
      <c r="Q28" s="3"/>
      <c r="R28" s="3"/>
      <c r="S28" s="3"/>
      <c r="T28" s="3"/>
      <c r="U28" s="3"/>
      <c r="V28" s="3"/>
    </row>
    <row r="29" spans="1:22" x14ac:dyDescent="0.15">
      <c r="A29" s="1">
        <v>1997</v>
      </c>
      <c r="B29" s="3">
        <f>177358000+77407000+2750000</f>
        <v>257515000</v>
      </c>
      <c r="C29" s="3">
        <v>0</v>
      </c>
      <c r="D29" s="3">
        <v>0</v>
      </c>
      <c r="E29" s="3">
        <v>30400</v>
      </c>
      <c r="F29" s="3">
        <v>2114000</v>
      </c>
      <c r="G29" s="3">
        <v>0</v>
      </c>
      <c r="H29" s="3">
        <v>0</v>
      </c>
      <c r="I29" s="3">
        <v>0</v>
      </c>
      <c r="J29" s="3">
        <v>0</v>
      </c>
      <c r="K29" s="3">
        <f t="shared" si="1"/>
        <v>257545400</v>
      </c>
      <c r="L29" s="3">
        <f t="shared" si="2"/>
        <v>2114000</v>
      </c>
      <c r="M29" s="3">
        <f t="shared" si="3"/>
        <v>0</v>
      </c>
      <c r="N29" s="3">
        <f t="shared" si="4"/>
        <v>259659400</v>
      </c>
      <c r="O29" s="3"/>
      <c r="P29" s="3"/>
      <c r="Q29" s="3"/>
      <c r="R29" s="3"/>
      <c r="S29" s="3"/>
      <c r="T29" s="3"/>
      <c r="U29" s="3"/>
      <c r="V29" s="3"/>
    </row>
    <row r="30" spans="1:22" x14ac:dyDescent="0.15">
      <c r="A30" s="1">
        <v>1998</v>
      </c>
      <c r="B30" s="3">
        <f>106013166+77971812+728553+90307512+6780158+2583050</f>
        <v>284384251</v>
      </c>
      <c r="C30" s="3">
        <v>0</v>
      </c>
      <c r="D30" s="3">
        <v>0</v>
      </c>
      <c r="E30" s="3">
        <f>20296+7131</f>
        <v>27427</v>
      </c>
      <c r="F30" s="3">
        <v>1828000</v>
      </c>
      <c r="G30" s="3">
        <v>0</v>
      </c>
      <c r="H30" s="3">
        <v>0</v>
      </c>
      <c r="I30" s="3">
        <v>0</v>
      </c>
      <c r="J30" s="3">
        <v>0</v>
      </c>
      <c r="K30" s="3">
        <f t="shared" si="1"/>
        <v>284411678</v>
      </c>
      <c r="L30" s="3">
        <f t="shared" si="2"/>
        <v>1828000</v>
      </c>
      <c r="M30" s="3">
        <f t="shared" si="3"/>
        <v>0</v>
      </c>
      <c r="N30" s="3">
        <f t="shared" si="4"/>
        <v>286239678</v>
      </c>
      <c r="O30" s="3"/>
      <c r="P30" s="3"/>
      <c r="Q30" s="3"/>
      <c r="R30" s="3"/>
      <c r="S30" s="3"/>
      <c r="T30" s="3"/>
      <c r="U30" s="3"/>
      <c r="V30" s="3"/>
    </row>
    <row r="31" spans="1:22" x14ac:dyDescent="0.15">
      <c r="A31" s="1">
        <v>1999</v>
      </c>
      <c r="B31" s="3">
        <f>222686789+97795956+3080745</f>
        <v>323563490</v>
      </c>
      <c r="C31" s="3">
        <v>0</v>
      </c>
      <c r="D31" s="3">
        <v>0</v>
      </c>
      <c r="E31" s="3">
        <f>331636000-B31</f>
        <v>8072510</v>
      </c>
      <c r="F31" s="3">
        <v>1052101</v>
      </c>
      <c r="G31" s="3">
        <v>0</v>
      </c>
      <c r="H31" s="3">
        <v>0</v>
      </c>
      <c r="I31" s="3">
        <v>0</v>
      </c>
      <c r="J31" s="3">
        <v>0</v>
      </c>
      <c r="K31" s="3">
        <f t="shared" si="1"/>
        <v>331636000</v>
      </c>
      <c r="L31" s="3">
        <f t="shared" si="2"/>
        <v>1052101</v>
      </c>
      <c r="M31" s="3">
        <f t="shared" si="3"/>
        <v>0</v>
      </c>
      <c r="N31" s="3">
        <f t="shared" si="4"/>
        <v>332688101</v>
      </c>
      <c r="O31" s="3" t="s">
        <v>220</v>
      </c>
      <c r="P31" s="3"/>
      <c r="Q31" s="3"/>
      <c r="R31" s="3"/>
      <c r="S31" s="3"/>
      <c r="T31" s="3"/>
      <c r="U31" s="3"/>
      <c r="V31" s="3"/>
    </row>
    <row r="32" spans="1:22" x14ac:dyDescent="0.15">
      <c r="A32" s="1">
        <v>2000</v>
      </c>
      <c r="B32" s="3">
        <f>247395000+109366000+4562000</f>
        <v>361323000</v>
      </c>
      <c r="C32" s="3">
        <v>0</v>
      </c>
      <c r="D32" s="3">
        <v>0</v>
      </c>
      <c r="E32" s="3">
        <f>369785000-B32</f>
        <v>8462000</v>
      </c>
      <c r="F32" s="3">
        <v>349000</v>
      </c>
      <c r="G32" s="3">
        <v>0</v>
      </c>
      <c r="H32" s="3">
        <v>0</v>
      </c>
      <c r="I32" s="3">
        <v>0</v>
      </c>
      <c r="J32" s="3">
        <v>0</v>
      </c>
      <c r="K32" s="3">
        <f t="shared" si="1"/>
        <v>369785000</v>
      </c>
      <c r="L32" s="3">
        <f t="shared" si="2"/>
        <v>349000</v>
      </c>
      <c r="M32" s="3">
        <f t="shared" si="3"/>
        <v>0</v>
      </c>
      <c r="N32" s="3">
        <f t="shared" si="4"/>
        <v>370134000</v>
      </c>
      <c r="O32" s="3" t="s">
        <v>233</v>
      </c>
      <c r="P32" s="3"/>
      <c r="Q32" s="3"/>
      <c r="R32" s="3"/>
      <c r="S32" s="3"/>
      <c r="T32" s="3"/>
      <c r="U32" s="3"/>
      <c r="V32" s="3"/>
    </row>
    <row r="33" spans="1:22" x14ac:dyDescent="0.15">
      <c r="A33" s="1">
        <v>2001</v>
      </c>
      <c r="B33" s="3">
        <f>104794514+204973486+1921920+119664255+15978745+6658080</f>
        <v>453991000</v>
      </c>
      <c r="C33" s="3">
        <v>0</v>
      </c>
      <c r="D33" s="3">
        <v>0</v>
      </c>
      <c r="E33" s="3">
        <f>461914000-B33</f>
        <v>7923000</v>
      </c>
      <c r="F33" s="3">
        <v>117000</v>
      </c>
      <c r="G33" s="3">
        <v>0</v>
      </c>
      <c r="H33" s="3">
        <v>0</v>
      </c>
      <c r="I33" s="3">
        <v>0</v>
      </c>
      <c r="J33" s="3">
        <v>0</v>
      </c>
      <c r="K33" s="3">
        <f t="shared" si="1"/>
        <v>461914000</v>
      </c>
      <c r="L33" s="3">
        <f t="shared" si="2"/>
        <v>117000</v>
      </c>
      <c r="M33" s="3">
        <f t="shared" si="3"/>
        <v>0</v>
      </c>
      <c r="N33" s="3">
        <f t="shared" si="4"/>
        <v>462031000</v>
      </c>
      <c r="O33" s="3"/>
      <c r="P33" s="3"/>
      <c r="Q33" s="3"/>
      <c r="R33" s="3"/>
      <c r="S33" s="3"/>
      <c r="T33" s="3"/>
      <c r="U33" s="3"/>
      <c r="V33" s="3"/>
    </row>
    <row r="34" spans="1:22" x14ac:dyDescent="0.15">
      <c r="A34" s="1">
        <v>2002</v>
      </c>
      <c r="B34" s="3">
        <f>290208000+205240000+11791438</f>
        <v>507239438</v>
      </c>
      <c r="C34" s="3">
        <v>0</v>
      </c>
      <c r="D34" s="3">
        <v>0</v>
      </c>
      <c r="E34" s="3">
        <f>514348000-B34</f>
        <v>7108562</v>
      </c>
      <c r="F34" s="3">
        <v>23000</v>
      </c>
      <c r="G34" s="3">
        <v>0</v>
      </c>
      <c r="H34" s="3">
        <v>0</v>
      </c>
      <c r="I34" s="3">
        <v>0</v>
      </c>
      <c r="J34" s="3">
        <v>0</v>
      </c>
      <c r="K34" s="3">
        <f t="shared" si="1"/>
        <v>514348000</v>
      </c>
      <c r="L34" s="3">
        <f t="shared" si="2"/>
        <v>23000</v>
      </c>
      <c r="M34" s="3">
        <f t="shared" si="3"/>
        <v>0</v>
      </c>
      <c r="N34" s="3">
        <f t="shared" si="4"/>
        <v>514371000</v>
      </c>
      <c r="O34" s="3"/>
      <c r="P34" s="3"/>
      <c r="Q34" s="3"/>
      <c r="R34" s="3"/>
      <c r="S34" s="3"/>
      <c r="T34" s="3"/>
      <c r="U34" s="3"/>
      <c r="V34" s="3"/>
    </row>
    <row r="35" spans="1:22" x14ac:dyDescent="0.15">
      <c r="A35" s="1">
        <v>2003</v>
      </c>
      <c r="B35" s="3">
        <v>538512000</v>
      </c>
      <c r="C35" s="3">
        <v>0</v>
      </c>
      <c r="D35" s="3">
        <v>0</v>
      </c>
      <c r="E35" s="3">
        <v>6381000</v>
      </c>
      <c r="F35" s="3">
        <v>340296</v>
      </c>
      <c r="G35" s="3">
        <v>0</v>
      </c>
      <c r="H35" s="3">
        <v>0</v>
      </c>
      <c r="I35" s="3">
        <v>0</v>
      </c>
      <c r="J35" s="3">
        <v>0</v>
      </c>
      <c r="K35" s="3">
        <f t="shared" si="1"/>
        <v>544893000</v>
      </c>
      <c r="L35" s="3">
        <f t="shared" si="2"/>
        <v>340296</v>
      </c>
      <c r="M35" s="3">
        <f t="shared" si="3"/>
        <v>0</v>
      </c>
      <c r="N35" s="3">
        <f t="shared" si="4"/>
        <v>545233296</v>
      </c>
      <c r="O35" s="3"/>
      <c r="P35" s="3"/>
      <c r="Q35" s="3"/>
      <c r="R35" s="3"/>
      <c r="S35" s="3"/>
      <c r="T35" s="3"/>
      <c r="U35" s="3"/>
      <c r="V35" s="3"/>
    </row>
    <row r="36" spans="1:22" x14ac:dyDescent="0.15">
      <c r="A36" s="1">
        <v>2004</v>
      </c>
      <c r="B36" s="3">
        <v>653737000</v>
      </c>
      <c r="C36" s="3">
        <v>0</v>
      </c>
      <c r="D36" s="3">
        <v>0</v>
      </c>
      <c r="E36" s="3">
        <v>812000</v>
      </c>
      <c r="F36" s="3">
        <v>0</v>
      </c>
      <c r="G36" s="3">
        <v>302000</v>
      </c>
      <c r="H36" s="3">
        <v>0</v>
      </c>
      <c r="I36" s="3">
        <v>0</v>
      </c>
      <c r="J36" s="3">
        <v>0</v>
      </c>
      <c r="K36" s="3">
        <v>654549000</v>
      </c>
      <c r="L36" s="3">
        <v>0</v>
      </c>
      <c r="M36" s="3">
        <v>302000</v>
      </c>
      <c r="N36" s="3">
        <v>654851000</v>
      </c>
      <c r="O36" s="3"/>
      <c r="P36" s="3"/>
      <c r="Q36" s="3"/>
      <c r="R36" s="3"/>
      <c r="S36" s="3"/>
      <c r="T36" s="3"/>
      <c r="U36" s="3"/>
      <c r="V36" s="3"/>
    </row>
    <row r="37" spans="1:22" x14ac:dyDescent="0.15">
      <c r="A37" s="1">
        <v>2005</v>
      </c>
      <c r="B37" s="3">
        <v>723165000</v>
      </c>
      <c r="C37" s="3">
        <v>0</v>
      </c>
      <c r="D37" s="3">
        <v>0</v>
      </c>
      <c r="E37" s="3">
        <v>0</v>
      </c>
      <c r="F37" s="3">
        <v>0</v>
      </c>
      <c r="G37" s="3">
        <v>381000</v>
      </c>
      <c r="H37" s="3">
        <v>0</v>
      </c>
      <c r="I37" s="3">
        <v>0</v>
      </c>
      <c r="J37" s="3">
        <v>0</v>
      </c>
      <c r="K37" s="3">
        <v>723165000</v>
      </c>
      <c r="L37" s="3">
        <v>0</v>
      </c>
      <c r="M37" s="3">
        <v>381000</v>
      </c>
      <c r="N37" s="3">
        <v>723546000</v>
      </c>
    </row>
    <row r="38" spans="1:22" x14ac:dyDescent="0.15">
      <c r="A38" s="1">
        <v>2006</v>
      </c>
      <c r="B38" s="3">
        <v>757809000</v>
      </c>
      <c r="C38" s="3">
        <v>0</v>
      </c>
      <c r="D38" s="3">
        <v>0</v>
      </c>
      <c r="E38" s="3">
        <v>0</v>
      </c>
      <c r="F38" s="3">
        <v>0</v>
      </c>
      <c r="G38" s="3">
        <v>371500</v>
      </c>
      <c r="H38" s="3">
        <v>0</v>
      </c>
      <c r="I38" s="3">
        <v>0</v>
      </c>
      <c r="J38" s="3">
        <v>0</v>
      </c>
      <c r="K38" s="3">
        <v>757809000</v>
      </c>
      <c r="L38" s="3">
        <v>0</v>
      </c>
      <c r="M38" s="3">
        <v>371500</v>
      </c>
      <c r="N38" s="3">
        <v>758180500</v>
      </c>
    </row>
    <row r="39" spans="1:22" x14ac:dyDescent="0.15">
      <c r="A39" s="1">
        <v>2007</v>
      </c>
      <c r="B39" s="3">
        <v>763008000</v>
      </c>
      <c r="C39" s="3">
        <v>0</v>
      </c>
      <c r="D39" s="3">
        <v>0</v>
      </c>
      <c r="E39" s="3">
        <v>0</v>
      </c>
      <c r="F39" s="3">
        <v>0</v>
      </c>
      <c r="G39" s="3">
        <v>391000</v>
      </c>
      <c r="H39" s="3">
        <v>0</v>
      </c>
      <c r="I39" s="3">
        <v>0</v>
      </c>
      <c r="J39" s="3">
        <v>0</v>
      </c>
      <c r="K39" s="3">
        <v>763008000</v>
      </c>
      <c r="L39" s="3">
        <v>0</v>
      </c>
      <c r="M39" s="3">
        <v>391000</v>
      </c>
      <c r="N39" s="3">
        <v>763399000</v>
      </c>
    </row>
    <row r="40" spans="1:22" x14ac:dyDescent="0.15">
      <c r="A40" s="1">
        <v>2008</v>
      </c>
      <c r="B40" s="3">
        <v>813374007</v>
      </c>
      <c r="C40" s="3">
        <v>0</v>
      </c>
      <c r="D40" s="3">
        <v>0</v>
      </c>
      <c r="E40" s="3">
        <v>0</v>
      </c>
      <c r="F40" s="3">
        <v>0</v>
      </c>
      <c r="G40" s="3">
        <v>363000</v>
      </c>
      <c r="H40" s="3">
        <v>0</v>
      </c>
      <c r="I40" s="3">
        <v>0</v>
      </c>
      <c r="J40" s="3">
        <v>0</v>
      </c>
      <c r="K40" s="3">
        <v>813374007</v>
      </c>
      <c r="L40" s="3">
        <v>0</v>
      </c>
      <c r="M40" s="3">
        <v>363000</v>
      </c>
      <c r="N40" s="3">
        <v>813737007</v>
      </c>
    </row>
    <row r="41" spans="1:22" x14ac:dyDescent="0.15">
      <c r="A41" s="1">
        <v>2009</v>
      </c>
      <c r="B41" s="3">
        <v>875448000</v>
      </c>
      <c r="C41" s="3">
        <v>0</v>
      </c>
      <c r="D41" s="3">
        <v>0</v>
      </c>
      <c r="E41" s="3">
        <v>42410</v>
      </c>
      <c r="F41" s="3">
        <v>0</v>
      </c>
      <c r="G41" s="3">
        <v>304000</v>
      </c>
      <c r="H41" s="3">
        <v>0</v>
      </c>
      <c r="I41" s="3">
        <v>0</v>
      </c>
      <c r="J41" s="3">
        <v>0</v>
      </c>
      <c r="K41" s="3">
        <v>875490410</v>
      </c>
      <c r="L41" s="3">
        <v>0</v>
      </c>
      <c r="M41" s="3">
        <v>304000</v>
      </c>
      <c r="N41" s="3">
        <v>875794410</v>
      </c>
    </row>
    <row r="42" spans="1:22" x14ac:dyDescent="0.15">
      <c r="A42" s="1">
        <v>2010</v>
      </c>
      <c r="B42" s="3">
        <v>1040518000</v>
      </c>
      <c r="C42" s="3">
        <v>0</v>
      </c>
      <c r="D42" s="3">
        <v>0</v>
      </c>
      <c r="E42" s="3">
        <v>357021</v>
      </c>
      <c r="F42" s="3">
        <v>0</v>
      </c>
      <c r="G42" s="3">
        <v>0</v>
      </c>
      <c r="H42" s="3">
        <v>0</v>
      </c>
      <c r="I42" s="3">
        <v>0</v>
      </c>
      <c r="J42" s="3">
        <v>820166</v>
      </c>
      <c r="K42" s="3">
        <v>1040875021</v>
      </c>
      <c r="L42" s="3">
        <v>0</v>
      </c>
      <c r="M42" s="3">
        <v>820166</v>
      </c>
      <c r="N42" s="3">
        <v>1041695187</v>
      </c>
      <c r="O42" s="1" t="s">
        <v>347</v>
      </c>
    </row>
    <row r="43" spans="1:22" x14ac:dyDescent="0.15">
      <c r="A43" s="1">
        <v>2011</v>
      </c>
      <c r="B43" s="3">
        <v>1269566000</v>
      </c>
      <c r="C43" s="3">
        <v>0</v>
      </c>
      <c r="D43" s="3">
        <v>0</v>
      </c>
      <c r="E43" s="3">
        <v>350638</v>
      </c>
      <c r="F43" s="3">
        <v>0</v>
      </c>
      <c r="G43" s="3">
        <v>0</v>
      </c>
      <c r="H43" s="3">
        <v>0</v>
      </c>
      <c r="I43" s="3">
        <v>0</v>
      </c>
      <c r="J43" s="3">
        <v>2549127</v>
      </c>
      <c r="K43" s="3">
        <v>1269916638</v>
      </c>
      <c r="L43" s="3">
        <v>0</v>
      </c>
      <c r="M43" s="3">
        <v>2549127</v>
      </c>
      <c r="N43" s="3">
        <v>1272465765</v>
      </c>
    </row>
    <row r="44" spans="1:22" x14ac:dyDescent="0.15">
      <c r="A44" s="1">
        <v>2012</v>
      </c>
      <c r="B44" s="3">
        <v>1492162000</v>
      </c>
      <c r="C44" s="3">
        <v>0</v>
      </c>
      <c r="D44" s="3">
        <v>0</v>
      </c>
      <c r="E44" s="3">
        <v>330025</v>
      </c>
      <c r="F44" s="3">
        <v>0</v>
      </c>
      <c r="G44" s="3">
        <v>0</v>
      </c>
      <c r="H44" s="3">
        <v>0</v>
      </c>
      <c r="I44" s="3">
        <v>0</v>
      </c>
      <c r="J44" s="3">
        <v>2419167</v>
      </c>
      <c r="K44" s="3">
        <v>1492492025</v>
      </c>
      <c r="L44" s="3">
        <v>0</v>
      </c>
      <c r="M44" s="3">
        <v>2419167</v>
      </c>
      <c r="N44" s="3">
        <v>1494911192</v>
      </c>
    </row>
    <row r="45" spans="1:22" x14ac:dyDescent="0.15">
      <c r="A45" s="1">
        <v>2013</v>
      </c>
      <c r="B45" s="3">
        <v>1518953000</v>
      </c>
      <c r="C45" s="3">
        <v>0</v>
      </c>
      <c r="D45" s="3">
        <v>0</v>
      </c>
      <c r="E45" s="3">
        <v>268125</v>
      </c>
      <c r="F45" s="3">
        <v>0</v>
      </c>
      <c r="G45" s="3">
        <v>0</v>
      </c>
      <c r="H45" s="3">
        <v>0</v>
      </c>
      <c r="I45" s="3">
        <v>0</v>
      </c>
      <c r="J45" s="3">
        <v>1988534</v>
      </c>
      <c r="K45" s="3">
        <v>1519221125</v>
      </c>
      <c r="L45" s="3">
        <v>0</v>
      </c>
      <c r="M45" s="3">
        <v>1988534</v>
      </c>
      <c r="N45" s="3">
        <v>1521209659</v>
      </c>
    </row>
    <row r="46" spans="1:22" x14ac:dyDescent="0.15">
      <c r="A46" s="1">
        <v>2014</v>
      </c>
      <c r="B46" s="3">
        <v>1671755000</v>
      </c>
      <c r="C46" s="3">
        <v>0</v>
      </c>
      <c r="D46" s="3">
        <v>0</v>
      </c>
      <c r="E46" s="3">
        <v>186608</v>
      </c>
      <c r="F46" s="3">
        <v>0</v>
      </c>
      <c r="G46" s="3">
        <v>0</v>
      </c>
      <c r="H46" s="3">
        <v>2379545</v>
      </c>
      <c r="I46" s="3">
        <v>0</v>
      </c>
      <c r="J46" s="3">
        <v>0</v>
      </c>
      <c r="K46" s="3">
        <v>1674321153</v>
      </c>
      <c r="L46" s="3">
        <v>0</v>
      </c>
      <c r="M46" s="3">
        <v>0</v>
      </c>
      <c r="N46" s="3">
        <v>1674321153</v>
      </c>
    </row>
    <row r="47" spans="1:22" x14ac:dyDescent="0.15">
      <c r="A47" s="1">
        <v>2015</v>
      </c>
      <c r="B47" s="3">
        <v>1806712000</v>
      </c>
      <c r="C47" s="3">
        <v>0</v>
      </c>
      <c r="D47" s="3">
        <v>0</v>
      </c>
      <c r="E47" s="3">
        <v>49541935</v>
      </c>
      <c r="F47" s="3">
        <v>0</v>
      </c>
      <c r="G47" s="3">
        <v>0</v>
      </c>
      <c r="H47" s="3">
        <v>2429464</v>
      </c>
      <c r="I47" s="3">
        <v>0</v>
      </c>
      <c r="J47" s="3">
        <v>0</v>
      </c>
      <c r="K47" s="3">
        <v>1858683399</v>
      </c>
      <c r="L47" s="3">
        <v>0</v>
      </c>
      <c r="M47" s="3">
        <v>0</v>
      </c>
      <c r="N47" s="3">
        <v>1858683399</v>
      </c>
    </row>
    <row r="48" spans="1:22" x14ac:dyDescent="0.15">
      <c r="A48" s="1">
        <v>2016</v>
      </c>
      <c r="B48" s="3">
        <v>1857931000</v>
      </c>
      <c r="C48" s="3">
        <v>0</v>
      </c>
      <c r="D48" s="3">
        <v>0</v>
      </c>
      <c r="E48" s="3">
        <v>44230839</v>
      </c>
      <c r="F48" s="3">
        <v>0</v>
      </c>
      <c r="G48" s="3">
        <v>0</v>
      </c>
      <c r="H48" s="3">
        <v>2445161</v>
      </c>
      <c r="I48" s="3">
        <v>0</v>
      </c>
      <c r="J48" s="3">
        <v>0</v>
      </c>
      <c r="K48" s="3">
        <v>1904607000</v>
      </c>
      <c r="L48" s="3">
        <v>0</v>
      </c>
      <c r="M48" s="3">
        <v>0</v>
      </c>
      <c r="N48" s="3">
        <v>1904607000</v>
      </c>
    </row>
  </sheetData>
  <phoneticPr fontId="0" type="noConversion"/>
  <pageMargins left="0.75" right="0.75" top="1" bottom="1" header="0.5" footer="0.5"/>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9" width="10.625" style="1"/>
    <col min="10" max="10" width="11.125" style="1" bestFit="1" customWidth="1"/>
    <col min="11" max="11" width="11.5" style="1" customWidth="1"/>
    <col min="12" max="13" width="10.625" style="1"/>
    <col min="14" max="14" width="11.625" style="1" customWidth="1"/>
    <col min="15" max="16384" width="10.625" style="1"/>
  </cols>
  <sheetData>
    <row r="1" spans="1:15" x14ac:dyDescent="0.15">
      <c r="A1" s="1" t="s">
        <v>81</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500000</v>
      </c>
      <c r="C6" s="3">
        <v>0</v>
      </c>
      <c r="D6" s="3">
        <v>0</v>
      </c>
      <c r="E6" s="3">
        <v>0</v>
      </c>
      <c r="F6" s="3">
        <v>0</v>
      </c>
      <c r="G6" s="3">
        <v>0</v>
      </c>
      <c r="H6" s="3">
        <v>0</v>
      </c>
      <c r="I6" s="3">
        <v>0</v>
      </c>
      <c r="J6" s="3">
        <v>0</v>
      </c>
      <c r="K6" s="3">
        <f t="shared" ref="K6:M21" si="0">+B6+E6+H6</f>
        <v>500000</v>
      </c>
      <c r="L6" s="3">
        <f t="shared" si="0"/>
        <v>0</v>
      </c>
      <c r="M6" s="3">
        <f t="shared" si="0"/>
        <v>0</v>
      </c>
      <c r="N6" s="3">
        <f t="shared" ref="N6:N48" si="1">+M6+L6+K6</f>
        <v>500000</v>
      </c>
      <c r="O6" s="1" t="s">
        <v>82</v>
      </c>
    </row>
    <row r="7" spans="1:15" x14ac:dyDescent="0.15">
      <c r="A7" s="1">
        <v>1975</v>
      </c>
      <c r="B7" s="3">
        <v>1643000</v>
      </c>
      <c r="C7" s="3">
        <v>0</v>
      </c>
      <c r="D7" s="3">
        <v>0</v>
      </c>
      <c r="E7" s="3">
        <v>0</v>
      </c>
      <c r="F7" s="3">
        <v>0</v>
      </c>
      <c r="G7" s="3">
        <v>0</v>
      </c>
      <c r="H7" s="3">
        <v>0</v>
      </c>
      <c r="I7" s="3">
        <v>0</v>
      </c>
      <c r="J7" s="3">
        <v>0</v>
      </c>
      <c r="K7" s="3">
        <f t="shared" si="0"/>
        <v>1643000</v>
      </c>
      <c r="L7" s="3">
        <f t="shared" si="0"/>
        <v>0</v>
      </c>
      <c r="M7" s="3">
        <f t="shared" si="0"/>
        <v>0</v>
      </c>
      <c r="N7" s="3">
        <f t="shared" si="1"/>
        <v>1643000</v>
      </c>
    </row>
    <row r="8" spans="1:15" x14ac:dyDescent="0.15">
      <c r="A8" s="1">
        <v>1976</v>
      </c>
      <c r="B8" s="3">
        <v>1794000</v>
      </c>
      <c r="C8" s="3">
        <v>0</v>
      </c>
      <c r="D8" s="3">
        <v>0</v>
      </c>
      <c r="E8" s="3">
        <v>0</v>
      </c>
      <c r="F8" s="3">
        <v>0</v>
      </c>
      <c r="G8" s="3">
        <v>0</v>
      </c>
      <c r="H8" s="3">
        <v>0</v>
      </c>
      <c r="I8" s="3">
        <v>0</v>
      </c>
      <c r="J8" s="3">
        <v>0</v>
      </c>
      <c r="K8" s="3">
        <f t="shared" si="0"/>
        <v>1794000</v>
      </c>
      <c r="L8" s="3">
        <f t="shared" si="0"/>
        <v>0</v>
      </c>
      <c r="M8" s="3">
        <f t="shared" si="0"/>
        <v>0</v>
      </c>
      <c r="N8" s="3">
        <f t="shared" si="1"/>
        <v>1794000</v>
      </c>
      <c r="O8" s="1" t="s">
        <v>93</v>
      </c>
    </row>
    <row r="9" spans="1:15" x14ac:dyDescent="0.15">
      <c r="A9" s="1">
        <v>1977</v>
      </c>
      <c r="B9" s="3">
        <v>2310000</v>
      </c>
      <c r="C9" s="3">
        <v>0</v>
      </c>
      <c r="D9" s="3">
        <v>0</v>
      </c>
      <c r="E9" s="3">
        <v>0</v>
      </c>
      <c r="F9" s="3">
        <v>0</v>
      </c>
      <c r="G9" s="3">
        <v>0</v>
      </c>
      <c r="H9" s="3">
        <v>0</v>
      </c>
      <c r="I9" s="3">
        <v>0</v>
      </c>
      <c r="J9" s="3">
        <v>0</v>
      </c>
      <c r="K9" s="3">
        <f t="shared" si="0"/>
        <v>2310000</v>
      </c>
      <c r="L9" s="3">
        <f t="shared" si="0"/>
        <v>0</v>
      </c>
      <c r="M9" s="3">
        <f t="shared" si="0"/>
        <v>0</v>
      </c>
      <c r="N9" s="3">
        <f t="shared" si="1"/>
        <v>2310000</v>
      </c>
    </row>
    <row r="10" spans="1:15" x14ac:dyDescent="0.15">
      <c r="A10" s="1">
        <v>1978</v>
      </c>
      <c r="B10" s="3">
        <v>2690000</v>
      </c>
      <c r="C10" s="3">
        <v>0</v>
      </c>
      <c r="D10" s="3">
        <v>0</v>
      </c>
      <c r="E10" s="3">
        <v>0</v>
      </c>
      <c r="F10" s="3">
        <v>0</v>
      </c>
      <c r="G10" s="3">
        <v>0</v>
      </c>
      <c r="H10" s="3">
        <v>0</v>
      </c>
      <c r="I10" s="3">
        <v>0</v>
      </c>
      <c r="J10" s="3">
        <v>0</v>
      </c>
      <c r="K10" s="3">
        <f t="shared" si="0"/>
        <v>2690000</v>
      </c>
      <c r="L10" s="3">
        <f t="shared" si="0"/>
        <v>0</v>
      </c>
      <c r="M10" s="3">
        <f t="shared" si="0"/>
        <v>0</v>
      </c>
      <c r="N10" s="3">
        <f t="shared" si="1"/>
        <v>2690000</v>
      </c>
    </row>
    <row r="11" spans="1:15" x14ac:dyDescent="0.15">
      <c r="A11" s="1">
        <v>1979</v>
      </c>
      <c r="B11" s="3">
        <v>2906000</v>
      </c>
      <c r="C11" s="3">
        <v>0</v>
      </c>
      <c r="D11" s="3">
        <v>0</v>
      </c>
      <c r="E11" s="3">
        <v>0</v>
      </c>
      <c r="F11" s="3">
        <v>0</v>
      </c>
      <c r="G11" s="3">
        <v>0</v>
      </c>
      <c r="H11" s="3">
        <v>0</v>
      </c>
      <c r="I11" s="3">
        <v>0</v>
      </c>
      <c r="J11" s="3">
        <v>0</v>
      </c>
      <c r="K11" s="3">
        <f t="shared" si="0"/>
        <v>2906000</v>
      </c>
      <c r="L11" s="3">
        <f t="shared" si="0"/>
        <v>0</v>
      </c>
      <c r="M11" s="3">
        <f t="shared" si="0"/>
        <v>0</v>
      </c>
      <c r="N11" s="3">
        <f t="shared" si="1"/>
        <v>2906000</v>
      </c>
    </row>
    <row r="12" spans="1:15" x14ac:dyDescent="0.15">
      <c r="A12" s="1">
        <v>1980</v>
      </c>
      <c r="B12" s="3">
        <v>3022000</v>
      </c>
      <c r="C12" s="3">
        <v>0</v>
      </c>
      <c r="D12" s="3">
        <v>0</v>
      </c>
      <c r="E12" s="3">
        <v>0</v>
      </c>
      <c r="F12" s="3">
        <v>0</v>
      </c>
      <c r="G12" s="3">
        <v>0</v>
      </c>
      <c r="H12" s="3">
        <v>0</v>
      </c>
      <c r="I12" s="3">
        <v>0</v>
      </c>
      <c r="J12" s="3">
        <v>0</v>
      </c>
      <c r="K12" s="3">
        <f t="shared" si="0"/>
        <v>3022000</v>
      </c>
      <c r="L12" s="3">
        <f t="shared" si="0"/>
        <v>0</v>
      </c>
      <c r="M12" s="3">
        <f t="shared" si="0"/>
        <v>0</v>
      </c>
      <c r="N12" s="3">
        <f t="shared" si="1"/>
        <v>3022000</v>
      </c>
    </row>
    <row r="13" spans="1:15" x14ac:dyDescent="0.15">
      <c r="A13" s="1">
        <v>1981</v>
      </c>
      <c r="B13" s="3">
        <v>3012000</v>
      </c>
      <c r="C13" s="3">
        <v>0</v>
      </c>
      <c r="D13" s="3">
        <v>0</v>
      </c>
      <c r="E13" s="3">
        <v>0</v>
      </c>
      <c r="F13" s="3">
        <v>0</v>
      </c>
      <c r="G13" s="3">
        <v>0</v>
      </c>
      <c r="H13" s="3">
        <v>0</v>
      </c>
      <c r="I13" s="3">
        <v>0</v>
      </c>
      <c r="J13" s="3">
        <v>0</v>
      </c>
      <c r="K13" s="3">
        <f t="shared" si="0"/>
        <v>3012000</v>
      </c>
      <c r="L13" s="3">
        <f t="shared" si="0"/>
        <v>0</v>
      </c>
      <c r="M13" s="3">
        <f t="shared" si="0"/>
        <v>0</v>
      </c>
      <c r="N13" s="3">
        <f t="shared" si="1"/>
        <v>3012000</v>
      </c>
    </row>
    <row r="14" spans="1:15" x14ac:dyDescent="0.15">
      <c r="A14" s="1">
        <v>1982</v>
      </c>
      <c r="B14" s="3">
        <v>4300000</v>
      </c>
      <c r="C14" s="3">
        <v>0</v>
      </c>
      <c r="D14" s="3">
        <v>0</v>
      </c>
      <c r="E14" s="3">
        <v>0</v>
      </c>
      <c r="F14" s="3">
        <v>0</v>
      </c>
      <c r="G14" s="3">
        <v>0</v>
      </c>
      <c r="H14" s="3">
        <v>2000000</v>
      </c>
      <c r="I14" s="3">
        <v>68000</v>
      </c>
      <c r="J14" s="3">
        <v>0</v>
      </c>
      <c r="K14" s="3">
        <f t="shared" si="0"/>
        <v>6300000</v>
      </c>
      <c r="L14" s="3">
        <f t="shared" si="0"/>
        <v>68000</v>
      </c>
      <c r="M14" s="3">
        <f t="shared" si="0"/>
        <v>0</v>
      </c>
      <c r="N14" s="3">
        <f t="shared" si="1"/>
        <v>6368000</v>
      </c>
    </row>
    <row r="15" spans="1:15" x14ac:dyDescent="0.15">
      <c r="A15" s="1">
        <v>1983</v>
      </c>
      <c r="B15" s="3">
        <v>4195000</v>
      </c>
      <c r="C15" s="3">
        <v>0</v>
      </c>
      <c r="D15" s="3">
        <v>0</v>
      </c>
      <c r="E15" s="3">
        <v>0</v>
      </c>
      <c r="F15" s="3">
        <v>0</v>
      </c>
      <c r="G15" s="3">
        <v>0</v>
      </c>
      <c r="H15" s="3">
        <v>2200000</v>
      </c>
      <c r="I15" s="3">
        <v>68000</v>
      </c>
      <c r="J15" s="3">
        <v>0</v>
      </c>
      <c r="K15" s="3">
        <f t="shared" si="0"/>
        <v>6395000</v>
      </c>
      <c r="L15" s="3">
        <f t="shared" si="0"/>
        <v>68000</v>
      </c>
      <c r="M15" s="3">
        <f t="shared" si="0"/>
        <v>0</v>
      </c>
      <c r="N15" s="3">
        <f t="shared" si="1"/>
        <v>6463000</v>
      </c>
    </row>
    <row r="16" spans="1:15" x14ac:dyDescent="0.15">
      <c r="A16" s="1">
        <v>1984</v>
      </c>
      <c r="B16" s="3">
        <v>4389000</v>
      </c>
      <c r="C16" s="3">
        <v>0</v>
      </c>
      <c r="D16" s="3">
        <v>0</v>
      </c>
      <c r="E16" s="3">
        <v>0</v>
      </c>
      <c r="F16" s="3">
        <v>0</v>
      </c>
      <c r="G16" s="3">
        <v>0</v>
      </c>
      <c r="H16" s="3">
        <v>2900000</v>
      </c>
      <c r="I16" s="3">
        <v>68000</v>
      </c>
      <c r="J16" s="3">
        <v>0</v>
      </c>
      <c r="K16" s="3">
        <f t="shared" si="0"/>
        <v>7289000</v>
      </c>
      <c r="L16" s="3">
        <f t="shared" si="0"/>
        <v>68000</v>
      </c>
      <c r="M16" s="3">
        <f t="shared" si="0"/>
        <v>0</v>
      </c>
      <c r="N16" s="3">
        <f t="shared" si="1"/>
        <v>7357000</v>
      </c>
      <c r="O16" s="1" t="s">
        <v>161</v>
      </c>
    </row>
    <row r="17" spans="1:14" x14ac:dyDescent="0.15">
      <c r="A17" s="1">
        <v>1985</v>
      </c>
      <c r="B17" s="3">
        <v>4877000</v>
      </c>
      <c r="C17" s="3">
        <v>0</v>
      </c>
      <c r="D17" s="3">
        <v>0</v>
      </c>
      <c r="E17" s="3">
        <v>0</v>
      </c>
      <c r="F17" s="3">
        <v>0</v>
      </c>
      <c r="G17" s="3">
        <v>0</v>
      </c>
      <c r="H17" s="3">
        <v>0</v>
      </c>
      <c r="I17" s="3">
        <v>0</v>
      </c>
      <c r="J17" s="3">
        <v>0</v>
      </c>
      <c r="K17" s="3">
        <f t="shared" si="0"/>
        <v>4877000</v>
      </c>
      <c r="L17" s="3">
        <f t="shared" si="0"/>
        <v>0</v>
      </c>
      <c r="M17" s="3">
        <f t="shared" si="0"/>
        <v>0</v>
      </c>
      <c r="N17" s="3">
        <f t="shared" si="1"/>
        <v>4877000</v>
      </c>
    </row>
    <row r="18" spans="1:14" x14ac:dyDescent="0.15">
      <c r="A18" s="1">
        <v>1986</v>
      </c>
      <c r="B18" s="3">
        <v>5227000</v>
      </c>
      <c r="C18" s="3">
        <v>0</v>
      </c>
      <c r="D18" s="3">
        <v>0</v>
      </c>
      <c r="E18" s="3">
        <v>0</v>
      </c>
      <c r="F18" s="3">
        <v>0</v>
      </c>
      <c r="G18" s="3">
        <v>0</v>
      </c>
      <c r="H18" s="3">
        <v>0</v>
      </c>
      <c r="I18" s="3">
        <v>0</v>
      </c>
      <c r="J18" s="3">
        <v>0</v>
      </c>
      <c r="K18" s="3">
        <f t="shared" si="0"/>
        <v>5227000</v>
      </c>
      <c r="L18" s="3">
        <f t="shared" si="0"/>
        <v>0</v>
      </c>
      <c r="M18" s="3">
        <f t="shared" si="0"/>
        <v>0</v>
      </c>
      <c r="N18" s="3">
        <f t="shared" si="1"/>
        <v>5227000</v>
      </c>
    </row>
    <row r="19" spans="1:14" x14ac:dyDescent="0.15">
      <c r="A19" s="1">
        <v>1987</v>
      </c>
      <c r="B19" s="3">
        <v>5203000</v>
      </c>
      <c r="C19" s="3">
        <v>0</v>
      </c>
      <c r="D19" s="3">
        <v>0</v>
      </c>
      <c r="E19" s="3">
        <v>0</v>
      </c>
      <c r="F19" s="3">
        <v>0</v>
      </c>
      <c r="G19" s="3">
        <v>0</v>
      </c>
      <c r="H19" s="3">
        <v>0</v>
      </c>
      <c r="I19" s="3">
        <v>0</v>
      </c>
      <c r="J19" s="3">
        <v>0</v>
      </c>
      <c r="K19" s="3">
        <f t="shared" si="0"/>
        <v>5203000</v>
      </c>
      <c r="L19" s="3">
        <f t="shared" si="0"/>
        <v>0</v>
      </c>
      <c r="M19" s="3">
        <f t="shared" si="0"/>
        <v>0</v>
      </c>
      <c r="N19" s="3">
        <f t="shared" si="1"/>
        <v>5203000</v>
      </c>
    </row>
    <row r="20" spans="1:14" x14ac:dyDescent="0.15">
      <c r="A20" s="1">
        <v>1988</v>
      </c>
      <c r="B20" s="3">
        <v>5227000</v>
      </c>
      <c r="C20" s="3">
        <v>0</v>
      </c>
      <c r="D20" s="3">
        <v>0</v>
      </c>
      <c r="E20" s="3">
        <v>0</v>
      </c>
      <c r="F20" s="3">
        <v>0</v>
      </c>
      <c r="G20" s="3">
        <v>0</v>
      </c>
      <c r="H20" s="3">
        <v>0</v>
      </c>
      <c r="I20" s="3">
        <v>0</v>
      </c>
      <c r="J20" s="3">
        <v>0</v>
      </c>
      <c r="K20" s="3">
        <f t="shared" si="0"/>
        <v>5227000</v>
      </c>
      <c r="L20" s="3">
        <f t="shared" si="0"/>
        <v>0</v>
      </c>
      <c r="M20" s="3">
        <f t="shared" si="0"/>
        <v>0</v>
      </c>
      <c r="N20" s="3">
        <f t="shared" si="1"/>
        <v>5227000</v>
      </c>
    </row>
    <row r="21" spans="1:14" x14ac:dyDescent="0.15">
      <c r="A21" s="1">
        <v>1989</v>
      </c>
      <c r="B21" s="3">
        <v>5228000</v>
      </c>
      <c r="C21" s="3">
        <v>0</v>
      </c>
      <c r="D21" s="3">
        <v>0</v>
      </c>
      <c r="E21" s="3">
        <v>0</v>
      </c>
      <c r="F21" s="3">
        <v>0</v>
      </c>
      <c r="G21" s="3">
        <v>0</v>
      </c>
      <c r="H21" s="3">
        <v>0</v>
      </c>
      <c r="I21" s="3">
        <v>0</v>
      </c>
      <c r="J21" s="3">
        <v>0</v>
      </c>
      <c r="K21" s="3">
        <f t="shared" si="0"/>
        <v>5228000</v>
      </c>
      <c r="L21" s="3">
        <f t="shared" si="0"/>
        <v>0</v>
      </c>
      <c r="M21" s="3">
        <f t="shared" si="0"/>
        <v>0</v>
      </c>
      <c r="N21" s="3">
        <f t="shared" si="1"/>
        <v>5228000</v>
      </c>
    </row>
    <row r="22" spans="1:14" x14ac:dyDescent="0.15">
      <c r="A22" s="1">
        <v>1990</v>
      </c>
      <c r="B22" s="3">
        <v>5272000</v>
      </c>
      <c r="C22" s="3">
        <v>0</v>
      </c>
      <c r="D22" s="3">
        <v>0</v>
      </c>
      <c r="E22" s="3">
        <v>0</v>
      </c>
      <c r="F22" s="3">
        <v>0</v>
      </c>
      <c r="G22" s="3">
        <v>0</v>
      </c>
      <c r="H22" s="3">
        <v>0</v>
      </c>
      <c r="I22" s="3">
        <v>0</v>
      </c>
      <c r="J22" s="3">
        <v>0</v>
      </c>
      <c r="K22" s="3">
        <f t="shared" ref="K22:M35" si="2">+B22+E22+H22</f>
        <v>5272000</v>
      </c>
      <c r="L22" s="3">
        <f t="shared" si="2"/>
        <v>0</v>
      </c>
      <c r="M22" s="3">
        <f t="shared" si="2"/>
        <v>0</v>
      </c>
      <c r="N22" s="3">
        <f t="shared" si="1"/>
        <v>5272000</v>
      </c>
    </row>
    <row r="23" spans="1:14" x14ac:dyDescent="0.15">
      <c r="A23" s="1">
        <v>1991</v>
      </c>
      <c r="B23" s="3">
        <v>5550000</v>
      </c>
      <c r="C23" s="3">
        <v>0</v>
      </c>
      <c r="D23" s="3">
        <v>0</v>
      </c>
      <c r="E23" s="3">
        <v>0</v>
      </c>
      <c r="F23" s="3">
        <v>0</v>
      </c>
      <c r="G23" s="3">
        <v>0</v>
      </c>
      <c r="H23" s="3">
        <v>0</v>
      </c>
      <c r="I23" s="3">
        <v>0</v>
      </c>
      <c r="J23" s="3">
        <v>0</v>
      </c>
      <c r="K23" s="3">
        <f t="shared" si="2"/>
        <v>5550000</v>
      </c>
      <c r="L23" s="3">
        <f t="shared" si="2"/>
        <v>0</v>
      </c>
      <c r="M23" s="3">
        <f t="shared" si="2"/>
        <v>0</v>
      </c>
      <c r="N23" s="3">
        <f t="shared" si="1"/>
        <v>5550000</v>
      </c>
    </row>
    <row r="24" spans="1:14" x14ac:dyDescent="0.15">
      <c r="A24" s="1">
        <v>1992</v>
      </c>
      <c r="B24" s="3">
        <v>5806000</v>
      </c>
      <c r="C24" s="3">
        <v>0</v>
      </c>
      <c r="D24" s="3">
        <v>0</v>
      </c>
      <c r="E24" s="3">
        <v>0</v>
      </c>
      <c r="F24" s="3">
        <v>0</v>
      </c>
      <c r="G24" s="3">
        <v>0</v>
      </c>
      <c r="H24" s="3">
        <v>0</v>
      </c>
      <c r="I24" s="3">
        <v>0</v>
      </c>
      <c r="J24" s="3">
        <v>0</v>
      </c>
      <c r="K24" s="3">
        <f t="shared" si="2"/>
        <v>5806000</v>
      </c>
      <c r="L24" s="3">
        <f t="shared" si="2"/>
        <v>0</v>
      </c>
      <c r="M24" s="3">
        <f t="shared" si="2"/>
        <v>0</v>
      </c>
      <c r="N24" s="3">
        <f t="shared" si="1"/>
        <v>5806000</v>
      </c>
    </row>
    <row r="25" spans="1:14" x14ac:dyDescent="0.15">
      <c r="A25" s="1">
        <v>1993</v>
      </c>
      <c r="B25" s="3">
        <v>5868000</v>
      </c>
      <c r="C25" s="3">
        <v>0</v>
      </c>
      <c r="D25" s="3">
        <v>0</v>
      </c>
      <c r="E25" s="3">
        <v>0</v>
      </c>
      <c r="F25" s="3">
        <v>0</v>
      </c>
      <c r="G25" s="3">
        <v>0</v>
      </c>
      <c r="H25" s="3">
        <v>0</v>
      </c>
      <c r="I25" s="3">
        <v>0</v>
      </c>
      <c r="J25" s="3">
        <v>0</v>
      </c>
      <c r="K25" s="3">
        <f t="shared" si="2"/>
        <v>5868000</v>
      </c>
      <c r="L25" s="3">
        <f t="shared" si="2"/>
        <v>0</v>
      </c>
      <c r="M25" s="3">
        <f t="shared" si="2"/>
        <v>0</v>
      </c>
      <c r="N25" s="3">
        <f t="shared" si="1"/>
        <v>5868000</v>
      </c>
    </row>
    <row r="26" spans="1:14" x14ac:dyDescent="0.15">
      <c r="A26" s="1">
        <v>1994</v>
      </c>
      <c r="B26" s="3">
        <v>5802000</v>
      </c>
      <c r="C26" s="3">
        <v>0</v>
      </c>
      <c r="D26" s="3">
        <v>0</v>
      </c>
      <c r="E26" s="3">
        <v>0</v>
      </c>
      <c r="F26" s="3">
        <v>0</v>
      </c>
      <c r="G26" s="3">
        <v>0</v>
      </c>
      <c r="H26" s="3">
        <v>0</v>
      </c>
      <c r="I26" s="3">
        <v>0</v>
      </c>
      <c r="J26" s="3">
        <v>0</v>
      </c>
      <c r="K26" s="3">
        <f t="shared" si="2"/>
        <v>5802000</v>
      </c>
      <c r="L26" s="3">
        <f t="shared" si="2"/>
        <v>0</v>
      </c>
      <c r="M26" s="3">
        <f t="shared" si="2"/>
        <v>0</v>
      </c>
      <c r="N26" s="3">
        <f t="shared" si="1"/>
        <v>5802000</v>
      </c>
    </row>
    <row r="27" spans="1:14" x14ac:dyDescent="0.15">
      <c r="A27" s="1">
        <v>1995</v>
      </c>
      <c r="B27" s="3">
        <v>6761000</v>
      </c>
      <c r="C27" s="3">
        <v>0</v>
      </c>
      <c r="D27" s="3">
        <v>0</v>
      </c>
      <c r="E27" s="3">
        <v>0</v>
      </c>
      <c r="F27" s="3">
        <v>0</v>
      </c>
      <c r="G27" s="3">
        <v>0</v>
      </c>
      <c r="H27" s="3">
        <v>0</v>
      </c>
      <c r="I27" s="3">
        <v>0</v>
      </c>
      <c r="J27" s="3">
        <v>0</v>
      </c>
      <c r="K27" s="3">
        <f t="shared" si="2"/>
        <v>6761000</v>
      </c>
      <c r="L27" s="3">
        <f t="shared" si="2"/>
        <v>0</v>
      </c>
      <c r="M27" s="3">
        <f t="shared" si="2"/>
        <v>0</v>
      </c>
      <c r="N27" s="3">
        <f t="shared" si="1"/>
        <v>6761000</v>
      </c>
    </row>
    <row r="28" spans="1:14" x14ac:dyDescent="0.15">
      <c r="A28" s="1">
        <v>1996</v>
      </c>
      <c r="B28" s="3">
        <v>8132642</v>
      </c>
      <c r="C28" s="3">
        <v>0</v>
      </c>
      <c r="D28" s="3">
        <v>0</v>
      </c>
      <c r="E28" s="3">
        <v>0</v>
      </c>
      <c r="F28" s="3">
        <v>0</v>
      </c>
      <c r="G28" s="3">
        <v>0</v>
      </c>
      <c r="H28" s="3">
        <v>0</v>
      </c>
      <c r="I28" s="3">
        <v>0</v>
      </c>
      <c r="J28" s="3">
        <v>0</v>
      </c>
      <c r="K28" s="3">
        <f t="shared" si="2"/>
        <v>8132642</v>
      </c>
      <c r="L28" s="3">
        <f t="shared" si="2"/>
        <v>0</v>
      </c>
      <c r="M28" s="3">
        <f t="shared" si="2"/>
        <v>0</v>
      </c>
      <c r="N28" s="3">
        <f t="shared" si="1"/>
        <v>8132642</v>
      </c>
    </row>
    <row r="29" spans="1:14" x14ac:dyDescent="0.15">
      <c r="A29" s="1">
        <v>1997</v>
      </c>
      <c r="B29" s="3">
        <v>10406691</v>
      </c>
      <c r="C29" s="3">
        <v>0</v>
      </c>
      <c r="D29" s="3">
        <v>0</v>
      </c>
      <c r="E29" s="3">
        <f>10527000-B29</f>
        <v>120309</v>
      </c>
      <c r="F29" s="3">
        <v>0</v>
      </c>
      <c r="G29" s="3">
        <v>0</v>
      </c>
      <c r="H29" s="3">
        <v>0</v>
      </c>
      <c r="I29" s="3">
        <v>0</v>
      </c>
      <c r="J29" s="3">
        <v>0</v>
      </c>
      <c r="K29" s="3">
        <f t="shared" si="2"/>
        <v>10527000</v>
      </c>
      <c r="L29" s="3">
        <f t="shared" si="2"/>
        <v>0</v>
      </c>
      <c r="M29" s="3">
        <f t="shared" si="2"/>
        <v>0</v>
      </c>
      <c r="N29" s="3">
        <f t="shared" si="1"/>
        <v>10527000</v>
      </c>
    </row>
    <row r="30" spans="1:14" x14ac:dyDescent="0.15">
      <c r="A30" s="1">
        <v>1998</v>
      </c>
      <c r="B30" s="3">
        <f>9448561+2640422</f>
        <v>12088983</v>
      </c>
      <c r="C30" s="3">
        <v>0</v>
      </c>
      <c r="D30" s="3">
        <v>0</v>
      </c>
      <c r="E30" s="3">
        <f>12139000-B30</f>
        <v>50017</v>
      </c>
      <c r="F30" s="3">
        <v>0</v>
      </c>
      <c r="G30" s="3">
        <v>0</v>
      </c>
      <c r="H30" s="3">
        <v>0</v>
      </c>
      <c r="I30" s="3">
        <v>0</v>
      </c>
      <c r="J30" s="3">
        <v>0</v>
      </c>
      <c r="K30" s="3">
        <f t="shared" si="2"/>
        <v>12139000</v>
      </c>
      <c r="L30" s="3">
        <f t="shared" si="2"/>
        <v>0</v>
      </c>
      <c r="M30" s="3">
        <f t="shared" si="2"/>
        <v>0</v>
      </c>
      <c r="N30" s="3">
        <f t="shared" si="1"/>
        <v>12139000</v>
      </c>
    </row>
    <row r="31" spans="1:14" x14ac:dyDescent="0.15">
      <c r="A31" s="1">
        <v>1999</v>
      </c>
      <c r="B31" s="3">
        <v>13102725</v>
      </c>
      <c r="C31" s="3">
        <v>0</v>
      </c>
      <c r="D31" s="3">
        <v>0</v>
      </c>
      <c r="E31" s="3">
        <v>0</v>
      </c>
      <c r="F31" s="3">
        <v>0</v>
      </c>
      <c r="G31" s="3">
        <v>0</v>
      </c>
      <c r="H31" s="3">
        <v>0</v>
      </c>
      <c r="I31" s="3">
        <v>0</v>
      </c>
      <c r="J31" s="3">
        <v>0</v>
      </c>
      <c r="K31" s="3">
        <f t="shared" si="2"/>
        <v>13102725</v>
      </c>
      <c r="L31" s="3">
        <f t="shared" si="2"/>
        <v>0</v>
      </c>
      <c r="M31" s="3">
        <f t="shared" si="2"/>
        <v>0</v>
      </c>
      <c r="N31" s="3">
        <f t="shared" si="1"/>
        <v>13102725</v>
      </c>
    </row>
    <row r="32" spans="1:14" x14ac:dyDescent="0.15">
      <c r="A32" s="1">
        <v>2000</v>
      </c>
      <c r="B32" s="3">
        <v>15406977</v>
      </c>
      <c r="C32" s="3">
        <v>0</v>
      </c>
      <c r="D32" s="3">
        <v>0</v>
      </c>
      <c r="E32" s="3">
        <v>728314</v>
      </c>
      <c r="F32" s="3">
        <v>0</v>
      </c>
      <c r="G32" s="3">
        <v>0</v>
      </c>
      <c r="H32" s="3">
        <v>0</v>
      </c>
      <c r="I32" s="3">
        <v>0</v>
      </c>
      <c r="J32" s="3">
        <v>0</v>
      </c>
      <c r="K32" s="3">
        <f t="shared" si="2"/>
        <v>16135291</v>
      </c>
      <c r="L32" s="3">
        <f t="shared" si="2"/>
        <v>0</v>
      </c>
      <c r="M32" s="3">
        <f t="shared" si="2"/>
        <v>0</v>
      </c>
      <c r="N32" s="3">
        <f t="shared" si="1"/>
        <v>16135291</v>
      </c>
    </row>
    <row r="33" spans="1:15" x14ac:dyDescent="0.15">
      <c r="A33" s="1">
        <v>2001</v>
      </c>
      <c r="B33" s="3">
        <f>13244146+3737717+85336</f>
        <v>17067199</v>
      </c>
      <c r="C33" s="3">
        <v>0</v>
      </c>
      <c r="D33" s="3">
        <v>0</v>
      </c>
      <c r="E33" s="3">
        <f>18217000-B33</f>
        <v>1149801</v>
      </c>
      <c r="F33" s="3">
        <v>0</v>
      </c>
      <c r="G33" s="3">
        <v>0</v>
      </c>
      <c r="H33" s="3">
        <v>0</v>
      </c>
      <c r="I33" s="3">
        <v>0</v>
      </c>
      <c r="J33" s="3">
        <v>0</v>
      </c>
      <c r="K33" s="3">
        <f t="shared" si="2"/>
        <v>18217000</v>
      </c>
      <c r="L33" s="3">
        <f t="shared" si="2"/>
        <v>0</v>
      </c>
      <c r="M33" s="3">
        <f t="shared" si="2"/>
        <v>0</v>
      </c>
      <c r="N33" s="3">
        <f t="shared" si="1"/>
        <v>18217000</v>
      </c>
    </row>
    <row r="34" spans="1:15" x14ac:dyDescent="0.15">
      <c r="A34" s="1">
        <v>2002</v>
      </c>
      <c r="B34" s="3">
        <v>19380613</v>
      </c>
      <c r="C34" s="3">
        <v>0</v>
      </c>
      <c r="D34" s="3">
        <v>0</v>
      </c>
      <c r="E34" s="3">
        <f>21054000-B34</f>
        <v>1673387</v>
      </c>
      <c r="F34" s="3">
        <v>0</v>
      </c>
      <c r="G34" s="3">
        <v>0</v>
      </c>
      <c r="H34" s="3">
        <v>0</v>
      </c>
      <c r="I34" s="3">
        <v>0</v>
      </c>
      <c r="J34" s="3">
        <v>0</v>
      </c>
      <c r="K34" s="3">
        <f t="shared" si="2"/>
        <v>21054000</v>
      </c>
      <c r="L34" s="3">
        <f t="shared" si="2"/>
        <v>0</v>
      </c>
      <c r="M34" s="3">
        <f t="shared" si="2"/>
        <v>0</v>
      </c>
      <c r="N34" s="3">
        <f t="shared" si="1"/>
        <v>21054000</v>
      </c>
    </row>
    <row r="35" spans="1:15" x14ac:dyDescent="0.15">
      <c r="A35" s="1">
        <v>2003</v>
      </c>
      <c r="B35" s="3">
        <v>19174756</v>
      </c>
      <c r="C35" s="3">
        <v>0</v>
      </c>
      <c r="D35" s="3">
        <v>0</v>
      </c>
      <c r="E35" s="3">
        <v>0</v>
      </c>
      <c r="F35" s="3">
        <v>0</v>
      </c>
      <c r="G35" s="3">
        <v>0</v>
      </c>
      <c r="H35" s="3">
        <v>10000000</v>
      </c>
      <c r="I35" s="3">
        <v>0</v>
      </c>
      <c r="J35" s="3">
        <v>8995358</v>
      </c>
      <c r="K35" s="3">
        <f t="shared" si="2"/>
        <v>29174756</v>
      </c>
      <c r="L35" s="3">
        <f t="shared" si="2"/>
        <v>0</v>
      </c>
      <c r="M35" s="3">
        <f t="shared" si="2"/>
        <v>8995358</v>
      </c>
      <c r="N35" s="3">
        <f t="shared" si="1"/>
        <v>38170114</v>
      </c>
      <c r="O35" s="1" t="s">
        <v>335</v>
      </c>
    </row>
    <row r="36" spans="1:15" x14ac:dyDescent="0.15">
      <c r="A36" s="1">
        <v>2004</v>
      </c>
      <c r="B36" s="3">
        <v>20322999</v>
      </c>
      <c r="C36" s="3">
        <v>0</v>
      </c>
      <c r="D36" s="3">
        <v>0</v>
      </c>
      <c r="E36" s="3">
        <v>2539612</v>
      </c>
      <c r="F36" s="3">
        <v>0</v>
      </c>
      <c r="G36" s="3">
        <v>0</v>
      </c>
      <c r="H36" s="3">
        <v>29224212</v>
      </c>
      <c r="I36" s="3">
        <v>1574228</v>
      </c>
      <c r="J36" s="3">
        <v>43000</v>
      </c>
      <c r="K36" s="3">
        <f t="shared" ref="K36:K42" si="3">+B36+E36+H36</f>
        <v>52086823</v>
      </c>
      <c r="L36" s="3">
        <f t="shared" ref="L36:L42" si="4">+C36+F36+I36</f>
        <v>1574228</v>
      </c>
      <c r="M36" s="3">
        <f t="shared" ref="M36:M42" si="5">+D36+G36+J36</f>
        <v>43000</v>
      </c>
      <c r="N36" s="3">
        <f t="shared" si="1"/>
        <v>53704051</v>
      </c>
    </row>
    <row r="37" spans="1:15" x14ac:dyDescent="0.15">
      <c r="A37" s="1">
        <v>2005</v>
      </c>
      <c r="B37" s="15">
        <v>20544912</v>
      </c>
      <c r="C37" s="3">
        <v>0</v>
      </c>
      <c r="D37" s="3">
        <v>0</v>
      </c>
      <c r="E37" s="3">
        <v>3420713</v>
      </c>
      <c r="F37" s="3">
        <v>0</v>
      </c>
      <c r="G37" s="3">
        <v>0</v>
      </c>
      <c r="H37" s="3">
        <v>31186262</v>
      </c>
      <c r="I37" s="3">
        <v>2514100</v>
      </c>
      <c r="J37" s="3">
        <v>7514489</v>
      </c>
      <c r="K37" s="3">
        <f t="shared" si="3"/>
        <v>55151887</v>
      </c>
      <c r="L37" s="3">
        <f t="shared" si="4"/>
        <v>2514100</v>
      </c>
      <c r="M37" s="3">
        <f t="shared" si="5"/>
        <v>7514489</v>
      </c>
      <c r="N37" s="3">
        <f t="shared" si="1"/>
        <v>65180476</v>
      </c>
      <c r="O37" s="1" t="s">
        <v>349</v>
      </c>
    </row>
    <row r="38" spans="1:15" x14ac:dyDescent="0.15">
      <c r="A38" s="1">
        <v>2006</v>
      </c>
      <c r="B38" s="3">
        <v>20303483</v>
      </c>
      <c r="C38" s="3">
        <v>0</v>
      </c>
      <c r="D38" s="3">
        <v>0</v>
      </c>
      <c r="E38" s="3">
        <v>4418013</v>
      </c>
      <c r="F38" s="3">
        <v>0</v>
      </c>
      <c r="G38" s="3">
        <v>0</v>
      </c>
      <c r="H38" s="3">
        <v>46259029</v>
      </c>
      <c r="I38" s="3">
        <v>265000</v>
      </c>
      <c r="J38" s="3">
        <v>0</v>
      </c>
      <c r="K38" s="3">
        <f t="shared" si="3"/>
        <v>70980525</v>
      </c>
      <c r="L38" s="3">
        <f t="shared" si="4"/>
        <v>265000</v>
      </c>
      <c r="M38" s="3">
        <f t="shared" si="5"/>
        <v>0</v>
      </c>
      <c r="N38" s="3">
        <f t="shared" si="1"/>
        <v>71245525</v>
      </c>
    </row>
    <row r="39" spans="1:15" x14ac:dyDescent="0.15">
      <c r="A39" s="1">
        <v>2007</v>
      </c>
      <c r="B39" s="3">
        <v>27434291</v>
      </c>
      <c r="C39" s="3">
        <v>0</v>
      </c>
      <c r="D39" s="3">
        <v>0</v>
      </c>
      <c r="E39" s="3">
        <v>4242911</v>
      </c>
      <c r="F39" s="3">
        <v>0</v>
      </c>
      <c r="G39" s="3">
        <v>0</v>
      </c>
      <c r="H39" s="3">
        <v>46205427</v>
      </c>
      <c r="I39" s="3">
        <v>140000</v>
      </c>
      <c r="J39" s="3">
        <v>0</v>
      </c>
      <c r="K39" s="3">
        <f t="shared" si="3"/>
        <v>77882629</v>
      </c>
      <c r="L39" s="3">
        <f t="shared" si="4"/>
        <v>140000</v>
      </c>
      <c r="M39" s="3">
        <f t="shared" si="5"/>
        <v>0</v>
      </c>
      <c r="N39" s="3">
        <f t="shared" si="1"/>
        <v>78022629</v>
      </c>
    </row>
    <row r="40" spans="1:15" x14ac:dyDescent="0.15">
      <c r="A40" s="1">
        <v>2008</v>
      </c>
      <c r="B40" s="3">
        <v>30351576</v>
      </c>
      <c r="C40" s="3">
        <v>0</v>
      </c>
      <c r="D40" s="3">
        <v>0</v>
      </c>
      <c r="E40" s="3">
        <v>4188601</v>
      </c>
      <c r="F40" s="3">
        <v>0</v>
      </c>
      <c r="G40" s="3">
        <v>0</v>
      </c>
      <c r="H40" s="3">
        <v>47947282</v>
      </c>
      <c r="I40" s="3">
        <v>100000</v>
      </c>
      <c r="J40" s="3">
        <v>0</v>
      </c>
      <c r="K40" s="3">
        <f t="shared" si="3"/>
        <v>82487459</v>
      </c>
      <c r="L40" s="3">
        <f t="shared" si="4"/>
        <v>100000</v>
      </c>
      <c r="M40" s="3">
        <f t="shared" si="5"/>
        <v>0</v>
      </c>
      <c r="N40" s="3">
        <f t="shared" si="1"/>
        <v>82587459</v>
      </c>
    </row>
    <row r="41" spans="1:15" x14ac:dyDescent="0.15">
      <c r="A41" s="1">
        <v>2009</v>
      </c>
      <c r="B41" s="3">
        <v>35286338</v>
      </c>
      <c r="C41" s="3">
        <v>0</v>
      </c>
      <c r="D41" s="3">
        <v>0</v>
      </c>
      <c r="E41" s="3">
        <v>5011624</v>
      </c>
      <c r="F41" s="3">
        <v>0</v>
      </c>
      <c r="G41" s="3">
        <v>0</v>
      </c>
      <c r="H41" s="3">
        <v>53092710</v>
      </c>
      <c r="I41" s="3">
        <v>220000</v>
      </c>
      <c r="J41" s="3">
        <v>0</v>
      </c>
      <c r="K41" s="3">
        <f t="shared" si="3"/>
        <v>93390672</v>
      </c>
      <c r="L41" s="3">
        <f t="shared" si="4"/>
        <v>220000</v>
      </c>
      <c r="M41" s="3">
        <f t="shared" si="5"/>
        <v>0</v>
      </c>
      <c r="N41" s="3">
        <f t="shared" si="1"/>
        <v>93610672</v>
      </c>
    </row>
    <row r="42" spans="1:15" x14ac:dyDescent="0.15">
      <c r="A42" s="1">
        <v>2010</v>
      </c>
      <c r="B42" s="3">
        <v>40082411</v>
      </c>
      <c r="C42" s="3">
        <v>0</v>
      </c>
      <c r="D42" s="3">
        <v>0</v>
      </c>
      <c r="E42" s="3">
        <v>4252879</v>
      </c>
      <c r="F42" s="3">
        <v>0</v>
      </c>
      <c r="G42" s="3">
        <v>0</v>
      </c>
      <c r="H42" s="3">
        <v>56885852</v>
      </c>
      <c r="I42" s="3">
        <v>190000</v>
      </c>
      <c r="J42" s="3">
        <v>0</v>
      </c>
      <c r="K42" s="3">
        <f t="shared" si="3"/>
        <v>101221142</v>
      </c>
      <c r="L42" s="3">
        <f t="shared" si="4"/>
        <v>190000</v>
      </c>
      <c r="M42" s="3">
        <f t="shared" si="5"/>
        <v>0</v>
      </c>
      <c r="N42" s="3">
        <f t="shared" si="1"/>
        <v>101411142</v>
      </c>
    </row>
    <row r="43" spans="1:15" x14ac:dyDescent="0.15">
      <c r="A43" s="1">
        <v>2011</v>
      </c>
      <c r="B43" s="3">
        <v>37136887</v>
      </c>
      <c r="C43" s="3">
        <v>0</v>
      </c>
      <c r="D43" s="3">
        <v>0</v>
      </c>
      <c r="E43" s="3">
        <v>4470987</v>
      </c>
      <c r="F43" s="3">
        <v>0</v>
      </c>
      <c r="G43" s="3">
        <v>0</v>
      </c>
      <c r="H43" s="3">
        <v>59308105</v>
      </c>
      <c r="I43" s="3">
        <v>250000</v>
      </c>
      <c r="J43" s="3">
        <v>0</v>
      </c>
      <c r="K43" s="3">
        <f t="shared" ref="K43:K48" si="6">+B43+E43+H43</f>
        <v>100915979</v>
      </c>
      <c r="L43" s="3">
        <f t="shared" ref="L43:L48" si="7">+C43+F43+I43</f>
        <v>250000</v>
      </c>
      <c r="M43" s="3">
        <f t="shared" ref="M43:M48" si="8">+D43+G43+J43</f>
        <v>0</v>
      </c>
      <c r="N43" s="3">
        <f t="shared" si="1"/>
        <v>101165979</v>
      </c>
    </row>
    <row r="44" spans="1:15" x14ac:dyDescent="0.15">
      <c r="A44" s="1">
        <v>2012</v>
      </c>
      <c r="B44" s="3">
        <v>39246984</v>
      </c>
      <c r="C44" s="3">
        <v>0</v>
      </c>
      <c r="D44" s="3">
        <v>0</v>
      </c>
      <c r="E44" s="3">
        <v>5229479</v>
      </c>
      <c r="F44" s="3">
        <v>0</v>
      </c>
      <c r="G44" s="3">
        <v>0</v>
      </c>
      <c r="H44" s="3">
        <v>59497647</v>
      </c>
      <c r="I44" s="3">
        <v>190000</v>
      </c>
      <c r="J44" s="3">
        <v>0</v>
      </c>
      <c r="K44" s="3">
        <f t="shared" si="6"/>
        <v>103974110</v>
      </c>
      <c r="L44" s="3">
        <f t="shared" si="7"/>
        <v>190000</v>
      </c>
      <c r="M44" s="3">
        <f t="shared" si="8"/>
        <v>0</v>
      </c>
      <c r="N44" s="3">
        <f t="shared" si="1"/>
        <v>104164110</v>
      </c>
    </row>
    <row r="45" spans="1:15" x14ac:dyDescent="0.15">
      <c r="A45" s="1">
        <v>2013</v>
      </c>
      <c r="B45" s="3">
        <v>40796109</v>
      </c>
      <c r="C45" s="3">
        <v>0</v>
      </c>
      <c r="D45" s="3">
        <v>0</v>
      </c>
      <c r="E45" s="3">
        <v>4470529</v>
      </c>
      <c r="F45" s="3">
        <v>0</v>
      </c>
      <c r="G45" s="3">
        <v>0</v>
      </c>
      <c r="H45" s="3">
        <v>60876305</v>
      </c>
      <c r="I45" s="3">
        <v>130000</v>
      </c>
      <c r="J45" s="3">
        <v>0</v>
      </c>
      <c r="K45" s="3">
        <f t="shared" si="6"/>
        <v>106142943</v>
      </c>
      <c r="L45" s="3">
        <f t="shared" si="7"/>
        <v>130000</v>
      </c>
      <c r="M45" s="3">
        <f t="shared" si="8"/>
        <v>0</v>
      </c>
      <c r="N45" s="3">
        <f t="shared" si="1"/>
        <v>106272943</v>
      </c>
    </row>
    <row r="46" spans="1:15" x14ac:dyDescent="0.15">
      <c r="A46" s="1">
        <v>2014</v>
      </c>
      <c r="B46" s="3">
        <v>40779992</v>
      </c>
      <c r="C46" s="3">
        <v>0</v>
      </c>
      <c r="D46" s="3">
        <v>0</v>
      </c>
      <c r="E46" s="3">
        <v>4636527</v>
      </c>
      <c r="F46" s="3">
        <v>0</v>
      </c>
      <c r="G46" s="3">
        <v>0</v>
      </c>
      <c r="H46" s="3">
        <v>59415292</v>
      </c>
      <c r="I46" s="3">
        <v>230000</v>
      </c>
      <c r="J46" s="3">
        <v>0</v>
      </c>
      <c r="K46" s="3">
        <f t="shared" si="6"/>
        <v>104831811</v>
      </c>
      <c r="L46" s="3">
        <f t="shared" si="7"/>
        <v>230000</v>
      </c>
      <c r="M46" s="3">
        <f t="shared" si="8"/>
        <v>0</v>
      </c>
      <c r="N46" s="3">
        <f t="shared" si="1"/>
        <v>105061811</v>
      </c>
    </row>
    <row r="47" spans="1:15" x14ac:dyDescent="0.15">
      <c r="A47" s="1">
        <v>2015</v>
      </c>
      <c r="B47" s="3">
        <v>40517028</v>
      </c>
      <c r="C47" s="3">
        <v>0</v>
      </c>
      <c r="D47" s="3">
        <v>0</v>
      </c>
      <c r="E47" s="3">
        <v>4578701</v>
      </c>
      <c r="F47" s="3">
        <v>0</v>
      </c>
      <c r="G47" s="3">
        <v>0</v>
      </c>
      <c r="H47" s="3">
        <v>59645724</v>
      </c>
      <c r="I47" s="3">
        <v>200000</v>
      </c>
      <c r="J47" s="3">
        <v>0</v>
      </c>
      <c r="K47" s="3">
        <f t="shared" si="6"/>
        <v>104741453</v>
      </c>
      <c r="L47" s="3">
        <f t="shared" si="7"/>
        <v>200000</v>
      </c>
      <c r="M47" s="3">
        <f t="shared" si="8"/>
        <v>0</v>
      </c>
      <c r="N47" s="3">
        <f t="shared" si="1"/>
        <v>104941453</v>
      </c>
    </row>
    <row r="48" spans="1:15" x14ac:dyDescent="0.15">
      <c r="A48" s="1">
        <v>2016</v>
      </c>
      <c r="B48" s="3">
        <v>38037030</v>
      </c>
      <c r="C48" s="3">
        <v>0</v>
      </c>
      <c r="D48" s="3">
        <v>0</v>
      </c>
      <c r="E48" s="3">
        <v>4215704</v>
      </c>
      <c r="F48" s="3">
        <v>0</v>
      </c>
      <c r="G48" s="3">
        <v>0</v>
      </c>
      <c r="H48" s="3">
        <v>57624661</v>
      </c>
      <c r="I48" s="3">
        <v>270000</v>
      </c>
      <c r="J48" s="3">
        <v>0</v>
      </c>
      <c r="K48" s="3">
        <f t="shared" si="6"/>
        <v>99877395</v>
      </c>
      <c r="L48" s="3">
        <f t="shared" si="7"/>
        <v>270000</v>
      </c>
      <c r="M48" s="3">
        <f t="shared" si="8"/>
        <v>0</v>
      </c>
      <c r="N48" s="3">
        <f t="shared" si="1"/>
        <v>100147395</v>
      </c>
    </row>
  </sheetData>
  <phoneticPr fontId="0" type="noConversion"/>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2.125" style="1" customWidth="1"/>
    <col min="3" max="10" width="10.625" style="1"/>
    <col min="11" max="11" width="11.625" style="1" customWidth="1"/>
    <col min="12" max="13" width="10.625" style="1"/>
    <col min="14" max="14" width="12.25" style="1" customWidth="1"/>
    <col min="15" max="16384" width="10.625" style="1"/>
  </cols>
  <sheetData>
    <row r="1" spans="1:15" x14ac:dyDescent="0.15">
      <c r="A1" s="1" t="s">
        <v>83</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4398727</v>
      </c>
      <c r="C6" s="3">
        <v>0</v>
      </c>
      <c r="D6" s="3">
        <v>0</v>
      </c>
      <c r="E6" s="3">
        <f>4625205+650807+557150+853845</f>
        <v>6687007</v>
      </c>
      <c r="F6" s="3">
        <v>0</v>
      </c>
      <c r="G6" s="3">
        <v>0</v>
      </c>
      <c r="H6" s="3">
        <v>0</v>
      </c>
      <c r="I6" s="3">
        <v>0</v>
      </c>
      <c r="J6" s="3">
        <v>0</v>
      </c>
      <c r="K6" s="3">
        <f t="shared" ref="K6:M21" si="0">+B6+E6+H6</f>
        <v>11085734</v>
      </c>
      <c r="L6" s="3">
        <f t="shared" si="0"/>
        <v>0</v>
      </c>
      <c r="M6" s="3">
        <f t="shared" si="0"/>
        <v>0</v>
      </c>
      <c r="N6" s="3">
        <f t="shared" ref="N6:N35" si="1">+M6+L6+K6</f>
        <v>11085734</v>
      </c>
      <c r="O6" s="1" t="s">
        <v>84</v>
      </c>
    </row>
    <row r="7" spans="1:15" x14ac:dyDescent="0.15">
      <c r="A7" s="1">
        <v>1975</v>
      </c>
      <c r="B7" s="3">
        <v>4683000</v>
      </c>
      <c r="C7" s="3">
        <v>0</v>
      </c>
      <c r="D7" s="3">
        <v>0</v>
      </c>
      <c r="E7" s="3">
        <f>5294000+1486000+584000+884000</f>
        <v>8248000</v>
      </c>
      <c r="F7" s="3">
        <v>0</v>
      </c>
      <c r="G7" s="3">
        <v>0</v>
      </c>
      <c r="H7" s="3">
        <v>0</v>
      </c>
      <c r="I7" s="3">
        <v>0</v>
      </c>
      <c r="J7" s="3">
        <v>0</v>
      </c>
      <c r="K7" s="3">
        <f t="shared" si="0"/>
        <v>12931000</v>
      </c>
      <c r="L7" s="3">
        <f t="shared" si="0"/>
        <v>0</v>
      </c>
      <c r="M7" s="3">
        <f t="shared" si="0"/>
        <v>0</v>
      </c>
      <c r="N7" s="3">
        <f t="shared" si="1"/>
        <v>12931000</v>
      </c>
    </row>
    <row r="8" spans="1:15" x14ac:dyDescent="0.15">
      <c r="A8" s="1">
        <v>1976</v>
      </c>
      <c r="B8" s="3">
        <v>6884000</v>
      </c>
      <c r="C8" s="3">
        <v>0</v>
      </c>
      <c r="D8" s="3">
        <v>0</v>
      </c>
      <c r="E8" s="3">
        <f>5993000+918000+1575000+776000</f>
        <v>9262000</v>
      </c>
      <c r="F8" s="3">
        <v>0</v>
      </c>
      <c r="G8" s="3">
        <v>0</v>
      </c>
      <c r="H8" s="3">
        <v>0</v>
      </c>
      <c r="I8" s="3">
        <v>0</v>
      </c>
      <c r="J8" s="3">
        <v>0</v>
      </c>
      <c r="K8" s="3">
        <f t="shared" si="0"/>
        <v>16146000</v>
      </c>
      <c r="L8" s="3">
        <f t="shared" si="0"/>
        <v>0</v>
      </c>
      <c r="M8" s="3">
        <f t="shared" si="0"/>
        <v>0</v>
      </c>
      <c r="N8" s="3">
        <f t="shared" si="1"/>
        <v>16146000</v>
      </c>
    </row>
    <row r="9" spans="1:15" x14ac:dyDescent="0.15">
      <c r="A9" s="1">
        <v>1977</v>
      </c>
      <c r="B9" s="3">
        <v>11655000</v>
      </c>
      <c r="C9" s="3">
        <v>0</v>
      </c>
      <c r="D9" s="3">
        <v>0</v>
      </c>
      <c r="E9" s="3">
        <f>6674000+952000</f>
        <v>7626000</v>
      </c>
      <c r="F9" s="3">
        <v>0</v>
      </c>
      <c r="G9" s="3">
        <v>0</v>
      </c>
      <c r="H9" s="3">
        <v>0</v>
      </c>
      <c r="I9" s="3">
        <v>0</v>
      </c>
      <c r="J9" s="3">
        <v>0</v>
      </c>
      <c r="K9" s="3">
        <f t="shared" si="0"/>
        <v>19281000</v>
      </c>
      <c r="L9" s="3">
        <f t="shared" si="0"/>
        <v>0</v>
      </c>
      <c r="M9" s="3">
        <f t="shared" si="0"/>
        <v>0</v>
      </c>
      <c r="N9" s="3">
        <f t="shared" si="1"/>
        <v>19281000</v>
      </c>
    </row>
    <row r="10" spans="1:15" x14ac:dyDescent="0.15">
      <c r="A10" s="1">
        <v>1978</v>
      </c>
      <c r="B10" s="3">
        <v>12939000</v>
      </c>
      <c r="C10" s="3">
        <v>0</v>
      </c>
      <c r="D10" s="3">
        <v>0</v>
      </c>
      <c r="E10" s="3">
        <f>7327000+977000</f>
        <v>8304000</v>
      </c>
      <c r="F10" s="3">
        <v>0</v>
      </c>
      <c r="G10" s="3">
        <v>0</v>
      </c>
      <c r="H10" s="3">
        <v>0</v>
      </c>
      <c r="I10" s="3">
        <v>0</v>
      </c>
      <c r="J10" s="3">
        <v>0</v>
      </c>
      <c r="K10" s="3">
        <f t="shared" si="0"/>
        <v>21243000</v>
      </c>
      <c r="L10" s="3">
        <f t="shared" si="0"/>
        <v>0</v>
      </c>
      <c r="M10" s="3">
        <f t="shared" si="0"/>
        <v>0</v>
      </c>
      <c r="N10" s="3">
        <f t="shared" si="1"/>
        <v>21243000</v>
      </c>
    </row>
    <row r="11" spans="1:15" x14ac:dyDescent="0.15">
      <c r="A11" s="1">
        <v>1979</v>
      </c>
      <c r="B11" s="3">
        <v>13941000</v>
      </c>
      <c r="C11" s="3">
        <v>0</v>
      </c>
      <c r="D11" s="3">
        <v>0</v>
      </c>
      <c r="E11" s="3">
        <f>8044000+830000</f>
        <v>8874000</v>
      </c>
      <c r="F11" s="3">
        <v>0</v>
      </c>
      <c r="G11" s="3">
        <v>0</v>
      </c>
      <c r="H11" s="3">
        <v>0</v>
      </c>
      <c r="I11" s="3">
        <v>0</v>
      </c>
      <c r="J11" s="3">
        <v>0</v>
      </c>
      <c r="K11" s="3">
        <f t="shared" si="0"/>
        <v>22815000</v>
      </c>
      <c r="L11" s="3">
        <f t="shared" si="0"/>
        <v>0</v>
      </c>
      <c r="M11" s="3">
        <f t="shared" si="0"/>
        <v>0</v>
      </c>
      <c r="N11" s="3">
        <f t="shared" si="1"/>
        <v>22815000</v>
      </c>
    </row>
    <row r="12" spans="1:15" x14ac:dyDescent="0.15">
      <c r="A12" s="1">
        <v>1980</v>
      </c>
      <c r="B12" s="3">
        <v>10281000</v>
      </c>
      <c r="C12" s="3">
        <v>0</v>
      </c>
      <c r="D12" s="3">
        <v>0</v>
      </c>
      <c r="E12" s="3">
        <f>10460000+890000</f>
        <v>11350000</v>
      </c>
      <c r="F12" s="3">
        <v>0</v>
      </c>
      <c r="G12" s="3">
        <v>0</v>
      </c>
      <c r="H12" s="3">
        <v>0</v>
      </c>
      <c r="I12" s="3">
        <v>0</v>
      </c>
      <c r="J12" s="3">
        <v>0</v>
      </c>
      <c r="K12" s="3">
        <f t="shared" si="0"/>
        <v>21631000</v>
      </c>
      <c r="L12" s="3">
        <f t="shared" si="0"/>
        <v>0</v>
      </c>
      <c r="M12" s="3">
        <f t="shared" si="0"/>
        <v>0</v>
      </c>
      <c r="N12" s="3">
        <f t="shared" si="1"/>
        <v>21631000</v>
      </c>
    </row>
    <row r="13" spans="1:15" x14ac:dyDescent="0.15">
      <c r="A13" s="1">
        <v>1981</v>
      </c>
      <c r="B13" s="3">
        <v>10526000</v>
      </c>
      <c r="C13" s="3">
        <v>0</v>
      </c>
      <c r="D13" s="3">
        <v>0</v>
      </c>
      <c r="E13" s="3">
        <f>10033000+838000</f>
        <v>10871000</v>
      </c>
      <c r="F13" s="3">
        <v>0</v>
      </c>
      <c r="G13" s="3">
        <v>0</v>
      </c>
      <c r="H13" s="3">
        <v>0</v>
      </c>
      <c r="I13" s="3">
        <v>0</v>
      </c>
      <c r="J13" s="3">
        <v>0</v>
      </c>
      <c r="K13" s="3">
        <f t="shared" si="0"/>
        <v>21397000</v>
      </c>
      <c r="L13" s="3">
        <f t="shared" si="0"/>
        <v>0</v>
      </c>
      <c r="M13" s="3">
        <f t="shared" si="0"/>
        <v>0</v>
      </c>
      <c r="N13" s="3">
        <f t="shared" si="1"/>
        <v>21397000</v>
      </c>
    </row>
    <row r="14" spans="1:15" x14ac:dyDescent="0.15">
      <c r="A14" s="1">
        <v>1982</v>
      </c>
      <c r="B14" s="3">
        <v>9950000</v>
      </c>
      <c r="C14" s="3">
        <v>0</v>
      </c>
      <c r="D14" s="3">
        <v>0</v>
      </c>
      <c r="E14" s="3">
        <f>9992000+887000</f>
        <v>10879000</v>
      </c>
      <c r="F14" s="3">
        <v>9000</v>
      </c>
      <c r="G14" s="3">
        <v>0</v>
      </c>
      <c r="H14" s="3">
        <v>0</v>
      </c>
      <c r="I14" s="3">
        <v>0</v>
      </c>
      <c r="J14" s="3">
        <v>0</v>
      </c>
      <c r="K14" s="3">
        <f t="shared" si="0"/>
        <v>20829000</v>
      </c>
      <c r="L14" s="3">
        <f t="shared" si="0"/>
        <v>9000</v>
      </c>
      <c r="M14" s="3">
        <f t="shared" si="0"/>
        <v>0</v>
      </c>
      <c r="N14" s="3">
        <f t="shared" si="1"/>
        <v>20838000</v>
      </c>
    </row>
    <row r="15" spans="1:15" x14ac:dyDescent="0.15">
      <c r="A15" s="1">
        <v>1983</v>
      </c>
      <c r="B15" s="3">
        <v>11354000</v>
      </c>
      <c r="C15" s="3">
        <v>0</v>
      </c>
      <c r="D15" s="3">
        <v>0</v>
      </c>
      <c r="E15" s="3">
        <f>10783000+891000</f>
        <v>11674000</v>
      </c>
      <c r="F15" s="3">
        <v>9000</v>
      </c>
      <c r="G15" s="3">
        <v>0</v>
      </c>
      <c r="H15" s="3">
        <v>0</v>
      </c>
      <c r="I15" s="3">
        <v>0</v>
      </c>
      <c r="J15" s="3">
        <v>0</v>
      </c>
      <c r="K15" s="3">
        <f t="shared" si="0"/>
        <v>23028000</v>
      </c>
      <c r="L15" s="3">
        <f t="shared" si="0"/>
        <v>9000</v>
      </c>
      <c r="M15" s="3">
        <f t="shared" si="0"/>
        <v>0</v>
      </c>
      <c r="N15" s="3">
        <f t="shared" si="1"/>
        <v>23037000</v>
      </c>
    </row>
    <row r="16" spans="1:15" x14ac:dyDescent="0.15">
      <c r="A16" s="1">
        <v>1984</v>
      </c>
      <c r="B16" s="3">
        <v>9038000</v>
      </c>
      <c r="C16" s="3">
        <v>0</v>
      </c>
      <c r="D16" s="3">
        <v>0</v>
      </c>
      <c r="E16" s="3">
        <f>11053000+931000+2501000</f>
        <v>14485000</v>
      </c>
      <c r="F16" s="3">
        <v>9000</v>
      </c>
      <c r="G16" s="3">
        <v>0</v>
      </c>
      <c r="H16" s="3">
        <v>0</v>
      </c>
      <c r="I16" s="3">
        <v>0</v>
      </c>
      <c r="J16" s="3">
        <v>0</v>
      </c>
      <c r="K16" s="3">
        <f t="shared" si="0"/>
        <v>23523000</v>
      </c>
      <c r="L16" s="3">
        <f t="shared" si="0"/>
        <v>9000</v>
      </c>
      <c r="M16" s="3">
        <f t="shared" si="0"/>
        <v>0</v>
      </c>
      <c r="N16" s="3">
        <f t="shared" si="1"/>
        <v>23532000</v>
      </c>
    </row>
    <row r="17" spans="1:14" x14ac:dyDescent="0.15">
      <c r="A17" s="1">
        <v>1985</v>
      </c>
      <c r="B17" s="3">
        <v>10376000</v>
      </c>
      <c r="C17" s="3">
        <v>0</v>
      </c>
      <c r="D17" s="3">
        <v>0</v>
      </c>
      <c r="E17" s="3">
        <f>11207000+976000+80000+2600000</f>
        <v>14863000</v>
      </c>
      <c r="F17" s="3">
        <v>0</v>
      </c>
      <c r="G17" s="3">
        <v>0</v>
      </c>
      <c r="H17" s="3">
        <v>0</v>
      </c>
      <c r="I17" s="3">
        <v>0</v>
      </c>
      <c r="J17" s="3">
        <v>0</v>
      </c>
      <c r="K17" s="3">
        <f t="shared" si="0"/>
        <v>25239000</v>
      </c>
      <c r="L17" s="3">
        <f t="shared" si="0"/>
        <v>0</v>
      </c>
      <c r="M17" s="3">
        <f t="shared" si="0"/>
        <v>0</v>
      </c>
      <c r="N17" s="3">
        <f t="shared" si="1"/>
        <v>25239000</v>
      </c>
    </row>
    <row r="18" spans="1:14" x14ac:dyDescent="0.15">
      <c r="A18" s="1">
        <v>1986</v>
      </c>
      <c r="B18" s="3">
        <v>12298000</v>
      </c>
      <c r="C18" s="3">
        <v>0</v>
      </c>
      <c r="D18" s="3">
        <v>0</v>
      </c>
      <c r="E18" s="3">
        <f>11644000+1015000+115000+3168000</f>
        <v>15942000</v>
      </c>
      <c r="F18" s="3">
        <v>0</v>
      </c>
      <c r="G18" s="3">
        <v>0</v>
      </c>
      <c r="H18" s="3">
        <v>0</v>
      </c>
      <c r="I18" s="3">
        <v>0</v>
      </c>
      <c r="J18" s="3">
        <v>0</v>
      </c>
      <c r="K18" s="3">
        <f t="shared" si="0"/>
        <v>28240000</v>
      </c>
      <c r="L18" s="3">
        <f t="shared" si="0"/>
        <v>0</v>
      </c>
      <c r="M18" s="3">
        <f t="shared" si="0"/>
        <v>0</v>
      </c>
      <c r="N18" s="3">
        <f t="shared" si="1"/>
        <v>28240000</v>
      </c>
    </row>
    <row r="19" spans="1:14" x14ac:dyDescent="0.15">
      <c r="A19" s="1">
        <v>1987</v>
      </c>
      <c r="B19" s="3">
        <v>14598000</v>
      </c>
      <c r="C19" s="3">
        <v>0</v>
      </c>
      <c r="D19" s="3">
        <v>0</v>
      </c>
      <c r="E19" s="3">
        <f>11743000+1060000+100000+3032000+375000</f>
        <v>16310000</v>
      </c>
      <c r="F19" s="3">
        <v>0</v>
      </c>
      <c r="G19" s="3">
        <v>0</v>
      </c>
      <c r="H19" s="3">
        <v>0</v>
      </c>
      <c r="I19" s="3">
        <v>0</v>
      </c>
      <c r="J19" s="3">
        <v>0</v>
      </c>
      <c r="K19" s="3">
        <f t="shared" si="0"/>
        <v>30908000</v>
      </c>
      <c r="L19" s="3">
        <f t="shared" si="0"/>
        <v>0</v>
      </c>
      <c r="M19" s="3">
        <f t="shared" si="0"/>
        <v>0</v>
      </c>
      <c r="N19" s="3">
        <f t="shared" si="1"/>
        <v>30908000</v>
      </c>
    </row>
    <row r="20" spans="1:14" x14ac:dyDescent="0.15">
      <c r="A20" s="1">
        <v>1988</v>
      </c>
      <c r="B20" s="3">
        <v>17618000</v>
      </c>
      <c r="C20" s="3">
        <v>0</v>
      </c>
      <c r="D20" s="3">
        <v>0</v>
      </c>
      <c r="E20" s="3">
        <f>12154000+104000+3223000+558000</f>
        <v>16039000</v>
      </c>
      <c r="F20" s="3">
        <v>0</v>
      </c>
      <c r="G20" s="3">
        <v>1097000</v>
      </c>
      <c r="H20" s="3">
        <v>0</v>
      </c>
      <c r="I20" s="3">
        <v>0</v>
      </c>
      <c r="J20" s="3">
        <v>0</v>
      </c>
      <c r="K20" s="3">
        <f t="shared" si="0"/>
        <v>33657000</v>
      </c>
      <c r="L20" s="3">
        <f t="shared" si="0"/>
        <v>0</v>
      </c>
      <c r="M20" s="3">
        <f t="shared" si="0"/>
        <v>1097000</v>
      </c>
      <c r="N20" s="3">
        <f t="shared" si="1"/>
        <v>34754000</v>
      </c>
    </row>
    <row r="21" spans="1:14" x14ac:dyDescent="0.15">
      <c r="A21" s="1">
        <v>1989</v>
      </c>
      <c r="B21" s="3">
        <v>18624000</v>
      </c>
      <c r="C21" s="3">
        <v>0</v>
      </c>
      <c r="D21" s="3">
        <v>0</v>
      </c>
      <c r="E21" s="3">
        <f>12404000+113000+3290000+401000+202000</f>
        <v>16410000</v>
      </c>
      <c r="F21" s="3">
        <v>0</v>
      </c>
      <c r="G21" s="3">
        <v>1185000</v>
      </c>
      <c r="H21" s="3">
        <v>0</v>
      </c>
      <c r="I21" s="3">
        <v>0</v>
      </c>
      <c r="J21" s="3">
        <v>0</v>
      </c>
      <c r="K21" s="3">
        <f t="shared" si="0"/>
        <v>35034000</v>
      </c>
      <c r="L21" s="3">
        <f t="shared" si="0"/>
        <v>0</v>
      </c>
      <c r="M21" s="3">
        <f t="shared" si="0"/>
        <v>1185000</v>
      </c>
      <c r="N21" s="3">
        <f t="shared" si="1"/>
        <v>36219000</v>
      </c>
    </row>
    <row r="22" spans="1:14" x14ac:dyDescent="0.15">
      <c r="A22" s="1">
        <v>1990</v>
      </c>
      <c r="B22" s="3">
        <v>19642000</v>
      </c>
      <c r="C22" s="3">
        <v>0</v>
      </c>
      <c r="D22" s="3">
        <v>0</v>
      </c>
      <c r="E22" s="3">
        <f>13235000+117000+4327000+417000+210000</f>
        <v>18306000</v>
      </c>
      <c r="F22" s="3">
        <v>0</v>
      </c>
      <c r="G22" s="3">
        <v>1233000</v>
      </c>
      <c r="H22" s="3">
        <v>0</v>
      </c>
      <c r="I22" s="3">
        <v>0</v>
      </c>
      <c r="J22" s="3">
        <v>0</v>
      </c>
      <c r="K22" s="3">
        <f t="shared" ref="K22:M35" si="2">+B22+E22+H22</f>
        <v>37948000</v>
      </c>
      <c r="L22" s="3">
        <f t="shared" si="2"/>
        <v>0</v>
      </c>
      <c r="M22" s="3">
        <f t="shared" si="2"/>
        <v>1233000</v>
      </c>
      <c r="N22" s="3">
        <f t="shared" si="1"/>
        <v>39181000</v>
      </c>
    </row>
    <row r="23" spans="1:14" x14ac:dyDescent="0.15">
      <c r="A23" s="1">
        <v>1991</v>
      </c>
      <c r="B23" s="3">
        <v>20647000</v>
      </c>
      <c r="C23" s="3">
        <v>0</v>
      </c>
      <c r="D23" s="3">
        <v>0</v>
      </c>
      <c r="E23" s="3">
        <f>14446000+1318000+131000+4695000+445000+220000+200000</f>
        <v>21455000</v>
      </c>
      <c r="F23" s="3">
        <v>0</v>
      </c>
      <c r="G23" s="3">
        <v>0</v>
      </c>
      <c r="H23" s="3">
        <v>700000</v>
      </c>
      <c r="I23" s="3">
        <v>0</v>
      </c>
      <c r="J23" s="3">
        <v>0</v>
      </c>
      <c r="K23" s="3">
        <f t="shared" si="2"/>
        <v>42802000</v>
      </c>
      <c r="L23" s="3">
        <f t="shared" si="2"/>
        <v>0</v>
      </c>
      <c r="M23" s="3">
        <f t="shared" si="2"/>
        <v>0</v>
      </c>
      <c r="N23" s="3">
        <f t="shared" si="1"/>
        <v>42802000</v>
      </c>
    </row>
    <row r="24" spans="1:14" x14ac:dyDescent="0.15">
      <c r="A24" s="1">
        <v>1992</v>
      </c>
      <c r="B24" s="3">
        <v>21102000</v>
      </c>
      <c r="C24" s="3">
        <v>0</v>
      </c>
      <c r="D24" s="3">
        <v>0</v>
      </c>
      <c r="E24" s="3">
        <f>14337000+1507000+105000+4675000+445000+224000+200000</f>
        <v>21493000</v>
      </c>
      <c r="F24" s="3">
        <v>0</v>
      </c>
      <c r="G24" s="3">
        <v>0</v>
      </c>
      <c r="H24" s="3">
        <v>1183000</v>
      </c>
      <c r="I24" s="3">
        <v>0</v>
      </c>
      <c r="J24" s="3">
        <v>0</v>
      </c>
      <c r="K24" s="3">
        <f t="shared" si="2"/>
        <v>43778000</v>
      </c>
      <c r="L24" s="3">
        <f t="shared" si="2"/>
        <v>0</v>
      </c>
      <c r="M24" s="3">
        <f t="shared" si="2"/>
        <v>0</v>
      </c>
      <c r="N24" s="3">
        <f t="shared" si="1"/>
        <v>43778000</v>
      </c>
    </row>
    <row r="25" spans="1:14" x14ac:dyDescent="0.15">
      <c r="A25" s="1">
        <v>1993</v>
      </c>
      <c r="B25" s="3">
        <v>21840000</v>
      </c>
      <c r="C25" s="3">
        <v>0</v>
      </c>
      <c r="D25" s="3">
        <v>0</v>
      </c>
      <c r="E25" s="3">
        <f>14839000+1552000+124000+4969000+460000+232000+200000</f>
        <v>22376000</v>
      </c>
      <c r="F25" s="3">
        <v>8000</v>
      </c>
      <c r="G25" s="3">
        <v>0</v>
      </c>
      <c r="H25" s="3">
        <v>1712000</v>
      </c>
      <c r="I25" s="3">
        <v>0</v>
      </c>
      <c r="J25" s="3">
        <v>0</v>
      </c>
      <c r="K25" s="3">
        <f t="shared" si="2"/>
        <v>45928000</v>
      </c>
      <c r="L25" s="3">
        <f t="shared" si="2"/>
        <v>8000</v>
      </c>
      <c r="M25" s="3">
        <f t="shared" si="2"/>
        <v>0</v>
      </c>
      <c r="N25" s="3">
        <f t="shared" si="1"/>
        <v>45936000</v>
      </c>
    </row>
    <row r="26" spans="1:14" x14ac:dyDescent="0.15">
      <c r="A26" s="1">
        <v>1994</v>
      </c>
      <c r="B26" s="3">
        <v>23369000</v>
      </c>
      <c r="C26" s="3">
        <v>0</v>
      </c>
      <c r="D26" s="3">
        <v>0</v>
      </c>
      <c r="E26" s="3">
        <f>15433000+1544000+124000+5230000+460000+232000+200000</f>
        <v>23223000</v>
      </c>
      <c r="F26" s="3">
        <v>16000</v>
      </c>
      <c r="G26" s="3">
        <v>0</v>
      </c>
      <c r="H26" s="3">
        <v>2447000</v>
      </c>
      <c r="I26" s="3">
        <v>0</v>
      </c>
      <c r="J26" s="3">
        <v>0</v>
      </c>
      <c r="K26" s="3">
        <f t="shared" si="2"/>
        <v>49039000</v>
      </c>
      <c r="L26" s="3">
        <f t="shared" si="2"/>
        <v>16000</v>
      </c>
      <c r="M26" s="3">
        <f t="shared" si="2"/>
        <v>0</v>
      </c>
      <c r="N26" s="3">
        <f t="shared" si="1"/>
        <v>49055000</v>
      </c>
    </row>
    <row r="27" spans="1:14" x14ac:dyDescent="0.15">
      <c r="A27" s="1">
        <v>1995</v>
      </c>
      <c r="B27" s="3">
        <v>25381622</v>
      </c>
      <c r="C27" s="3">
        <v>0</v>
      </c>
      <c r="D27" s="3">
        <v>0</v>
      </c>
      <c r="E27" s="3">
        <f>49511000-B27</f>
        <v>24129378</v>
      </c>
      <c r="F27" s="3">
        <v>24000</v>
      </c>
      <c r="G27" s="3">
        <v>0</v>
      </c>
      <c r="H27" s="3">
        <v>2844000</v>
      </c>
      <c r="I27" s="3">
        <v>8436000</v>
      </c>
      <c r="J27" s="3">
        <v>0</v>
      </c>
      <c r="K27" s="3">
        <f t="shared" si="2"/>
        <v>52355000</v>
      </c>
      <c r="L27" s="3">
        <f t="shared" si="2"/>
        <v>8460000</v>
      </c>
      <c r="M27" s="3">
        <f t="shared" si="2"/>
        <v>0</v>
      </c>
      <c r="N27" s="3">
        <f t="shared" si="1"/>
        <v>60815000</v>
      </c>
    </row>
    <row r="28" spans="1:14" x14ac:dyDescent="0.15">
      <c r="A28" s="1">
        <v>1996</v>
      </c>
      <c r="B28" s="3">
        <v>23739412</v>
      </c>
      <c r="C28" s="3">
        <v>0</v>
      </c>
      <c r="D28" s="3">
        <v>0</v>
      </c>
      <c r="E28" s="3">
        <f>46470000-B28</f>
        <v>22730588</v>
      </c>
      <c r="F28" s="3">
        <v>0</v>
      </c>
      <c r="G28" s="3">
        <v>0</v>
      </c>
      <c r="H28" s="3">
        <v>3058000</v>
      </c>
      <c r="I28" s="3">
        <v>1167000</v>
      </c>
      <c r="J28" s="3">
        <v>0</v>
      </c>
      <c r="K28" s="3">
        <f t="shared" si="2"/>
        <v>49528000</v>
      </c>
      <c r="L28" s="3">
        <f t="shared" si="2"/>
        <v>1167000</v>
      </c>
      <c r="M28" s="3">
        <f t="shared" si="2"/>
        <v>0</v>
      </c>
      <c r="N28" s="3">
        <f t="shared" si="1"/>
        <v>50695000</v>
      </c>
    </row>
    <row r="29" spans="1:14" x14ac:dyDescent="0.15">
      <c r="A29" s="1">
        <v>1997</v>
      </c>
      <c r="B29" s="3">
        <v>26490079</v>
      </c>
      <c r="C29" s="3">
        <v>0</v>
      </c>
      <c r="D29" s="3">
        <v>0</v>
      </c>
      <c r="E29" s="3">
        <f>49008000-B29</f>
        <v>22517921</v>
      </c>
      <c r="F29" s="3">
        <v>0</v>
      </c>
      <c r="G29" s="3">
        <v>0</v>
      </c>
      <c r="H29" s="3">
        <v>3160000</v>
      </c>
      <c r="I29" s="3">
        <v>5178000</v>
      </c>
      <c r="J29" s="3">
        <v>0</v>
      </c>
      <c r="K29" s="3">
        <f t="shared" si="2"/>
        <v>52168000</v>
      </c>
      <c r="L29" s="3">
        <f t="shared" si="2"/>
        <v>5178000</v>
      </c>
      <c r="M29" s="3">
        <f t="shared" si="2"/>
        <v>0</v>
      </c>
      <c r="N29" s="3">
        <f t="shared" si="1"/>
        <v>57346000</v>
      </c>
    </row>
    <row r="30" spans="1:14" x14ac:dyDescent="0.15">
      <c r="A30" s="1">
        <v>1998</v>
      </c>
      <c r="B30" s="3">
        <f>15751149+11230344</f>
        <v>26981493</v>
      </c>
      <c r="C30" s="3">
        <v>0</v>
      </c>
      <c r="D30" s="3">
        <v>0</v>
      </c>
      <c r="E30" s="3">
        <f>50536000-B30</f>
        <v>23554507</v>
      </c>
      <c r="F30" s="3">
        <v>0</v>
      </c>
      <c r="G30" s="3">
        <v>0</v>
      </c>
      <c r="H30" s="3">
        <v>3170000</v>
      </c>
      <c r="I30" s="3">
        <v>5272000</v>
      </c>
      <c r="J30" s="3">
        <v>0</v>
      </c>
      <c r="K30" s="3">
        <f t="shared" si="2"/>
        <v>53706000</v>
      </c>
      <c r="L30" s="3">
        <f t="shared" si="2"/>
        <v>5272000</v>
      </c>
      <c r="M30" s="3">
        <f t="shared" si="2"/>
        <v>0</v>
      </c>
      <c r="N30" s="3">
        <f t="shared" si="1"/>
        <v>58978000</v>
      </c>
    </row>
    <row r="31" spans="1:14" x14ac:dyDescent="0.15">
      <c r="A31" s="1">
        <v>1999</v>
      </c>
      <c r="B31" s="3">
        <f>17470802+11795124</f>
        <v>29265926</v>
      </c>
      <c r="C31" s="3">
        <v>0</v>
      </c>
      <c r="D31" s="3">
        <v>0</v>
      </c>
      <c r="E31" s="3">
        <f>53711000-B31</f>
        <v>24445074</v>
      </c>
      <c r="F31" s="3">
        <v>0</v>
      </c>
      <c r="G31" s="3">
        <v>0</v>
      </c>
      <c r="H31" s="3">
        <v>3130000</v>
      </c>
      <c r="I31" s="3">
        <v>5163000</v>
      </c>
      <c r="J31" s="3">
        <v>0</v>
      </c>
      <c r="K31" s="3">
        <f t="shared" si="2"/>
        <v>56841000</v>
      </c>
      <c r="L31" s="3">
        <f t="shared" si="2"/>
        <v>5163000</v>
      </c>
      <c r="M31" s="3">
        <f t="shared" si="2"/>
        <v>0</v>
      </c>
      <c r="N31" s="3">
        <f t="shared" si="1"/>
        <v>62004000</v>
      </c>
    </row>
    <row r="32" spans="1:14" x14ac:dyDescent="0.15">
      <c r="A32" s="1">
        <v>2000</v>
      </c>
      <c r="B32" s="3">
        <f>374868+16854076+11354630</f>
        <v>28583574</v>
      </c>
      <c r="C32" s="3">
        <v>0</v>
      </c>
      <c r="D32" s="3">
        <v>0</v>
      </c>
      <c r="E32" s="3">
        <f>52020000-B32</f>
        <v>23436426</v>
      </c>
      <c r="F32" s="3">
        <v>0</v>
      </c>
      <c r="G32" s="3">
        <v>0</v>
      </c>
      <c r="H32" s="3">
        <v>2847000</v>
      </c>
      <c r="I32" s="3">
        <v>5198000</v>
      </c>
      <c r="J32" s="3">
        <v>0</v>
      </c>
      <c r="K32" s="3">
        <f t="shared" si="2"/>
        <v>54867000</v>
      </c>
      <c r="L32" s="3">
        <f t="shared" si="2"/>
        <v>5198000</v>
      </c>
      <c r="M32" s="3">
        <f t="shared" si="2"/>
        <v>0</v>
      </c>
      <c r="N32" s="3">
        <f t="shared" si="1"/>
        <v>60065000</v>
      </c>
    </row>
    <row r="33" spans="1:15" x14ac:dyDescent="0.15">
      <c r="A33" s="1">
        <v>2001</v>
      </c>
      <c r="B33" s="3">
        <f>20659967+439842+13960777</f>
        <v>35060586</v>
      </c>
      <c r="C33" s="3">
        <v>0</v>
      </c>
      <c r="D33" s="3">
        <v>0</v>
      </c>
      <c r="E33" s="3">
        <f>65356000-B33</f>
        <v>30295414</v>
      </c>
      <c r="F33" s="3">
        <v>0</v>
      </c>
      <c r="G33" s="3">
        <v>0</v>
      </c>
      <c r="H33" s="3">
        <v>5789000</v>
      </c>
      <c r="I33" s="3">
        <v>5133000</v>
      </c>
      <c r="J33" s="3">
        <v>0</v>
      </c>
      <c r="K33" s="3">
        <f t="shared" si="2"/>
        <v>71145000</v>
      </c>
      <c r="L33" s="3">
        <f t="shared" si="2"/>
        <v>5133000</v>
      </c>
      <c r="M33" s="3">
        <f t="shared" si="2"/>
        <v>0</v>
      </c>
      <c r="N33" s="3">
        <f t="shared" si="1"/>
        <v>76278000</v>
      </c>
    </row>
    <row r="34" spans="1:15" x14ac:dyDescent="0.15">
      <c r="A34" s="1">
        <v>2002</v>
      </c>
      <c r="B34" s="3">
        <f>399776+19380141+14157863</f>
        <v>33937780</v>
      </c>
      <c r="C34" s="3">
        <v>0</v>
      </c>
      <c r="D34" s="3">
        <v>0</v>
      </c>
      <c r="E34" s="3">
        <f>62124000-B34</f>
        <v>28186220</v>
      </c>
      <c r="F34" s="3">
        <v>0</v>
      </c>
      <c r="G34" s="3">
        <v>0</v>
      </c>
      <c r="H34" s="3">
        <v>6043000</v>
      </c>
      <c r="I34" s="3">
        <v>5208000</v>
      </c>
      <c r="J34" s="3">
        <v>0</v>
      </c>
      <c r="K34" s="3">
        <f t="shared" si="2"/>
        <v>68167000</v>
      </c>
      <c r="L34" s="3">
        <f t="shared" si="2"/>
        <v>5208000</v>
      </c>
      <c r="M34" s="3">
        <f t="shared" si="2"/>
        <v>0</v>
      </c>
      <c r="N34" s="3">
        <f t="shared" si="1"/>
        <v>73375000</v>
      </c>
    </row>
    <row r="35" spans="1:15" x14ac:dyDescent="0.15">
      <c r="A35" s="1">
        <v>2003</v>
      </c>
      <c r="B35" s="3">
        <v>22213203</v>
      </c>
      <c r="C35" s="3">
        <v>0</v>
      </c>
      <c r="D35" s="3">
        <v>0</v>
      </c>
      <c r="E35" s="3">
        <v>44815716</v>
      </c>
      <c r="F35" s="3">
        <v>5251968</v>
      </c>
      <c r="G35" s="3">
        <v>0</v>
      </c>
      <c r="H35" s="3">
        <v>3088490</v>
      </c>
      <c r="I35" s="3">
        <v>3371900</v>
      </c>
      <c r="J35" s="3">
        <v>0</v>
      </c>
      <c r="K35" s="3">
        <f t="shared" si="2"/>
        <v>70117409</v>
      </c>
      <c r="L35" s="3">
        <f t="shared" si="2"/>
        <v>8623868</v>
      </c>
      <c r="M35" s="3">
        <f t="shared" si="2"/>
        <v>0</v>
      </c>
      <c r="N35" s="3">
        <f t="shared" si="1"/>
        <v>78741277</v>
      </c>
    </row>
    <row r="36" spans="1:15" x14ac:dyDescent="0.15">
      <c r="A36" s="1">
        <v>2004</v>
      </c>
      <c r="B36" s="3">
        <v>65290296</v>
      </c>
      <c r="C36" s="3">
        <v>0</v>
      </c>
      <c r="D36" s="3">
        <v>0</v>
      </c>
      <c r="E36" s="3">
        <v>7484655</v>
      </c>
      <c r="F36" s="3">
        <v>0</v>
      </c>
      <c r="G36" s="3">
        <v>0</v>
      </c>
      <c r="H36" s="3">
        <v>3144673</v>
      </c>
      <c r="I36" s="3">
        <v>0</v>
      </c>
      <c r="J36" s="3">
        <v>0</v>
      </c>
      <c r="K36" s="3">
        <v>75919624</v>
      </c>
      <c r="L36" s="3">
        <v>0</v>
      </c>
      <c r="M36" s="3">
        <v>0</v>
      </c>
      <c r="N36" s="3">
        <v>75919624</v>
      </c>
      <c r="O36" s="1" t="s">
        <v>336</v>
      </c>
    </row>
    <row r="37" spans="1:15" x14ac:dyDescent="0.15">
      <c r="A37" s="1">
        <v>2005</v>
      </c>
      <c r="B37" s="3">
        <v>71231912</v>
      </c>
      <c r="C37" s="3">
        <v>0</v>
      </c>
      <c r="D37" s="3">
        <v>0</v>
      </c>
      <c r="E37" s="3">
        <v>7885712</v>
      </c>
      <c r="F37" s="3">
        <v>4400</v>
      </c>
      <c r="G37" s="3">
        <v>0</v>
      </c>
      <c r="H37" s="3">
        <v>3176574</v>
      </c>
      <c r="I37" s="3">
        <v>0</v>
      </c>
      <c r="J37" s="3">
        <v>0</v>
      </c>
      <c r="K37" s="3">
        <v>82294198</v>
      </c>
      <c r="L37" s="3">
        <v>4400</v>
      </c>
      <c r="M37" s="3">
        <v>0</v>
      </c>
      <c r="N37" s="3">
        <v>82298598</v>
      </c>
      <c r="O37" s="1" t="s">
        <v>337</v>
      </c>
    </row>
    <row r="38" spans="1:15" x14ac:dyDescent="0.15">
      <c r="A38" s="1">
        <v>2006</v>
      </c>
      <c r="B38" s="3">
        <v>82699818</v>
      </c>
      <c r="C38" s="3">
        <v>0</v>
      </c>
      <c r="D38" s="3">
        <v>0</v>
      </c>
      <c r="E38" s="3">
        <v>7727722</v>
      </c>
      <c r="F38" s="3">
        <v>8530</v>
      </c>
      <c r="G38" s="3">
        <v>0</v>
      </c>
      <c r="H38" s="3">
        <v>3155461</v>
      </c>
      <c r="I38" s="3">
        <v>0</v>
      </c>
      <c r="J38" s="3">
        <v>0</v>
      </c>
      <c r="K38" s="3">
        <v>93583001</v>
      </c>
      <c r="L38" s="3">
        <v>8530</v>
      </c>
      <c r="M38" s="3">
        <v>0</v>
      </c>
      <c r="N38" s="3">
        <v>93591531</v>
      </c>
      <c r="O38" s="1" t="s">
        <v>338</v>
      </c>
    </row>
    <row r="39" spans="1:15" x14ac:dyDescent="0.15">
      <c r="A39" s="1">
        <v>2007</v>
      </c>
      <c r="B39" s="3">
        <v>83166096</v>
      </c>
      <c r="C39" s="3">
        <v>0</v>
      </c>
      <c r="D39" s="3">
        <v>0</v>
      </c>
      <c r="E39" s="3">
        <v>7469274</v>
      </c>
      <c r="F39" s="3">
        <v>6050</v>
      </c>
      <c r="G39" s="3">
        <v>0</v>
      </c>
      <c r="H39" s="3">
        <v>3166711</v>
      </c>
      <c r="I39" s="3">
        <v>0</v>
      </c>
      <c r="J39" s="3">
        <v>0</v>
      </c>
      <c r="K39" s="3">
        <v>93802081</v>
      </c>
      <c r="L39" s="3">
        <v>6050</v>
      </c>
      <c r="M39" s="3">
        <v>0</v>
      </c>
      <c r="N39" s="3">
        <v>93808131</v>
      </c>
      <c r="O39" s="1" t="s">
        <v>339</v>
      </c>
    </row>
    <row r="40" spans="1:15" x14ac:dyDescent="0.15">
      <c r="A40" s="1">
        <v>2008</v>
      </c>
      <c r="B40" s="3">
        <v>92074218</v>
      </c>
      <c r="C40" s="3">
        <v>0</v>
      </c>
      <c r="D40" s="3">
        <v>0</v>
      </c>
      <c r="E40" s="3">
        <v>7289179</v>
      </c>
      <c r="F40" s="3">
        <v>0</v>
      </c>
      <c r="G40" s="3">
        <v>0</v>
      </c>
      <c r="H40" s="3">
        <v>3169524</v>
      </c>
      <c r="I40" s="3">
        <v>0</v>
      </c>
      <c r="J40" s="3">
        <v>0</v>
      </c>
      <c r="K40" s="3">
        <v>102532921</v>
      </c>
      <c r="L40" s="3">
        <v>0</v>
      </c>
      <c r="M40" s="3">
        <v>0</v>
      </c>
      <c r="N40" s="3">
        <v>102532921</v>
      </c>
      <c r="O40" s="1" t="s">
        <v>340</v>
      </c>
    </row>
    <row r="41" spans="1:15" x14ac:dyDescent="0.15">
      <c r="A41" s="1">
        <v>2009</v>
      </c>
      <c r="B41" s="3">
        <v>99984233</v>
      </c>
      <c r="C41" s="3">
        <v>0</v>
      </c>
      <c r="D41" s="3">
        <v>0</v>
      </c>
      <c r="E41" s="3">
        <v>7691722</v>
      </c>
      <c r="F41" s="3">
        <v>0</v>
      </c>
      <c r="G41" s="3">
        <v>0</v>
      </c>
      <c r="H41" s="3">
        <v>3123316</v>
      </c>
      <c r="I41" s="3">
        <v>0</v>
      </c>
      <c r="J41" s="3">
        <v>0</v>
      </c>
      <c r="K41" s="3">
        <v>110799271</v>
      </c>
      <c r="L41" s="3">
        <v>0</v>
      </c>
      <c r="M41" s="3">
        <v>0</v>
      </c>
      <c r="N41" s="3">
        <v>110799271</v>
      </c>
    </row>
    <row r="42" spans="1:15" x14ac:dyDescent="0.15">
      <c r="A42" s="1">
        <v>2010</v>
      </c>
      <c r="B42" s="3">
        <v>97990155</v>
      </c>
      <c r="C42" s="3">
        <v>0</v>
      </c>
      <c r="D42" s="3">
        <v>0</v>
      </c>
      <c r="E42" s="3">
        <v>6071831</v>
      </c>
      <c r="F42" s="3">
        <v>0</v>
      </c>
      <c r="G42" s="3">
        <v>0</v>
      </c>
      <c r="H42" s="3">
        <v>3126180</v>
      </c>
      <c r="I42" s="3">
        <v>0</v>
      </c>
      <c r="J42" s="3">
        <v>0</v>
      </c>
      <c r="K42" s="3">
        <v>107188166</v>
      </c>
      <c r="L42" s="3">
        <v>0</v>
      </c>
      <c r="M42" s="3">
        <v>0</v>
      </c>
      <c r="N42" s="3">
        <v>107188166</v>
      </c>
    </row>
    <row r="43" spans="1:15" x14ac:dyDescent="0.15">
      <c r="A43" s="1">
        <v>2011</v>
      </c>
      <c r="B43" s="3">
        <v>108213518</v>
      </c>
      <c r="C43" s="3">
        <v>0</v>
      </c>
      <c r="D43" s="3">
        <v>0</v>
      </c>
      <c r="E43" s="3">
        <v>8295761</v>
      </c>
      <c r="F43" s="3">
        <v>0</v>
      </c>
      <c r="G43" s="3">
        <v>0</v>
      </c>
      <c r="H43" s="3">
        <v>3106247</v>
      </c>
      <c r="I43" s="3">
        <v>0</v>
      </c>
      <c r="J43" s="3">
        <v>0</v>
      </c>
      <c r="K43" s="3">
        <v>119615526</v>
      </c>
      <c r="L43" s="3">
        <v>0</v>
      </c>
      <c r="M43" s="3">
        <v>0</v>
      </c>
      <c r="N43" s="3">
        <v>119615526</v>
      </c>
    </row>
    <row r="44" spans="1:15" x14ac:dyDescent="0.15">
      <c r="A44" s="1">
        <v>2012</v>
      </c>
      <c r="B44" s="3">
        <v>103702924</v>
      </c>
      <c r="C44" s="3">
        <v>0</v>
      </c>
      <c r="D44" s="3">
        <v>0</v>
      </c>
      <c r="E44" s="3">
        <v>8594464</v>
      </c>
      <c r="F44" s="3">
        <v>0</v>
      </c>
      <c r="G44" s="3">
        <v>0</v>
      </c>
      <c r="H44" s="3">
        <v>3068349</v>
      </c>
      <c r="I44" s="3">
        <v>0</v>
      </c>
      <c r="J44" s="3">
        <v>0</v>
      </c>
      <c r="K44" s="3">
        <v>115365737</v>
      </c>
      <c r="L44" s="3">
        <v>0</v>
      </c>
      <c r="M44" s="3">
        <v>0</v>
      </c>
      <c r="N44" s="3">
        <v>115365737</v>
      </c>
    </row>
    <row r="45" spans="1:15" x14ac:dyDescent="0.15">
      <c r="A45" s="1">
        <v>2013</v>
      </c>
      <c r="B45" s="3">
        <v>105078105</v>
      </c>
      <c r="C45" s="3">
        <v>0</v>
      </c>
      <c r="D45" s="3">
        <v>0</v>
      </c>
      <c r="E45" s="3">
        <v>15755819</v>
      </c>
      <c r="F45" s="3">
        <v>0</v>
      </c>
      <c r="G45" s="3">
        <v>0</v>
      </c>
      <c r="H45" s="3">
        <v>2993039</v>
      </c>
      <c r="I45" s="3">
        <v>0</v>
      </c>
      <c r="J45" s="3">
        <v>0</v>
      </c>
      <c r="K45" s="3">
        <v>123826963</v>
      </c>
      <c r="L45" s="3">
        <v>0</v>
      </c>
      <c r="M45" s="3">
        <v>0</v>
      </c>
      <c r="N45" s="3">
        <v>123826963</v>
      </c>
    </row>
    <row r="46" spans="1:15" x14ac:dyDescent="0.15">
      <c r="A46" s="1">
        <v>2014</v>
      </c>
      <c r="B46" s="3">
        <v>106620379</v>
      </c>
      <c r="C46" s="3">
        <v>0</v>
      </c>
      <c r="D46" s="3">
        <v>0</v>
      </c>
      <c r="E46" s="3">
        <v>18973440</v>
      </c>
      <c r="F46" s="3">
        <v>0</v>
      </c>
      <c r="G46" s="3">
        <v>0</v>
      </c>
      <c r="H46" s="3">
        <v>2984774</v>
      </c>
      <c r="I46" s="3">
        <v>0</v>
      </c>
      <c r="J46" s="3">
        <v>0</v>
      </c>
      <c r="K46" s="3">
        <v>128578593</v>
      </c>
      <c r="L46" s="3">
        <v>0</v>
      </c>
      <c r="M46" s="3">
        <v>0</v>
      </c>
      <c r="N46" s="3">
        <v>128578593</v>
      </c>
    </row>
    <row r="47" spans="1:15" x14ac:dyDescent="0.15">
      <c r="A47" s="1">
        <v>2015</v>
      </c>
      <c r="B47" s="3">
        <v>104573449</v>
      </c>
      <c r="C47" s="3">
        <v>0</v>
      </c>
      <c r="D47" s="3">
        <v>0</v>
      </c>
      <c r="E47" s="3">
        <v>21218574</v>
      </c>
      <c r="F47" s="3">
        <v>0</v>
      </c>
      <c r="G47" s="3">
        <v>0</v>
      </c>
      <c r="H47" s="3">
        <v>2939147</v>
      </c>
      <c r="I47" s="3">
        <v>0</v>
      </c>
      <c r="J47" s="3">
        <v>0</v>
      </c>
      <c r="K47" s="3">
        <v>128731170</v>
      </c>
      <c r="L47" s="3">
        <v>0</v>
      </c>
      <c r="M47" s="3">
        <v>0</v>
      </c>
      <c r="N47" s="3">
        <v>128731170</v>
      </c>
    </row>
    <row r="48" spans="1:15" x14ac:dyDescent="0.15">
      <c r="A48" s="1">
        <v>2016</v>
      </c>
      <c r="B48" s="3">
        <v>101552593</v>
      </c>
      <c r="C48" s="3">
        <v>0</v>
      </c>
      <c r="D48" s="3">
        <v>0</v>
      </c>
      <c r="E48" s="3">
        <v>21253164</v>
      </c>
      <c r="F48" s="3">
        <v>0</v>
      </c>
      <c r="G48" s="3">
        <v>0</v>
      </c>
      <c r="H48" s="3">
        <v>2899528</v>
      </c>
      <c r="I48" s="3">
        <v>0</v>
      </c>
      <c r="J48" s="3">
        <v>0</v>
      </c>
      <c r="K48" s="3">
        <v>125705285</v>
      </c>
      <c r="L48" s="3">
        <v>0</v>
      </c>
      <c r="M48" s="3">
        <v>0</v>
      </c>
      <c r="N48" s="3">
        <v>125705285</v>
      </c>
    </row>
  </sheetData>
  <phoneticPr fontId="0" type="noConversion"/>
  <pageMargins left="0.75" right="0.75" top="1" bottom="1" header="0.5" footer="0.5"/>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5" defaultRowHeight="11.25" x14ac:dyDescent="0.15"/>
  <cols>
    <col min="1" max="16384" width="10.5" style="1"/>
  </cols>
  <sheetData>
    <row r="1" spans="1:15" x14ac:dyDescent="0.15">
      <c r="A1" s="1" t="s">
        <v>85</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21000</v>
      </c>
      <c r="C8" s="3">
        <v>0</v>
      </c>
      <c r="D8" s="3">
        <v>0</v>
      </c>
      <c r="E8" s="3">
        <v>0</v>
      </c>
      <c r="F8" s="3">
        <v>0</v>
      </c>
      <c r="G8" s="3">
        <v>0</v>
      </c>
      <c r="H8" s="3">
        <v>0</v>
      </c>
      <c r="I8" s="3">
        <v>0</v>
      </c>
      <c r="J8" s="3">
        <v>0</v>
      </c>
      <c r="K8" s="3">
        <f t="shared" si="0"/>
        <v>21000</v>
      </c>
      <c r="L8" s="3">
        <f t="shared" si="0"/>
        <v>0</v>
      </c>
      <c r="M8" s="3">
        <f t="shared" si="0"/>
        <v>0</v>
      </c>
      <c r="N8" s="3">
        <f t="shared" si="1"/>
        <v>21000</v>
      </c>
      <c r="O8" s="1" t="s">
        <v>90</v>
      </c>
    </row>
    <row r="9" spans="1:15" x14ac:dyDescent="0.15">
      <c r="A9" s="1">
        <v>1977</v>
      </c>
      <c r="B9" s="3">
        <v>28000</v>
      </c>
      <c r="C9" s="3">
        <v>0</v>
      </c>
      <c r="D9" s="3">
        <v>0</v>
      </c>
      <c r="E9" s="3">
        <v>0</v>
      </c>
      <c r="F9" s="3">
        <v>0</v>
      </c>
      <c r="G9" s="3">
        <v>0</v>
      </c>
      <c r="H9" s="3">
        <v>0</v>
      </c>
      <c r="I9" s="3">
        <v>0</v>
      </c>
      <c r="J9" s="3">
        <v>0</v>
      </c>
      <c r="K9" s="3">
        <f t="shared" si="0"/>
        <v>28000</v>
      </c>
      <c r="L9" s="3">
        <f t="shared" si="0"/>
        <v>0</v>
      </c>
      <c r="M9" s="3">
        <f t="shared" si="0"/>
        <v>0</v>
      </c>
      <c r="N9" s="3">
        <f t="shared" si="1"/>
        <v>28000</v>
      </c>
    </row>
    <row r="10" spans="1:15" x14ac:dyDescent="0.15">
      <c r="A10" s="1">
        <v>1978</v>
      </c>
      <c r="B10" s="3">
        <v>56000</v>
      </c>
      <c r="C10" s="3">
        <v>0</v>
      </c>
      <c r="D10" s="3">
        <v>0</v>
      </c>
      <c r="E10" s="3">
        <v>0</v>
      </c>
      <c r="F10" s="3">
        <v>0</v>
      </c>
      <c r="G10" s="3">
        <v>0</v>
      </c>
      <c r="H10" s="3">
        <v>0</v>
      </c>
      <c r="I10" s="3">
        <v>0</v>
      </c>
      <c r="J10" s="3">
        <v>0</v>
      </c>
      <c r="K10" s="3">
        <f t="shared" si="0"/>
        <v>56000</v>
      </c>
      <c r="L10" s="3">
        <f t="shared" si="0"/>
        <v>0</v>
      </c>
      <c r="M10" s="3">
        <f t="shared" si="0"/>
        <v>0</v>
      </c>
      <c r="N10" s="3">
        <f t="shared" si="1"/>
        <v>56000</v>
      </c>
    </row>
    <row r="11" spans="1:15" x14ac:dyDescent="0.15">
      <c r="A11" s="1">
        <v>1979</v>
      </c>
      <c r="B11" s="3">
        <v>195000</v>
      </c>
      <c r="C11" s="3">
        <v>0</v>
      </c>
      <c r="D11" s="3">
        <v>0</v>
      </c>
      <c r="E11" s="3">
        <v>0</v>
      </c>
      <c r="F11" s="3">
        <v>0</v>
      </c>
      <c r="G11" s="3">
        <v>0</v>
      </c>
      <c r="H11" s="3">
        <v>0</v>
      </c>
      <c r="I11" s="3">
        <v>0</v>
      </c>
      <c r="J11" s="3">
        <v>0</v>
      </c>
      <c r="K11" s="3">
        <f t="shared" si="0"/>
        <v>195000</v>
      </c>
      <c r="L11" s="3">
        <f t="shared" si="0"/>
        <v>0</v>
      </c>
      <c r="M11" s="3">
        <f t="shared" si="0"/>
        <v>0</v>
      </c>
      <c r="N11" s="3">
        <f t="shared" si="1"/>
        <v>195000</v>
      </c>
    </row>
    <row r="12" spans="1:15" x14ac:dyDescent="0.15">
      <c r="A12" s="1">
        <v>1980</v>
      </c>
      <c r="B12" s="3">
        <v>251000</v>
      </c>
      <c r="C12" s="3">
        <v>0</v>
      </c>
      <c r="D12" s="3">
        <v>0</v>
      </c>
      <c r="E12" s="3">
        <v>0</v>
      </c>
      <c r="F12" s="3">
        <v>0</v>
      </c>
      <c r="G12" s="3">
        <v>0</v>
      </c>
      <c r="H12" s="3">
        <v>0</v>
      </c>
      <c r="I12" s="3">
        <v>0</v>
      </c>
      <c r="J12" s="3">
        <v>0</v>
      </c>
      <c r="K12" s="3">
        <f t="shared" si="0"/>
        <v>251000</v>
      </c>
      <c r="L12" s="3">
        <f t="shared" si="0"/>
        <v>0</v>
      </c>
      <c r="M12" s="3">
        <f t="shared" si="0"/>
        <v>0</v>
      </c>
      <c r="N12" s="3">
        <f t="shared" si="1"/>
        <v>251000</v>
      </c>
    </row>
    <row r="13" spans="1:15" x14ac:dyDescent="0.15">
      <c r="A13" s="1">
        <v>1981</v>
      </c>
      <c r="B13" s="3">
        <v>52000</v>
      </c>
      <c r="C13" s="3">
        <v>0</v>
      </c>
      <c r="D13" s="3">
        <v>0</v>
      </c>
      <c r="E13" s="3">
        <v>0</v>
      </c>
      <c r="F13" s="3">
        <v>0</v>
      </c>
      <c r="G13" s="3">
        <v>0</v>
      </c>
      <c r="H13" s="3">
        <v>0</v>
      </c>
      <c r="I13" s="3">
        <v>0</v>
      </c>
      <c r="J13" s="3">
        <v>0</v>
      </c>
      <c r="K13" s="3">
        <f t="shared" si="0"/>
        <v>52000</v>
      </c>
      <c r="L13" s="3">
        <f t="shared" si="0"/>
        <v>0</v>
      </c>
      <c r="M13" s="3">
        <f t="shared" si="0"/>
        <v>0</v>
      </c>
      <c r="N13" s="3">
        <f t="shared" si="1"/>
        <v>52000</v>
      </c>
      <c r="O13" s="1" t="s">
        <v>138</v>
      </c>
    </row>
    <row r="14" spans="1:15" x14ac:dyDescent="0.15">
      <c r="A14" s="1">
        <v>1982</v>
      </c>
      <c r="B14" s="3">
        <v>49000</v>
      </c>
      <c r="C14" s="3">
        <v>9000</v>
      </c>
      <c r="D14" s="3">
        <v>0</v>
      </c>
      <c r="E14" s="3">
        <v>0</v>
      </c>
      <c r="F14" s="3">
        <v>0</v>
      </c>
      <c r="G14" s="3">
        <v>0</v>
      </c>
      <c r="H14" s="3">
        <v>0</v>
      </c>
      <c r="I14" s="3">
        <v>0</v>
      </c>
      <c r="J14" s="3">
        <v>0</v>
      </c>
      <c r="K14" s="3">
        <f t="shared" si="0"/>
        <v>49000</v>
      </c>
      <c r="L14" s="3">
        <f t="shared" si="0"/>
        <v>9000</v>
      </c>
      <c r="M14" s="3">
        <f t="shared" si="0"/>
        <v>0</v>
      </c>
      <c r="N14" s="3">
        <f t="shared" si="1"/>
        <v>58000</v>
      </c>
    </row>
    <row r="15" spans="1:15" x14ac:dyDescent="0.15">
      <c r="A15" s="1">
        <v>1983</v>
      </c>
      <c r="B15" s="3">
        <v>204000</v>
      </c>
      <c r="C15" s="3">
        <v>36000</v>
      </c>
      <c r="D15" s="3">
        <v>0</v>
      </c>
      <c r="E15" s="3">
        <v>0</v>
      </c>
      <c r="F15" s="3">
        <v>0</v>
      </c>
      <c r="G15" s="3">
        <v>0</v>
      </c>
      <c r="H15" s="3">
        <v>0</v>
      </c>
      <c r="I15" s="3">
        <v>0</v>
      </c>
      <c r="J15" s="3">
        <v>0</v>
      </c>
      <c r="K15" s="3">
        <f t="shared" si="0"/>
        <v>204000</v>
      </c>
      <c r="L15" s="3">
        <f t="shared" si="0"/>
        <v>36000</v>
      </c>
      <c r="M15" s="3">
        <f t="shared" si="0"/>
        <v>0</v>
      </c>
      <c r="N15" s="3">
        <f t="shared" si="1"/>
        <v>240000</v>
      </c>
    </row>
    <row r="16" spans="1:15" x14ac:dyDescent="0.15">
      <c r="A16" s="1">
        <v>1984</v>
      </c>
      <c r="B16" s="3">
        <v>204000</v>
      </c>
      <c r="C16" s="3">
        <v>36000</v>
      </c>
      <c r="D16" s="3">
        <v>0</v>
      </c>
      <c r="E16" s="3">
        <v>0</v>
      </c>
      <c r="F16" s="3">
        <v>0</v>
      </c>
      <c r="G16" s="3">
        <v>0</v>
      </c>
      <c r="H16" s="3">
        <v>0</v>
      </c>
      <c r="I16" s="3">
        <v>0</v>
      </c>
      <c r="J16" s="3">
        <v>0</v>
      </c>
      <c r="K16" s="3">
        <f t="shared" si="0"/>
        <v>204000</v>
      </c>
      <c r="L16" s="3">
        <f t="shared" si="0"/>
        <v>36000</v>
      </c>
      <c r="M16" s="3">
        <f t="shared" si="0"/>
        <v>0</v>
      </c>
      <c r="N16" s="3">
        <f t="shared" si="1"/>
        <v>240000</v>
      </c>
      <c r="O16" s="1" t="s">
        <v>146</v>
      </c>
    </row>
    <row r="17" spans="1:15" x14ac:dyDescent="0.15">
      <c r="A17" s="1">
        <v>1985</v>
      </c>
      <c r="B17" s="3">
        <v>204000</v>
      </c>
      <c r="C17" s="3">
        <v>36000</v>
      </c>
      <c r="D17" s="3">
        <v>0</v>
      </c>
      <c r="E17" s="3">
        <v>0</v>
      </c>
      <c r="F17" s="3">
        <v>0</v>
      </c>
      <c r="G17" s="3">
        <v>0</v>
      </c>
      <c r="H17" s="3">
        <v>0</v>
      </c>
      <c r="I17" s="3">
        <v>0</v>
      </c>
      <c r="J17" s="3">
        <v>0</v>
      </c>
      <c r="K17" s="3">
        <f t="shared" si="0"/>
        <v>204000</v>
      </c>
      <c r="L17" s="3">
        <f t="shared" si="0"/>
        <v>36000</v>
      </c>
      <c r="M17" s="3">
        <f t="shared" si="0"/>
        <v>0</v>
      </c>
      <c r="N17" s="3">
        <f t="shared" si="1"/>
        <v>240000</v>
      </c>
      <c r="O17" s="1" t="s">
        <v>146</v>
      </c>
    </row>
    <row r="18" spans="1:15" x14ac:dyDescent="0.15">
      <c r="A18" s="1">
        <v>1986</v>
      </c>
      <c r="B18" s="3">
        <v>204000</v>
      </c>
      <c r="C18" s="3">
        <v>36000</v>
      </c>
      <c r="D18" s="3">
        <v>0</v>
      </c>
      <c r="E18" s="3">
        <v>0</v>
      </c>
      <c r="F18" s="3">
        <v>0</v>
      </c>
      <c r="G18" s="3">
        <v>0</v>
      </c>
      <c r="H18" s="3">
        <v>0</v>
      </c>
      <c r="I18" s="3">
        <v>0</v>
      </c>
      <c r="J18" s="3">
        <v>0</v>
      </c>
      <c r="K18" s="3">
        <f t="shared" si="0"/>
        <v>204000</v>
      </c>
      <c r="L18" s="3">
        <f t="shared" si="0"/>
        <v>36000</v>
      </c>
      <c r="M18" s="3">
        <f t="shared" si="0"/>
        <v>0</v>
      </c>
      <c r="N18" s="3">
        <f t="shared" si="1"/>
        <v>240000</v>
      </c>
      <c r="O18" s="1" t="s">
        <v>146</v>
      </c>
    </row>
    <row r="19" spans="1:15" x14ac:dyDescent="0.15">
      <c r="A19" s="1">
        <v>1987</v>
      </c>
      <c r="B19" s="3">
        <v>204000</v>
      </c>
      <c r="C19" s="3">
        <v>36000</v>
      </c>
      <c r="D19" s="3">
        <v>0</v>
      </c>
      <c r="E19" s="3">
        <v>0</v>
      </c>
      <c r="F19" s="3">
        <v>0</v>
      </c>
      <c r="G19" s="3">
        <v>0</v>
      </c>
      <c r="H19" s="3">
        <v>0</v>
      </c>
      <c r="I19" s="3">
        <v>0</v>
      </c>
      <c r="J19" s="3">
        <v>0</v>
      </c>
      <c r="K19" s="3">
        <f t="shared" si="0"/>
        <v>204000</v>
      </c>
      <c r="L19" s="3">
        <f t="shared" si="0"/>
        <v>36000</v>
      </c>
      <c r="M19" s="3">
        <f t="shared" si="0"/>
        <v>0</v>
      </c>
      <c r="N19" s="3">
        <f t="shared" si="1"/>
        <v>240000</v>
      </c>
      <c r="O19" s="1" t="s">
        <v>146</v>
      </c>
    </row>
    <row r="20" spans="1:15" x14ac:dyDescent="0.15">
      <c r="A20" s="1">
        <v>1988</v>
      </c>
      <c r="B20" s="3">
        <v>204000</v>
      </c>
      <c r="C20" s="3">
        <v>36000</v>
      </c>
      <c r="D20" s="3">
        <v>0</v>
      </c>
      <c r="E20" s="3">
        <v>0</v>
      </c>
      <c r="F20" s="3">
        <v>0</v>
      </c>
      <c r="G20" s="3">
        <v>0</v>
      </c>
      <c r="H20" s="3">
        <v>0</v>
      </c>
      <c r="I20" s="3">
        <v>0</v>
      </c>
      <c r="J20" s="3">
        <v>0</v>
      </c>
      <c r="K20" s="3">
        <f t="shared" si="0"/>
        <v>204000</v>
      </c>
      <c r="L20" s="3">
        <f t="shared" si="0"/>
        <v>36000</v>
      </c>
      <c r="M20" s="3">
        <f t="shared" si="0"/>
        <v>0</v>
      </c>
      <c r="N20" s="3">
        <f t="shared" si="1"/>
        <v>240000</v>
      </c>
      <c r="O20" s="1" t="s">
        <v>146</v>
      </c>
    </row>
    <row r="21" spans="1:15" x14ac:dyDescent="0.15">
      <c r="A21" s="1">
        <v>1989</v>
      </c>
      <c r="B21" s="3">
        <v>250000</v>
      </c>
      <c r="C21" s="3">
        <v>0</v>
      </c>
      <c r="D21" s="3">
        <v>0</v>
      </c>
      <c r="E21" s="3">
        <v>0</v>
      </c>
      <c r="F21" s="3">
        <v>0</v>
      </c>
      <c r="G21" s="3">
        <v>0</v>
      </c>
      <c r="H21" s="3">
        <v>0</v>
      </c>
      <c r="I21" s="3">
        <v>0</v>
      </c>
      <c r="J21" s="3">
        <v>0</v>
      </c>
      <c r="K21" s="3">
        <f t="shared" si="0"/>
        <v>250000</v>
      </c>
      <c r="L21" s="3">
        <f t="shared" si="0"/>
        <v>0</v>
      </c>
      <c r="M21" s="3">
        <f t="shared" si="0"/>
        <v>0</v>
      </c>
      <c r="N21" s="3">
        <f t="shared" si="1"/>
        <v>250000</v>
      </c>
    </row>
    <row r="22" spans="1:15" x14ac:dyDescent="0.15">
      <c r="A22" s="1">
        <v>1990</v>
      </c>
      <c r="B22" s="3">
        <v>241000</v>
      </c>
      <c r="C22" s="3">
        <v>0</v>
      </c>
      <c r="D22" s="3">
        <v>0</v>
      </c>
      <c r="E22" s="3">
        <v>0</v>
      </c>
      <c r="F22" s="3">
        <v>0</v>
      </c>
      <c r="G22" s="3">
        <v>0</v>
      </c>
      <c r="H22" s="3">
        <v>0</v>
      </c>
      <c r="I22" s="3">
        <v>0</v>
      </c>
      <c r="J22" s="3">
        <v>0</v>
      </c>
      <c r="K22" s="3">
        <f t="shared" ref="K22:M35" si="2">+B22+E22+H22</f>
        <v>241000</v>
      </c>
      <c r="L22" s="3">
        <f t="shared" si="2"/>
        <v>0</v>
      </c>
      <c r="M22" s="3">
        <f t="shared" si="2"/>
        <v>0</v>
      </c>
      <c r="N22" s="3">
        <f t="shared" si="1"/>
        <v>241000</v>
      </c>
    </row>
    <row r="23" spans="1:15" x14ac:dyDescent="0.15">
      <c r="A23" s="1">
        <v>1991</v>
      </c>
      <c r="B23" s="3">
        <v>241000</v>
      </c>
      <c r="C23" s="3">
        <v>0</v>
      </c>
      <c r="D23" s="3">
        <v>0</v>
      </c>
      <c r="E23" s="3">
        <v>0</v>
      </c>
      <c r="F23" s="3">
        <v>0</v>
      </c>
      <c r="G23" s="3">
        <v>0</v>
      </c>
      <c r="H23" s="3">
        <v>0</v>
      </c>
      <c r="I23" s="3">
        <v>0</v>
      </c>
      <c r="J23" s="3">
        <v>0</v>
      </c>
      <c r="K23" s="3">
        <f t="shared" si="2"/>
        <v>241000</v>
      </c>
      <c r="L23" s="3">
        <f t="shared" si="2"/>
        <v>0</v>
      </c>
      <c r="M23" s="3">
        <f t="shared" si="2"/>
        <v>0</v>
      </c>
      <c r="N23" s="3">
        <f t="shared" si="1"/>
        <v>241000</v>
      </c>
      <c r="O23" s="1" t="s">
        <v>146</v>
      </c>
    </row>
    <row r="24" spans="1:15" x14ac:dyDescent="0.15">
      <c r="A24" s="1">
        <v>1992</v>
      </c>
      <c r="B24" s="3">
        <v>220000</v>
      </c>
      <c r="C24" s="3">
        <v>0</v>
      </c>
      <c r="D24" s="3">
        <v>0</v>
      </c>
      <c r="E24" s="3">
        <v>0</v>
      </c>
      <c r="F24" s="3">
        <v>0</v>
      </c>
      <c r="G24" s="3">
        <v>0</v>
      </c>
      <c r="H24" s="3">
        <v>0</v>
      </c>
      <c r="I24" s="3">
        <v>0</v>
      </c>
      <c r="J24" s="3">
        <v>0</v>
      </c>
      <c r="K24" s="3">
        <f t="shared" si="2"/>
        <v>220000</v>
      </c>
      <c r="L24" s="3">
        <f t="shared" si="2"/>
        <v>0</v>
      </c>
      <c r="M24" s="3">
        <f t="shared" si="2"/>
        <v>0</v>
      </c>
      <c r="N24" s="3">
        <f t="shared" si="1"/>
        <v>220000</v>
      </c>
    </row>
    <row r="25" spans="1:15" x14ac:dyDescent="0.15">
      <c r="A25" s="1">
        <v>1993</v>
      </c>
      <c r="B25" s="3">
        <v>225000</v>
      </c>
      <c r="C25" s="3">
        <v>0</v>
      </c>
      <c r="D25" s="3">
        <v>0</v>
      </c>
      <c r="E25" s="3">
        <v>0</v>
      </c>
      <c r="F25" s="3">
        <v>0</v>
      </c>
      <c r="G25" s="3">
        <v>0</v>
      </c>
      <c r="H25" s="3">
        <v>0</v>
      </c>
      <c r="I25" s="3">
        <v>0</v>
      </c>
      <c r="J25" s="3">
        <v>0</v>
      </c>
      <c r="K25" s="3">
        <f t="shared" si="2"/>
        <v>225000</v>
      </c>
      <c r="L25" s="3">
        <f t="shared" si="2"/>
        <v>0</v>
      </c>
      <c r="M25" s="3">
        <f t="shared" si="2"/>
        <v>0</v>
      </c>
      <c r="N25" s="3">
        <f t="shared" si="1"/>
        <v>225000</v>
      </c>
    </row>
    <row r="26" spans="1:15" x14ac:dyDescent="0.15">
      <c r="A26" s="1">
        <v>1994</v>
      </c>
      <c r="B26" s="3">
        <v>250000</v>
      </c>
      <c r="C26" s="3">
        <v>0</v>
      </c>
      <c r="D26" s="3">
        <v>0</v>
      </c>
      <c r="E26" s="3">
        <v>0</v>
      </c>
      <c r="F26" s="3">
        <v>0</v>
      </c>
      <c r="G26" s="3">
        <v>0</v>
      </c>
      <c r="H26" s="3">
        <v>0</v>
      </c>
      <c r="I26" s="3">
        <v>0</v>
      </c>
      <c r="J26" s="3">
        <v>0</v>
      </c>
      <c r="K26" s="3">
        <f t="shared" si="2"/>
        <v>250000</v>
      </c>
      <c r="L26" s="3">
        <f t="shared" si="2"/>
        <v>0</v>
      </c>
      <c r="M26" s="3">
        <f t="shared" si="2"/>
        <v>0</v>
      </c>
      <c r="N26" s="3">
        <f t="shared" si="1"/>
        <v>250000</v>
      </c>
    </row>
    <row r="27" spans="1:15" x14ac:dyDescent="0.15">
      <c r="A27" s="1">
        <v>1995</v>
      </c>
      <c r="B27" s="3">
        <v>225000</v>
      </c>
      <c r="C27" s="3">
        <v>0</v>
      </c>
      <c r="D27" s="3">
        <v>0</v>
      </c>
      <c r="E27" s="3">
        <v>0</v>
      </c>
      <c r="F27" s="3">
        <v>0</v>
      </c>
      <c r="G27" s="3">
        <v>0</v>
      </c>
      <c r="H27" s="3">
        <v>0</v>
      </c>
      <c r="I27" s="3">
        <v>0</v>
      </c>
      <c r="J27" s="3">
        <v>0</v>
      </c>
      <c r="K27" s="3">
        <f t="shared" si="2"/>
        <v>225000</v>
      </c>
      <c r="L27" s="3">
        <f t="shared" si="2"/>
        <v>0</v>
      </c>
      <c r="M27" s="3">
        <f t="shared" si="2"/>
        <v>0</v>
      </c>
      <c r="N27" s="3">
        <f t="shared" si="1"/>
        <v>225000</v>
      </c>
    </row>
    <row r="28" spans="1:15" x14ac:dyDescent="0.15">
      <c r="A28" s="1">
        <v>1996</v>
      </c>
      <c r="B28" s="3">
        <v>218732</v>
      </c>
      <c r="C28" s="3">
        <v>0</v>
      </c>
      <c r="D28" s="3">
        <v>0</v>
      </c>
      <c r="E28" s="3">
        <v>0</v>
      </c>
      <c r="F28" s="3">
        <v>0</v>
      </c>
      <c r="G28" s="3">
        <v>0</v>
      </c>
      <c r="H28" s="3">
        <v>0</v>
      </c>
      <c r="I28" s="3">
        <v>0</v>
      </c>
      <c r="J28" s="3">
        <v>0</v>
      </c>
      <c r="K28" s="3">
        <f t="shared" si="2"/>
        <v>218732</v>
      </c>
      <c r="L28" s="3">
        <f t="shared" si="2"/>
        <v>0</v>
      </c>
      <c r="M28" s="3">
        <f t="shared" si="2"/>
        <v>0</v>
      </c>
      <c r="N28" s="3">
        <f t="shared" si="1"/>
        <v>218732</v>
      </c>
    </row>
    <row r="29" spans="1:15" x14ac:dyDescent="0.15">
      <c r="A29" s="1">
        <v>1997</v>
      </c>
      <c r="B29" s="3">
        <v>160499</v>
      </c>
      <c r="C29" s="3">
        <v>0</v>
      </c>
      <c r="D29" s="3">
        <v>0</v>
      </c>
      <c r="E29" s="3">
        <v>0</v>
      </c>
      <c r="F29" s="3">
        <v>0</v>
      </c>
      <c r="G29" s="3">
        <v>0</v>
      </c>
      <c r="H29" s="3">
        <v>0</v>
      </c>
      <c r="I29" s="3">
        <v>0</v>
      </c>
      <c r="J29" s="3">
        <v>0</v>
      </c>
      <c r="K29" s="3">
        <f t="shared" si="2"/>
        <v>160499</v>
      </c>
      <c r="L29" s="3">
        <f t="shared" si="2"/>
        <v>0</v>
      </c>
      <c r="M29" s="3">
        <f t="shared" si="2"/>
        <v>0</v>
      </c>
      <c r="N29" s="3">
        <f t="shared" si="1"/>
        <v>160499</v>
      </c>
    </row>
    <row r="30" spans="1:15" x14ac:dyDescent="0.15">
      <c r="A30" s="1">
        <v>1998</v>
      </c>
      <c r="B30" s="3">
        <v>198040</v>
      </c>
      <c r="C30" s="3">
        <v>0</v>
      </c>
      <c r="D30" s="3">
        <v>0</v>
      </c>
      <c r="E30" s="3">
        <v>0</v>
      </c>
      <c r="F30" s="3">
        <v>0</v>
      </c>
      <c r="G30" s="3">
        <v>0</v>
      </c>
      <c r="H30" s="3">
        <v>0</v>
      </c>
      <c r="I30" s="3">
        <v>0</v>
      </c>
      <c r="J30" s="3">
        <v>0</v>
      </c>
      <c r="K30" s="3">
        <f t="shared" si="2"/>
        <v>198040</v>
      </c>
      <c r="L30" s="3">
        <f t="shared" si="2"/>
        <v>0</v>
      </c>
      <c r="M30" s="3">
        <f t="shared" si="2"/>
        <v>0</v>
      </c>
      <c r="N30" s="3">
        <f t="shared" si="1"/>
        <v>198040</v>
      </c>
    </row>
    <row r="31" spans="1:15" x14ac:dyDescent="0.15">
      <c r="A31" s="1">
        <v>1999</v>
      </c>
      <c r="B31" s="3">
        <v>155340</v>
      </c>
      <c r="C31" s="3">
        <v>0</v>
      </c>
      <c r="D31" s="3">
        <v>0</v>
      </c>
      <c r="E31" s="3">
        <v>0</v>
      </c>
      <c r="F31" s="3">
        <v>0</v>
      </c>
      <c r="G31" s="3">
        <v>0</v>
      </c>
      <c r="H31" s="3">
        <v>0</v>
      </c>
      <c r="I31" s="3">
        <v>0</v>
      </c>
      <c r="J31" s="3">
        <v>0</v>
      </c>
      <c r="K31" s="3">
        <f t="shared" si="2"/>
        <v>155340</v>
      </c>
      <c r="L31" s="3">
        <f t="shared" si="2"/>
        <v>0</v>
      </c>
      <c r="M31" s="3">
        <f t="shared" si="2"/>
        <v>0</v>
      </c>
      <c r="N31" s="3">
        <f t="shared" si="1"/>
        <v>155340</v>
      </c>
    </row>
    <row r="32" spans="1:15" x14ac:dyDescent="0.15">
      <c r="A32" s="1">
        <v>2000</v>
      </c>
      <c r="B32" s="3">
        <v>155340</v>
      </c>
      <c r="C32" s="3">
        <v>0</v>
      </c>
      <c r="D32" s="3">
        <v>0</v>
      </c>
      <c r="E32" s="3">
        <v>0</v>
      </c>
      <c r="F32" s="3">
        <v>0</v>
      </c>
      <c r="G32" s="3">
        <v>0</v>
      </c>
      <c r="H32" s="3">
        <v>0</v>
      </c>
      <c r="I32" s="3">
        <v>0</v>
      </c>
      <c r="J32" s="3">
        <v>0</v>
      </c>
      <c r="K32" s="3">
        <f t="shared" si="2"/>
        <v>155340</v>
      </c>
      <c r="L32" s="3">
        <f t="shared" si="2"/>
        <v>0</v>
      </c>
      <c r="M32" s="3">
        <f t="shared" si="2"/>
        <v>0</v>
      </c>
      <c r="N32" s="3">
        <f t="shared" si="1"/>
        <v>155340</v>
      </c>
    </row>
    <row r="33" spans="1:15" x14ac:dyDescent="0.15">
      <c r="A33" s="1">
        <v>2001</v>
      </c>
      <c r="B33" s="3">
        <v>0</v>
      </c>
      <c r="C33" s="3">
        <v>0</v>
      </c>
      <c r="D33" s="3">
        <v>0</v>
      </c>
      <c r="E33" s="3">
        <v>0</v>
      </c>
      <c r="F33" s="3">
        <v>0</v>
      </c>
      <c r="G33" s="3">
        <v>0</v>
      </c>
      <c r="H33" s="3">
        <v>0</v>
      </c>
      <c r="I33" s="3">
        <v>0</v>
      </c>
      <c r="J33" s="3">
        <v>0</v>
      </c>
      <c r="K33" s="3">
        <f t="shared" si="2"/>
        <v>0</v>
      </c>
      <c r="L33" s="3">
        <f t="shared" si="2"/>
        <v>0</v>
      </c>
      <c r="M33" s="3">
        <f t="shared" si="2"/>
        <v>0</v>
      </c>
      <c r="N33" s="3">
        <f t="shared" si="1"/>
        <v>0</v>
      </c>
    </row>
    <row r="34" spans="1:15" x14ac:dyDescent="0.15">
      <c r="A34" s="1">
        <v>2002</v>
      </c>
      <c r="B34" s="3">
        <v>162788</v>
      </c>
      <c r="C34" s="3">
        <v>0</v>
      </c>
      <c r="D34" s="3">
        <v>0</v>
      </c>
      <c r="E34" s="3">
        <v>0</v>
      </c>
      <c r="F34" s="3">
        <v>0</v>
      </c>
      <c r="G34" s="3">
        <v>0</v>
      </c>
      <c r="H34" s="3">
        <v>0</v>
      </c>
      <c r="I34" s="3">
        <v>0</v>
      </c>
      <c r="J34" s="3">
        <v>0</v>
      </c>
      <c r="K34" s="3">
        <f t="shared" si="2"/>
        <v>162788</v>
      </c>
      <c r="L34" s="3">
        <f t="shared" si="2"/>
        <v>0</v>
      </c>
      <c r="M34" s="3">
        <f t="shared" si="2"/>
        <v>0</v>
      </c>
      <c r="N34" s="3">
        <f t="shared" si="1"/>
        <v>162788</v>
      </c>
    </row>
    <row r="35" spans="1:15" x14ac:dyDescent="0.15">
      <c r="A35" s="1">
        <v>2003</v>
      </c>
      <c r="B35" s="3">
        <v>160702</v>
      </c>
      <c r="C35" s="3">
        <v>0</v>
      </c>
      <c r="D35" s="3">
        <v>0</v>
      </c>
      <c r="E35" s="3">
        <v>0</v>
      </c>
      <c r="F35" s="3">
        <v>0</v>
      </c>
      <c r="G35" s="3">
        <v>0</v>
      </c>
      <c r="H35" s="3">
        <v>0</v>
      </c>
      <c r="I35" s="3">
        <v>0</v>
      </c>
      <c r="J35" s="3">
        <v>0</v>
      </c>
      <c r="K35" s="3">
        <f t="shared" si="2"/>
        <v>160702</v>
      </c>
      <c r="L35" s="3">
        <f t="shared" si="2"/>
        <v>0</v>
      </c>
      <c r="M35" s="3">
        <f t="shared" si="2"/>
        <v>0</v>
      </c>
      <c r="N35" s="3">
        <f t="shared" si="1"/>
        <v>160702</v>
      </c>
    </row>
    <row r="36" spans="1:15" x14ac:dyDescent="0.15">
      <c r="A36" s="1">
        <v>2004</v>
      </c>
      <c r="B36" s="3">
        <v>162764</v>
      </c>
      <c r="C36" s="3">
        <v>0</v>
      </c>
      <c r="D36" s="3">
        <v>0</v>
      </c>
      <c r="E36" s="3">
        <v>0</v>
      </c>
      <c r="F36" s="3">
        <v>0</v>
      </c>
      <c r="G36" s="3">
        <v>0</v>
      </c>
      <c r="H36" s="3">
        <v>0</v>
      </c>
      <c r="I36" s="3">
        <v>0</v>
      </c>
      <c r="J36" s="3">
        <v>0</v>
      </c>
      <c r="K36" s="3">
        <v>162764</v>
      </c>
      <c r="L36" s="3">
        <v>0</v>
      </c>
      <c r="M36" s="3">
        <v>0</v>
      </c>
      <c r="N36" s="3">
        <v>162764</v>
      </c>
    </row>
    <row r="37" spans="1:15" x14ac:dyDescent="0.15">
      <c r="A37" s="1">
        <v>2005</v>
      </c>
      <c r="B37" s="3">
        <v>166765</v>
      </c>
      <c r="C37" s="3">
        <v>0</v>
      </c>
      <c r="D37" s="3">
        <v>0</v>
      </c>
      <c r="E37" s="3">
        <v>0</v>
      </c>
      <c r="F37" s="3">
        <v>0</v>
      </c>
      <c r="G37" s="3">
        <v>0</v>
      </c>
      <c r="H37" s="3">
        <v>0</v>
      </c>
      <c r="I37" s="3">
        <v>0</v>
      </c>
      <c r="J37" s="3">
        <v>0</v>
      </c>
      <c r="K37" s="3">
        <v>166765</v>
      </c>
      <c r="L37" s="3">
        <v>0</v>
      </c>
      <c r="M37" s="3">
        <v>0</v>
      </c>
      <c r="N37" s="3">
        <v>166765</v>
      </c>
    </row>
    <row r="38" spans="1:15" x14ac:dyDescent="0.15">
      <c r="A38" s="1">
        <v>2006</v>
      </c>
      <c r="B38" s="3">
        <v>162931</v>
      </c>
      <c r="C38" s="3">
        <v>0</v>
      </c>
      <c r="D38" s="3">
        <v>0</v>
      </c>
      <c r="E38" s="3">
        <v>0</v>
      </c>
      <c r="F38" s="3">
        <v>0</v>
      </c>
      <c r="G38" s="3">
        <v>0</v>
      </c>
      <c r="H38" s="3">
        <v>0</v>
      </c>
      <c r="I38" s="3">
        <v>0</v>
      </c>
      <c r="J38" s="3">
        <v>0</v>
      </c>
      <c r="K38" s="3">
        <v>162931</v>
      </c>
      <c r="L38" s="3">
        <v>0</v>
      </c>
      <c r="M38" s="3">
        <v>0</v>
      </c>
      <c r="N38" s="3">
        <v>162931</v>
      </c>
    </row>
    <row r="39" spans="1:15" x14ac:dyDescent="0.15">
      <c r="A39" s="1">
        <v>2007</v>
      </c>
      <c r="B39" s="3">
        <v>162789</v>
      </c>
      <c r="C39" s="3">
        <v>0</v>
      </c>
      <c r="D39" s="3">
        <v>0</v>
      </c>
      <c r="E39" s="3">
        <v>0</v>
      </c>
      <c r="F39" s="3">
        <v>0</v>
      </c>
      <c r="G39" s="3">
        <v>0</v>
      </c>
      <c r="H39" s="3">
        <v>0</v>
      </c>
      <c r="I39" s="3">
        <v>0</v>
      </c>
      <c r="J39" s="3">
        <v>0</v>
      </c>
      <c r="K39" s="3">
        <v>162789</v>
      </c>
      <c r="L39" s="3">
        <v>0</v>
      </c>
      <c r="M39" s="3">
        <v>0</v>
      </c>
      <c r="N39" s="3">
        <v>162789</v>
      </c>
    </row>
    <row r="40" spans="1:15" x14ac:dyDescent="0.15">
      <c r="A40" s="1">
        <v>2008</v>
      </c>
      <c r="B40" s="3">
        <v>162184</v>
      </c>
      <c r="C40" s="3">
        <v>0</v>
      </c>
      <c r="D40" s="3">
        <v>0</v>
      </c>
      <c r="E40" s="3">
        <v>0</v>
      </c>
      <c r="F40" s="3">
        <v>0</v>
      </c>
      <c r="G40" s="3">
        <v>0</v>
      </c>
      <c r="H40" s="3">
        <v>0</v>
      </c>
      <c r="I40" s="3">
        <v>0</v>
      </c>
      <c r="J40" s="3">
        <v>0</v>
      </c>
      <c r="K40" s="3">
        <v>162184</v>
      </c>
      <c r="L40" s="3">
        <v>0</v>
      </c>
      <c r="M40" s="3">
        <v>0</v>
      </c>
      <c r="N40" s="3">
        <v>162184</v>
      </c>
    </row>
    <row r="41" spans="1:15" x14ac:dyDescent="0.15">
      <c r="A41" s="1">
        <v>2009</v>
      </c>
      <c r="B41" s="3">
        <v>162931</v>
      </c>
      <c r="C41" s="3">
        <v>0</v>
      </c>
      <c r="D41" s="3">
        <v>0</v>
      </c>
      <c r="E41" s="3">
        <v>0</v>
      </c>
      <c r="F41" s="3">
        <v>0</v>
      </c>
      <c r="G41" s="3">
        <v>0</v>
      </c>
      <c r="H41" s="3">
        <v>0</v>
      </c>
      <c r="I41" s="3">
        <v>0</v>
      </c>
      <c r="J41" s="3">
        <v>0</v>
      </c>
      <c r="K41" s="3">
        <v>162931</v>
      </c>
      <c r="L41" s="3">
        <v>0</v>
      </c>
      <c r="M41" s="3">
        <v>0</v>
      </c>
      <c r="N41" s="3">
        <v>162931</v>
      </c>
    </row>
    <row r="42" spans="1:15" x14ac:dyDescent="0.15">
      <c r="A42" s="1">
        <v>2010</v>
      </c>
      <c r="B42" s="3">
        <v>164942</v>
      </c>
      <c r="C42" s="3">
        <v>0</v>
      </c>
      <c r="D42" s="3">
        <v>0</v>
      </c>
      <c r="E42" s="3">
        <v>0</v>
      </c>
      <c r="F42" s="3">
        <v>0</v>
      </c>
      <c r="G42" s="3">
        <v>13621921</v>
      </c>
      <c r="H42" s="3">
        <v>0</v>
      </c>
      <c r="I42" s="3">
        <v>0</v>
      </c>
      <c r="J42" s="3">
        <v>0</v>
      </c>
      <c r="K42" s="3">
        <v>164942</v>
      </c>
      <c r="L42" s="3">
        <v>0</v>
      </c>
      <c r="M42" s="3">
        <v>13621921</v>
      </c>
      <c r="N42" s="3">
        <v>13786863</v>
      </c>
      <c r="O42" s="1" t="s">
        <v>341</v>
      </c>
    </row>
    <row r="43" spans="1:15" x14ac:dyDescent="0.15">
      <c r="A43" s="1">
        <v>2011</v>
      </c>
      <c r="B43" s="3">
        <v>167205</v>
      </c>
      <c r="C43" s="3">
        <v>0</v>
      </c>
      <c r="D43" s="3">
        <v>0</v>
      </c>
      <c r="E43" s="3">
        <v>0</v>
      </c>
      <c r="F43" s="3">
        <v>0</v>
      </c>
      <c r="G43" s="3">
        <v>14964768</v>
      </c>
      <c r="H43" s="3">
        <v>0</v>
      </c>
      <c r="I43" s="3">
        <v>0</v>
      </c>
      <c r="J43" s="3">
        <v>0</v>
      </c>
      <c r="K43" s="3">
        <v>167205</v>
      </c>
      <c r="L43" s="3">
        <v>0</v>
      </c>
      <c r="M43" s="3">
        <v>14964768</v>
      </c>
      <c r="N43" s="3">
        <v>15131973</v>
      </c>
      <c r="O43" s="1" t="s">
        <v>344</v>
      </c>
    </row>
    <row r="44" spans="1:15" x14ac:dyDescent="0.15">
      <c r="A44" s="1">
        <v>2012</v>
      </c>
      <c r="B44" s="3">
        <v>0</v>
      </c>
      <c r="C44" s="3">
        <v>0</v>
      </c>
      <c r="D44" s="3">
        <v>0</v>
      </c>
      <c r="E44" s="3">
        <v>0</v>
      </c>
      <c r="F44" s="3">
        <v>0</v>
      </c>
      <c r="G44" s="3">
        <v>15487408</v>
      </c>
      <c r="H44" s="3">
        <v>0</v>
      </c>
      <c r="I44" s="3">
        <v>0</v>
      </c>
      <c r="J44" s="3">
        <v>0</v>
      </c>
      <c r="K44" s="3">
        <v>0</v>
      </c>
      <c r="L44" s="3">
        <v>0</v>
      </c>
      <c r="M44" s="3">
        <v>15487408</v>
      </c>
      <c r="N44" s="3">
        <v>15487408</v>
      </c>
    </row>
    <row r="45" spans="1:15" x14ac:dyDescent="0.15">
      <c r="A45" s="1">
        <v>2013</v>
      </c>
      <c r="B45" s="3">
        <v>0</v>
      </c>
      <c r="C45" s="3">
        <v>0</v>
      </c>
      <c r="D45" s="3">
        <v>0</v>
      </c>
      <c r="E45" s="3">
        <v>0</v>
      </c>
      <c r="F45" s="3">
        <v>0</v>
      </c>
      <c r="G45" s="3">
        <v>15470317</v>
      </c>
      <c r="H45" s="3">
        <v>0</v>
      </c>
      <c r="I45" s="3">
        <v>0</v>
      </c>
      <c r="J45" s="3">
        <v>0</v>
      </c>
      <c r="K45" s="3">
        <v>0</v>
      </c>
      <c r="L45" s="3">
        <v>0</v>
      </c>
      <c r="M45" s="3">
        <v>15470317</v>
      </c>
      <c r="N45" s="3">
        <v>15470317</v>
      </c>
      <c r="O45" s="1" t="s">
        <v>343</v>
      </c>
    </row>
    <row r="46" spans="1:15" x14ac:dyDescent="0.15">
      <c r="A46" s="1">
        <v>2014</v>
      </c>
      <c r="B46" s="3">
        <v>0</v>
      </c>
      <c r="C46" s="3">
        <v>0</v>
      </c>
      <c r="D46" s="3">
        <v>0</v>
      </c>
      <c r="E46" s="3">
        <v>15149557</v>
      </c>
      <c r="F46" s="3">
        <v>0</v>
      </c>
      <c r="G46" s="3">
        <v>0</v>
      </c>
      <c r="H46" s="3">
        <v>0</v>
      </c>
      <c r="I46" s="3">
        <v>0</v>
      </c>
      <c r="J46" s="3">
        <v>0</v>
      </c>
      <c r="K46" s="3">
        <v>15149557</v>
      </c>
      <c r="L46" s="3">
        <v>0</v>
      </c>
      <c r="M46" s="3">
        <v>0</v>
      </c>
      <c r="N46" s="3">
        <v>15149557</v>
      </c>
      <c r="O46" s="1" t="s">
        <v>342</v>
      </c>
    </row>
    <row r="47" spans="1:15" x14ac:dyDescent="0.15">
      <c r="A47" s="1">
        <v>2015</v>
      </c>
      <c r="B47" s="3">
        <v>0</v>
      </c>
      <c r="C47" s="3">
        <v>0</v>
      </c>
      <c r="D47" s="3">
        <v>0</v>
      </c>
      <c r="E47" s="3">
        <v>14511778</v>
      </c>
      <c r="F47" s="3">
        <v>633587</v>
      </c>
      <c r="G47" s="3">
        <v>0</v>
      </c>
      <c r="H47" s="3">
        <v>0</v>
      </c>
      <c r="I47" s="3">
        <v>0</v>
      </c>
      <c r="J47" s="3">
        <v>0</v>
      </c>
      <c r="K47" s="3">
        <v>14511778</v>
      </c>
      <c r="L47" s="3">
        <v>633587</v>
      </c>
      <c r="M47" s="3">
        <v>0</v>
      </c>
      <c r="N47" s="3">
        <v>15145365</v>
      </c>
      <c r="O47" s="1" t="s">
        <v>345</v>
      </c>
    </row>
    <row r="48" spans="1:15" x14ac:dyDescent="0.15">
      <c r="A48" s="1">
        <v>2016</v>
      </c>
      <c r="B48" s="3">
        <v>0</v>
      </c>
      <c r="C48" s="3">
        <v>0</v>
      </c>
      <c r="D48" s="3">
        <v>0</v>
      </c>
      <c r="E48" s="3">
        <v>0</v>
      </c>
      <c r="F48" s="3">
        <v>0</v>
      </c>
      <c r="G48" s="3">
        <v>16265561</v>
      </c>
      <c r="H48" s="3">
        <v>0</v>
      </c>
      <c r="I48" s="3">
        <v>0</v>
      </c>
      <c r="J48" s="3">
        <v>0</v>
      </c>
      <c r="K48" s="3">
        <v>0</v>
      </c>
      <c r="L48" s="3">
        <v>0</v>
      </c>
      <c r="M48" s="3">
        <v>16265561</v>
      </c>
      <c r="N48" s="3">
        <v>16265561</v>
      </c>
      <c r="O48" s="1" t="s">
        <v>343</v>
      </c>
    </row>
  </sheetData>
  <phoneticPr fontId="0" type="noConversion"/>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abSelected="1" zoomScale="85" zoomScaleNormal="85" workbookViewId="0"/>
  </sheetViews>
  <sheetFormatPr defaultColWidth="11.5" defaultRowHeight="11.25" x14ac:dyDescent="0.15"/>
  <cols>
    <col min="1" max="1" width="11.5" style="1"/>
    <col min="2" max="2" width="13.125" style="1" customWidth="1"/>
    <col min="3" max="4" width="11.5" style="1"/>
    <col min="5" max="5" width="12.625" style="1" customWidth="1"/>
    <col min="6" max="7" width="11.5" style="1"/>
    <col min="8" max="8" width="12.875" style="1" customWidth="1"/>
    <col min="9" max="9" width="12.375" style="1" customWidth="1"/>
    <col min="10" max="10" width="11.5" style="1"/>
    <col min="11" max="11" width="14.125" style="1" customWidth="1"/>
    <col min="12" max="13" width="11.5" style="1"/>
    <col min="14" max="14" width="13.375" style="1" customWidth="1"/>
    <col min="15" max="16384" width="11.5" style="1"/>
  </cols>
  <sheetData>
    <row r="1" spans="1:17" x14ac:dyDescent="0.15">
      <c r="A1" s="1" t="s">
        <v>12</v>
      </c>
      <c r="P1" s="1" t="s">
        <v>97</v>
      </c>
    </row>
    <row r="2" spans="1:17" x14ac:dyDescent="0.15">
      <c r="E2" s="2" t="s">
        <v>6</v>
      </c>
      <c r="F2" s="2"/>
      <c r="G2" s="2"/>
      <c r="H2" s="2"/>
      <c r="I2" s="2"/>
      <c r="J2" s="2"/>
    </row>
    <row r="3" spans="1:17" x14ac:dyDescent="0.15">
      <c r="B3" s="2" t="s">
        <v>5</v>
      </c>
      <c r="C3" s="2"/>
      <c r="D3" s="2"/>
      <c r="E3" s="2" t="s">
        <v>7</v>
      </c>
      <c r="F3" s="2"/>
      <c r="G3" s="2"/>
      <c r="H3" s="2" t="s">
        <v>8</v>
      </c>
      <c r="I3" s="2"/>
      <c r="J3" s="2"/>
      <c r="P3" s="1" t="s">
        <v>96</v>
      </c>
    </row>
    <row r="4" spans="1:17" x14ac:dyDescent="0.15">
      <c r="A4" s="1" t="s">
        <v>1</v>
      </c>
      <c r="B4" s="1" t="s">
        <v>2</v>
      </c>
      <c r="C4" s="1" t="s">
        <v>3</v>
      </c>
      <c r="D4" s="1" t="s">
        <v>4</v>
      </c>
      <c r="E4" s="1" t="s">
        <v>2</v>
      </c>
      <c r="F4" s="1" t="s">
        <v>3</v>
      </c>
      <c r="G4" s="1" t="s">
        <v>4</v>
      </c>
      <c r="H4" s="1" t="s">
        <v>2</v>
      </c>
      <c r="I4" s="1" t="s">
        <v>3</v>
      </c>
      <c r="J4" s="1" t="s">
        <v>4</v>
      </c>
      <c r="K4" s="1" t="s">
        <v>2</v>
      </c>
      <c r="L4" s="1" t="s">
        <v>3</v>
      </c>
      <c r="M4" s="1" t="s">
        <v>4</v>
      </c>
      <c r="N4" s="1" t="s">
        <v>12</v>
      </c>
      <c r="P4" s="1" t="s">
        <v>95</v>
      </c>
    </row>
    <row r="6" spans="1:17" x14ac:dyDescent="0.15">
      <c r="A6" s="1">
        <v>1974</v>
      </c>
      <c r="B6" s="3">
        <f>+Alabama!B6+Alaska!B6+Arizona!B6+Arkansas!B6+California!B6+Colorado!B6+Connecticut!B6+Delaware!B6+'District of Columbia'!B6+Florida!B6+Georgia!B6+Hawaii!B6+Idaho!B6+Illinois!B6+Indiana!B6+Iowa!B6+Kansas!B6+Kentucky!B6+Louisiana!B6+Maine!B6+Maryland!B6+Massachusettes!B6+Michigan!B6+Minnesota!B6+Mississippi!B6+Missouri!B6+Montana!B6+Nebraska!B6+Nevada!B6+'New Hampshire'!B6+'New Jersey'!B6+'New Mexico'!B6+'New York'!B6+'North Carolina'!B6+'North Dakota'!B6+Ohio!B6+Oklahoma!B6+Oregon!B6+Pennsylvania!B6+'Puerto Rico'!B6+'Rhode Island'!B6+'South Carolina'!B6+'South Dakota '!B6+Tennessee!B6+Texas!B6+Utah!B6+Vermont!B6+Virginia!B6+Washington!B6+'West Virginia'!B6+Wisconsin!B6+Wyoming!B6</f>
        <v>295476543</v>
      </c>
      <c r="C6" s="3">
        <f>+Alabama!C6+Alaska!C6+Arizona!C6+Arkansas!C6+California!C6+Colorado!C6+Connecticut!C6+Delaware!C6+'District of Columbia'!C6+Florida!C6+Georgia!C6+Hawaii!C6+Idaho!C6+Illinois!C6+Indiana!C6+Iowa!C6+Kansas!C6+Kentucky!C6+Louisiana!C6+Maine!C6+Maryland!C6+Massachusettes!C6+Michigan!C6+Minnesota!C6+Mississippi!C6+Missouri!C6+Montana!C6+Nebraska!C6+Nevada!C6+'New Hampshire'!C6+'New Jersey'!C6+'New Mexico'!C6+'New York'!C6+'North Carolina'!C6+'North Dakota'!C6+Ohio!C6+Oklahoma!C6+Oregon!C6+Pennsylvania!C6+'Puerto Rico'!C6+'Rhode Island'!C6+'South Carolina'!C6+'South Dakota '!C6+Tennessee!C6+Texas!C6+Utah!C6+Vermont!C6+Virginia!C6+Washington!C6+'West Virginia'!C6+Wisconsin!C6+Wyoming!C6</f>
        <v>0</v>
      </c>
      <c r="D6" s="3">
        <f>+Alabama!D6+Alaska!D6+Arizona!D6+Arkansas!D6+California!D6+Colorado!D6+Connecticut!D6+Delaware!D6+'District of Columbia'!D6+Florida!D6+Georgia!D6+Hawaii!D6+Idaho!D6+Illinois!D6+Indiana!D6+Iowa!D6+Kansas!D6+Kentucky!D6+Louisiana!D6+Maine!D6+Maryland!D6+Massachusettes!D6+Michigan!D6+Minnesota!D6+Mississippi!D6+Missouri!D6+Montana!D6+Nebraska!D6+Nevada!D6+'New Hampshire'!D6+'New Jersey'!D6+'New Mexico'!D6+'New York'!D6+'North Carolina'!D6+'North Dakota'!D6+Ohio!D6+Oklahoma!D6+Oregon!D6+Pennsylvania!D6+'Puerto Rico'!D6+'Rhode Island'!D6+'South Carolina'!D6+'South Dakota '!D6+Tennessee!D6+Texas!D6+Utah!D6+Vermont!D6+Virginia!D6+Washington!D6+'West Virginia'!D6+Wisconsin!D6+Wyoming!D6</f>
        <v>0</v>
      </c>
      <c r="E6" s="3">
        <f>+Alabama!E6+Alaska!E6+Arizona!E6+Arkansas!E6+California!E6+Colorado!E6+Connecticut!E6+Delaware!E6+'District of Columbia'!E6+Florida!E6+Georgia!E6+Hawaii!E6+Idaho!E6+Illinois!E6+Indiana!E6+Iowa!E6+Kansas!E6+Kentucky!E6+Louisiana!E6+Maine!E6+Maryland!E6+Massachusettes!E6+Michigan!E6+Minnesota!E6+Mississippi!E6+Missouri!E6+Montana!E6+Nebraska!E6+Nevada!E6+'New Hampshire'!E6+'New Jersey'!E6+'New Mexico'!E6+'New York'!E6+'North Carolina'!E6+'North Dakota'!E6+Ohio!E6+Oklahoma!E6+Oregon!E6+Pennsylvania!E6+'Puerto Rico'!E6+'Rhode Island'!E6+'South Carolina'!E6+'South Dakota '!E6+Tennessee!E6+Texas!E6+Utah!E6+Vermont!E6+Virginia!E6+Washington!E6+'West Virginia'!E6+Wisconsin!E6+Wyoming!E6</f>
        <v>39810246</v>
      </c>
      <c r="F6" s="3">
        <f>+Alabama!F6+Alaska!F6+Arizona!F6+Arkansas!F6+California!F6+Colorado!F6+Connecticut!F6+Delaware!F6+'District of Columbia'!F6+Florida!F6+Georgia!F6+Hawaii!F6+Idaho!F6+Illinois!F6+Indiana!F6+Iowa!F6+Kansas!F6+Kentucky!F6+Louisiana!F6+Maine!F6+Maryland!F6+Massachusettes!F6+Michigan!F6+Minnesota!F6+Mississippi!F6+Missouri!F6+Montana!F6+Nebraska!F6+Nevada!F6+'New Hampshire'!F6+'New Jersey'!F6+'New Mexico'!F6+'New York'!F6+'North Carolina'!F6+'North Dakota'!F6+Ohio!F6+Oklahoma!F6+Oregon!F6+Pennsylvania!F6+'Puerto Rico'!F6+'Rhode Island'!F6+'South Carolina'!F6+'South Dakota '!F6+Tennessee!F6+Texas!F6+Utah!F6+Vermont!F6+Virginia!F6+Washington!F6+'West Virginia'!F6+Wisconsin!F6+Wyoming!F6</f>
        <v>0</v>
      </c>
      <c r="G6" s="3">
        <f>+Alabama!G6+Alaska!G6+Arizona!G6+Arkansas!G6+California!G6+Colorado!G6+Connecticut!G6+Delaware!G6+'District of Columbia'!G6+Florida!G6+Georgia!G6+Hawaii!G6+Idaho!G6+Illinois!G6+Indiana!G6+Iowa!G6+Kansas!G6+Kentucky!G6+Louisiana!G6+Maine!G6+Maryland!G6+Massachusettes!G6+Michigan!G6+Minnesota!G6+Mississippi!G6+Missouri!G6+Montana!G6+Nebraska!G6+Nevada!G6+'New Hampshire'!G6+'New Jersey'!G6+'New Mexico'!G6+'New York'!G6+'North Carolina'!G6+'North Dakota'!G6+Ohio!G6+Oklahoma!G6+Oregon!G6+Pennsylvania!G6+'Puerto Rico'!G6+'Rhode Island'!G6+'South Carolina'!G6+'South Dakota '!G6+Tennessee!G6+Texas!G6+Utah!G6+Vermont!G6+Virginia!G6+Washington!G6+'West Virginia'!G6+Wisconsin!G6+Wyoming!G6</f>
        <v>0</v>
      </c>
      <c r="H6" s="3">
        <f>+Alabama!H6+Alaska!H6+Arizona!H6+Arkansas!H6+California!H6+Colorado!H6+Connecticut!H6+Delaware!H6+'District of Columbia'!H6+Florida!H6+Georgia!H6+Hawaii!H6+Idaho!H6+Illinois!H6+Indiana!H6+Iowa!H6+Kansas!H6+Kentucky!H6+Louisiana!H6+Maine!H6+Maryland!H6+Massachusettes!H6+Michigan!H6+Minnesota!H6+Mississippi!H6+Missouri!H6+Montana!H6+Nebraska!H6+Nevada!H6+'New Hampshire'!H6+'New Jersey'!H6+'New Mexico'!H6+'New York'!H6+'North Carolina'!H6+'North Dakota'!H6+Ohio!H6+Oklahoma!H6+Oregon!H6+Pennsylvania!H6+'Puerto Rico'!H6+'Rhode Island'!H6+'South Carolina'!H6+'South Dakota '!H6+Tennessee!H6+Texas!H6+Utah!H6+Vermont!H6+Virginia!H6+Washington!H6+'West Virginia'!H6+Wisconsin!H6+Wyoming!H6</f>
        <v>28600000</v>
      </c>
      <c r="I6" s="3">
        <f>+Alabama!I6+Alaska!I6+Arizona!I6+Arkansas!I6+California!I6+Colorado!I6+Connecticut!I6+Delaware!I6+'District of Columbia'!I6+Florida!I6+Georgia!I6+Hawaii!I6+Idaho!I6+Illinois!I6+Indiana!I6+Iowa!I6+Kansas!I6+Kentucky!I6+Louisiana!I6+Maine!I6+Maryland!I6+Massachusettes!I6+Michigan!I6+Minnesota!I6+Mississippi!I6+Missouri!I6+Montana!I6+Nebraska!I6+Nevada!I6+'New Hampshire'!I6+'New Jersey'!I6+'New Mexico'!I6+'New York'!I6+'North Carolina'!I6+'North Dakota'!I6+Ohio!I6+Oklahoma!I6+Oregon!I6+Pennsylvania!I6+'Puerto Rico'!I6+'Rhode Island'!I6+'South Carolina'!I6+'South Dakota '!I6+Tennessee!I6+Texas!I6+Utah!I6+Vermont!I6+Virginia!I6+Washington!I6+'West Virginia'!I6+Wisconsin!I6+Wyoming!I6</f>
        <v>0</v>
      </c>
      <c r="J6" s="3">
        <f>+Alabama!J6+Alaska!J6+Arizona!J6+Arkansas!J6+California!J6+Colorado!J6+Connecticut!J6+Delaware!J6+'District of Columbia'!J6+Florida!J6+Georgia!J6+Hawaii!J6+Idaho!J6+Illinois!J6+Indiana!J6+Iowa!J6+Kansas!J6+Kentucky!J6+Louisiana!J6+Maine!J6+Maryland!J6+Massachusettes!J6+Michigan!J6+Minnesota!J6+Mississippi!J6+Missouri!J6+Montana!J6+Nebraska!J6+Nevada!J6+'New Hampshire'!J6+'New Jersey'!J6+'New Mexico'!J6+'New York'!J6+'North Carolina'!J6+'North Dakota'!J6+Ohio!J6+Oklahoma!J6+Oregon!J6+Pennsylvania!J6+'Puerto Rico'!J6+'Rhode Island'!J6+'South Carolina'!J6+'South Dakota '!J6+Tennessee!J6+Texas!J6+Utah!J6+Vermont!J6+Virginia!J6+Washington!J6+'West Virginia'!J6+Wisconsin!J6+Wyoming!J6</f>
        <v>0</v>
      </c>
      <c r="K6" s="3">
        <f t="shared" ref="K6:M21" si="0">+B6+E6+H6</f>
        <v>363886789</v>
      </c>
      <c r="L6" s="3">
        <f t="shared" si="0"/>
        <v>0</v>
      </c>
      <c r="M6" s="3">
        <f t="shared" si="0"/>
        <v>0</v>
      </c>
      <c r="N6" s="3">
        <f t="shared" ref="N6:N33" si="1">+M6+L6+K6</f>
        <v>363886789</v>
      </c>
      <c r="P6" s="1">
        <v>6</v>
      </c>
    </row>
    <row r="7" spans="1:17" x14ac:dyDescent="0.15">
      <c r="A7" s="1">
        <v>1975</v>
      </c>
      <c r="B7" s="3">
        <f>+Alabama!B7+Alaska!B7+Arizona!B7+Arkansas!B7+California!B7+Colorado!B7+Connecticut!B7+Delaware!B7+'District of Columbia'!B7+Florida!B7+Georgia!B7+Hawaii!B7+Idaho!B7+Illinois!B7+Indiana!B7+Iowa!B7+Kansas!B7+Kentucky!B7+Louisiana!B7+Maine!B7+Maryland!B7+Massachusettes!B7+Michigan!B7+Minnesota!B7+Mississippi!B7+Missouri!B7+Montana!B7+Nebraska!B7+Nevada!B7+'New Hampshire'!B7+'New Jersey'!B7+'New Mexico'!B7+'New York'!B7+'North Carolina'!B7+'North Dakota'!B7+Ohio!B7+Oklahoma!B7+Oregon!B7+Pennsylvania!B7+'Puerto Rico'!B7+'Rhode Island'!B7+'South Carolina'!B7+'South Dakota '!B7+Tennessee!B7+Texas!B7+Utah!B7+Vermont!B7+Virginia!B7+Washington!B7+'West Virginia'!B7+Wisconsin!B7+Wyoming!B7</f>
        <v>364195000</v>
      </c>
      <c r="C7" s="3">
        <f>+Alabama!C7+Alaska!C7+Arizona!C7+Arkansas!C7+California!C7+Colorado!C7+Connecticut!C7+Delaware!C7+'District of Columbia'!C7+Florida!C7+Georgia!C7+Hawaii!C7+Idaho!C7+Illinois!C7+Indiana!C7+Iowa!C7+Kansas!C7+Kentucky!C7+Louisiana!C7+Maine!C7+Maryland!C7+Massachusettes!C7+Michigan!C7+Minnesota!C7+Mississippi!C7+Missouri!C7+Montana!C7+Nebraska!C7+Nevada!C7+'New Hampshire'!C7+'New Jersey'!C7+'New Mexico'!C7+'New York'!C7+'North Carolina'!C7+'North Dakota'!C7+Ohio!C7+Oklahoma!C7+Oregon!C7+Pennsylvania!C7+'Puerto Rico'!C7+'Rhode Island'!C7+'South Carolina'!C7+'South Dakota '!C7+Tennessee!C7+Texas!C7+Utah!C7+Vermont!C7+Virginia!C7+Washington!C7+'West Virginia'!C7+Wisconsin!C7+Wyoming!C7</f>
        <v>0</v>
      </c>
      <c r="D7" s="3">
        <f>+Alabama!D7+Alaska!D7+Arizona!D7+Arkansas!D7+California!D7+Colorado!D7+Connecticut!D7+Delaware!D7+'District of Columbia'!D7+Florida!D7+Georgia!D7+Hawaii!D7+Idaho!D7+Illinois!D7+Indiana!D7+Iowa!D7+Kansas!D7+Kentucky!D7+Louisiana!D7+Maine!D7+Maryland!D7+Massachusettes!D7+Michigan!D7+Minnesota!D7+Mississippi!D7+Missouri!D7+Montana!D7+Nebraska!D7+Nevada!D7+'New Hampshire'!D7+'New Jersey'!D7+'New Mexico'!D7+'New York'!D7+'North Carolina'!D7+'North Dakota'!D7+Ohio!D7+Oklahoma!D7+Oregon!D7+Pennsylvania!D7+'Puerto Rico'!D7+'Rhode Island'!D7+'South Carolina'!D7+'South Dakota '!D7+Tennessee!D7+Texas!D7+Utah!D7+Vermont!D7+Virginia!D7+Washington!D7+'West Virginia'!D7+Wisconsin!D7+Wyoming!D7</f>
        <v>0</v>
      </c>
      <c r="E7" s="3">
        <f>+Alabama!E7+Alaska!E7+Arizona!E7+Arkansas!E7+California!E7+Colorado!E7+Connecticut!E7+Delaware!E7+'District of Columbia'!E7+Florida!E7+Georgia!E7+Hawaii!E7+Idaho!E7+Illinois!E7+Indiana!E7+Iowa!E7+Kansas!E7+Kentucky!E7+Louisiana!E7+Maine!E7+Maryland!E7+Massachusettes!E7+Michigan!E7+Minnesota!E7+Mississippi!E7+Missouri!E7+Montana!E7+Nebraska!E7+Nevada!E7+'New Hampshire'!E7+'New Jersey'!E7+'New Mexico'!E7+'New York'!E7+'North Carolina'!E7+'North Dakota'!E7+Ohio!E7+Oklahoma!E7+Oregon!E7+Pennsylvania!E7+'Puerto Rico'!E7+'Rhode Island'!E7+'South Carolina'!E7+'South Dakota '!E7+Tennessee!E7+Texas!E7+Utah!E7+Vermont!E7+Virginia!E7+Washington!E7+'West Virginia'!E7+Wisconsin!E7+Wyoming!E7</f>
        <v>51537000</v>
      </c>
      <c r="F7" s="3">
        <f>+Alabama!F7+Alaska!F7+Arizona!F7+Arkansas!F7+California!F7+Colorado!F7+Connecticut!F7+Delaware!F7+'District of Columbia'!F7+Florida!F7+Georgia!F7+Hawaii!F7+Idaho!F7+Illinois!F7+Indiana!F7+Iowa!F7+Kansas!F7+Kentucky!F7+Louisiana!F7+Maine!F7+Maryland!F7+Massachusettes!F7+Michigan!F7+Minnesota!F7+Mississippi!F7+Missouri!F7+Montana!F7+Nebraska!F7+Nevada!F7+'New Hampshire'!F7+'New Jersey'!F7+'New Mexico'!F7+'New York'!F7+'North Carolina'!F7+'North Dakota'!F7+Ohio!F7+Oklahoma!F7+Oregon!F7+Pennsylvania!F7+'Puerto Rico'!F7+'Rhode Island'!F7+'South Carolina'!F7+'South Dakota '!F7+Tennessee!F7+Texas!F7+Utah!F7+Vermont!F7+Virginia!F7+Washington!F7+'West Virginia'!F7+Wisconsin!F7+Wyoming!F7</f>
        <v>0</v>
      </c>
      <c r="G7" s="3">
        <f>+Alabama!G7+Alaska!G7+Arizona!G7+Arkansas!G7+California!G7+Colorado!G7+Connecticut!G7+Delaware!G7+'District of Columbia'!G7+Florida!G7+Georgia!G7+Hawaii!G7+Idaho!G7+Illinois!G7+Indiana!G7+Iowa!G7+Kansas!G7+Kentucky!G7+Louisiana!G7+Maine!G7+Maryland!G7+Massachusettes!G7+Michigan!G7+Minnesota!G7+Mississippi!G7+Missouri!G7+Montana!G7+Nebraska!G7+Nevada!G7+'New Hampshire'!G7+'New Jersey'!G7+'New Mexico'!G7+'New York'!G7+'North Carolina'!G7+'North Dakota'!G7+Ohio!G7+Oklahoma!G7+Oregon!G7+Pennsylvania!G7+'Puerto Rico'!G7+'Rhode Island'!G7+'South Carolina'!G7+'South Dakota '!G7+Tennessee!G7+Texas!G7+Utah!G7+Vermont!G7+Virginia!G7+Washington!G7+'West Virginia'!G7+Wisconsin!G7+Wyoming!G7</f>
        <v>0</v>
      </c>
      <c r="H7" s="3">
        <f>+Alabama!H7+Alaska!H7+Arizona!H7+Arkansas!H7+California!H7+Colorado!H7+Connecticut!H7+Delaware!H7+'District of Columbia'!H7+Florida!H7+Georgia!H7+Hawaii!H7+Idaho!H7+Illinois!H7+Indiana!H7+Iowa!H7+Kansas!H7+Kentucky!H7+Louisiana!H7+Maine!H7+Maryland!H7+Massachusettes!H7+Michigan!H7+Minnesota!H7+Mississippi!H7+Missouri!H7+Montana!H7+Nebraska!H7+Nevada!H7+'New Hampshire'!H7+'New Jersey'!H7+'New Mexico'!H7+'New York'!H7+'North Carolina'!H7+'North Dakota'!H7+Ohio!H7+Oklahoma!H7+Oregon!H7+Pennsylvania!H7+'Puerto Rico'!H7+'Rhode Island'!H7+'South Carolina'!H7+'South Dakota '!H7+Tennessee!H7+Texas!H7+Utah!H7+Vermont!H7+Virginia!H7+Washington!H7+'West Virginia'!H7+Wisconsin!H7+Wyoming!H7</f>
        <v>24826000</v>
      </c>
      <c r="I7" s="3">
        <f>+Alabama!I7+Alaska!I7+Arizona!I7+Arkansas!I7+California!I7+Colorado!I7+Connecticut!I7+Delaware!I7+'District of Columbia'!I7+Florida!I7+Georgia!I7+Hawaii!I7+Idaho!I7+Illinois!I7+Indiana!I7+Iowa!I7+Kansas!I7+Kentucky!I7+Louisiana!I7+Maine!I7+Maryland!I7+Massachusettes!I7+Michigan!I7+Minnesota!I7+Mississippi!I7+Missouri!I7+Montana!I7+Nebraska!I7+Nevada!I7+'New Hampshire'!I7+'New Jersey'!I7+'New Mexico'!I7+'New York'!I7+'North Carolina'!I7+'North Dakota'!I7+Ohio!I7+Oklahoma!I7+Oregon!I7+Pennsylvania!I7+'Puerto Rico'!I7+'Rhode Island'!I7+'South Carolina'!I7+'South Dakota '!I7+Tennessee!I7+Texas!I7+Utah!I7+Vermont!I7+Virginia!I7+Washington!I7+'West Virginia'!I7+Wisconsin!I7+Wyoming!I7</f>
        <v>0</v>
      </c>
      <c r="J7" s="3">
        <f>+Alabama!J7+Alaska!J7+Arizona!J7+Arkansas!J7+California!J7+Colorado!J7+Connecticut!J7+Delaware!J7+'District of Columbia'!J7+Florida!J7+Georgia!J7+Hawaii!J7+Idaho!J7+Illinois!J7+Indiana!J7+Iowa!J7+Kansas!J7+Kentucky!J7+Louisiana!J7+Maine!J7+Maryland!J7+Massachusettes!J7+Michigan!J7+Minnesota!J7+Mississippi!J7+Missouri!J7+Montana!J7+Nebraska!J7+Nevada!J7+'New Hampshire'!J7+'New Jersey'!J7+'New Mexico'!J7+'New York'!J7+'North Carolina'!J7+'North Dakota'!J7+Ohio!J7+Oklahoma!J7+Oregon!J7+Pennsylvania!J7+'Puerto Rico'!J7+'Rhode Island'!J7+'South Carolina'!J7+'South Dakota '!J7+Tennessee!J7+Texas!J7+Utah!J7+Vermont!J7+Virginia!J7+Washington!J7+'West Virginia'!J7+Wisconsin!J7+Wyoming!J7</f>
        <v>0</v>
      </c>
      <c r="K7" s="3">
        <f t="shared" si="0"/>
        <v>440558000</v>
      </c>
      <c r="L7" s="3">
        <f t="shared" si="0"/>
        <v>0</v>
      </c>
      <c r="M7" s="3">
        <f t="shared" si="0"/>
        <v>0</v>
      </c>
      <c r="N7" s="3">
        <f t="shared" si="1"/>
        <v>440558000</v>
      </c>
      <c r="P7" s="1">
        <v>7</v>
      </c>
    </row>
    <row r="8" spans="1:17" x14ac:dyDescent="0.15">
      <c r="A8" s="1">
        <v>1976</v>
      </c>
      <c r="B8" s="3">
        <f>+Alabama!B8+Alaska!B8+Arizona!B8+Arkansas!B8+California!B8+Colorado!B8+Connecticut!B8+Delaware!B8+'District of Columbia'!B8+Florida!B8+Georgia!B8+Hawaii!B8+Idaho!B8+Illinois!B8+Indiana!B8+Iowa!B8+Kansas!B8+Kentucky!B8+Louisiana!B8+Maine!B8+Maryland!B8+Massachusettes!B8+Michigan!B8+Minnesota!B8+Mississippi!B8+Missouri!B8+Montana!B8+Nebraska!B8+Nevada!B8+'New Hampshire'!B8+'New Jersey'!B8+'New Mexico'!B8+'New York'!B8+'North Carolina'!B8+'North Dakota'!B8+Ohio!B8+Oklahoma!B8+Oregon!B8+Pennsylvania!B8+'Puerto Rico'!B8+'Rhode Island'!B8+'South Carolina'!B8+'South Dakota '!B8+Tennessee!B8+Texas!B8+Utah!B8+Vermont!B8+Virginia!B8+Washington!B8+'West Virginia'!B8+Wisconsin!B8+Wyoming!B8</f>
        <v>426783000</v>
      </c>
      <c r="C8" s="3">
        <f>+Alabama!C8+Alaska!C8+Arizona!C8+Arkansas!C8+California!C8+Colorado!C8+Connecticut!C8+Delaware!C8+'District of Columbia'!C8+Florida!C8+Georgia!C8+Hawaii!C8+Idaho!C8+Illinois!C8+Indiana!C8+Iowa!C8+Kansas!C8+Kentucky!C8+Louisiana!C8+Maine!C8+Maryland!C8+Massachusettes!C8+Michigan!C8+Minnesota!C8+Mississippi!C8+Missouri!C8+Montana!C8+Nebraska!C8+Nevada!C8+'New Hampshire'!C8+'New Jersey'!C8+'New Mexico'!C8+'New York'!C8+'North Carolina'!C8+'North Dakota'!C8+Ohio!C8+Oklahoma!C8+Oregon!C8+Pennsylvania!C8+'Puerto Rico'!C8+'Rhode Island'!C8+'South Carolina'!C8+'South Dakota '!C8+Tennessee!C8+Texas!C8+Utah!C8+Vermont!C8+Virginia!C8+Washington!C8+'West Virginia'!C8+Wisconsin!C8+Wyoming!C8</f>
        <v>0</v>
      </c>
      <c r="D8" s="3">
        <f>+Alabama!D8+Alaska!D8+Arizona!D8+Arkansas!D8+California!D8+Colorado!D8+Connecticut!D8+Delaware!D8+'District of Columbia'!D8+Florida!D8+Georgia!D8+Hawaii!D8+Idaho!D8+Illinois!D8+Indiana!D8+Iowa!D8+Kansas!D8+Kentucky!D8+Louisiana!D8+Maine!D8+Maryland!D8+Massachusettes!D8+Michigan!D8+Minnesota!D8+Mississippi!D8+Missouri!D8+Montana!D8+Nebraska!D8+Nevada!D8+'New Hampshire'!D8+'New Jersey'!D8+'New Mexico'!D8+'New York'!D8+'North Carolina'!D8+'North Dakota'!D8+Ohio!D8+Oklahoma!D8+Oregon!D8+Pennsylvania!D8+'Puerto Rico'!D8+'Rhode Island'!D8+'South Carolina'!D8+'South Dakota '!D8+Tennessee!D8+Texas!D8+Utah!D8+Vermont!D8+Virginia!D8+Washington!D8+'West Virginia'!D8+Wisconsin!D8+Wyoming!D8</f>
        <v>0</v>
      </c>
      <c r="E8" s="3">
        <f>+Alabama!E8+Alaska!E8+Arizona!E8+Arkansas!E8+California!E8+Colorado!E8+Connecticut!E8+Delaware!E8+'District of Columbia'!E8+Florida!E8+Georgia!E8+Hawaii!E8+Idaho!E8+Illinois!E8+Indiana!E8+Iowa!E8+Kansas!E8+Kentucky!E8+Louisiana!E8+Maine!E8+Maryland!E8+Massachusettes!E8+Michigan!E8+Minnesota!E8+Mississippi!E8+Missouri!E8+Montana!E8+Nebraska!E8+Nevada!E8+'New Hampshire'!E8+'New Jersey'!E8+'New Mexico'!E8+'New York'!E8+'North Carolina'!E8+'North Dakota'!E8+Ohio!E8+Oklahoma!E8+Oregon!E8+Pennsylvania!E8+'Puerto Rico'!E8+'Rhode Island'!E8+'South Carolina'!E8+'South Dakota '!E8+Tennessee!E8+Texas!E8+Utah!E8+Vermont!E8+Virginia!E8+Washington!E8+'West Virginia'!E8+Wisconsin!E8+Wyoming!E8</f>
        <v>58057000</v>
      </c>
      <c r="F8" s="3">
        <f>+Alabama!F8+Alaska!F8+Arizona!F8+Arkansas!F8+California!F8+Colorado!F8+Connecticut!F8+Delaware!F8+'District of Columbia'!F8+Florida!F8+Georgia!F8+Hawaii!F8+Idaho!F8+Illinois!F8+Indiana!F8+Iowa!F8+Kansas!F8+Kentucky!F8+Louisiana!F8+Maine!F8+Maryland!F8+Massachusettes!F8+Michigan!F8+Minnesota!F8+Mississippi!F8+Missouri!F8+Montana!F8+Nebraska!F8+Nevada!F8+'New Hampshire'!F8+'New Jersey'!F8+'New Mexico'!F8+'New York'!F8+'North Carolina'!F8+'North Dakota'!F8+Ohio!F8+Oklahoma!F8+Oregon!F8+Pennsylvania!F8+'Puerto Rico'!F8+'Rhode Island'!F8+'South Carolina'!F8+'South Dakota '!F8+Tennessee!F8+Texas!F8+Utah!F8+Vermont!F8+Virginia!F8+Washington!F8+'West Virginia'!F8+Wisconsin!F8+Wyoming!F8</f>
        <v>0</v>
      </c>
      <c r="G8" s="3">
        <f>+Alabama!G8+Alaska!G8+Arizona!G8+Arkansas!G8+California!G8+Colorado!G8+Connecticut!G8+Delaware!G8+'District of Columbia'!G8+Florida!G8+Georgia!G8+Hawaii!G8+Idaho!G8+Illinois!G8+Indiana!G8+Iowa!G8+Kansas!G8+Kentucky!G8+Louisiana!G8+Maine!G8+Maryland!G8+Massachusettes!G8+Michigan!G8+Minnesota!G8+Mississippi!G8+Missouri!G8+Montana!G8+Nebraska!G8+Nevada!G8+'New Hampshire'!G8+'New Jersey'!G8+'New Mexico'!G8+'New York'!G8+'North Carolina'!G8+'North Dakota'!G8+Ohio!G8+Oklahoma!G8+Oregon!G8+Pennsylvania!G8+'Puerto Rico'!G8+'Rhode Island'!G8+'South Carolina'!G8+'South Dakota '!G8+Tennessee!G8+Texas!G8+Utah!G8+Vermont!G8+Virginia!G8+Washington!G8+'West Virginia'!G8+Wisconsin!G8+Wyoming!G8</f>
        <v>0</v>
      </c>
      <c r="H8" s="3">
        <f>+Alabama!H8+Alaska!H8+Arizona!H8+Arkansas!H8+California!H8+Colorado!H8+Connecticut!H8+Delaware!H8+'District of Columbia'!H8+Florida!H8+Georgia!H8+Hawaii!H8+Idaho!H8+Illinois!H8+Indiana!H8+Iowa!H8+Kansas!H8+Kentucky!H8+Louisiana!H8+Maine!H8+Maryland!H8+Massachusettes!H8+Michigan!H8+Minnesota!H8+Mississippi!H8+Missouri!H8+Montana!H8+Nebraska!H8+Nevada!H8+'New Hampshire'!H8+'New Jersey'!H8+'New Mexico'!H8+'New York'!H8+'North Carolina'!H8+'North Dakota'!H8+Ohio!H8+Oklahoma!H8+Oregon!H8+Pennsylvania!H8+'Puerto Rico'!H8+'Rhode Island'!H8+'South Carolina'!H8+'South Dakota '!H8+Tennessee!H8+Texas!H8+Utah!H8+Vermont!H8+Virginia!H8+Washington!H8+'West Virginia'!H8+Wisconsin!H8+Wyoming!H8</f>
        <v>23900000</v>
      </c>
      <c r="I8" s="3">
        <f>+Alabama!I8+Alaska!I8+Arizona!I8+Arkansas!I8+California!I8+Colorado!I8+Connecticut!I8+Delaware!I8+'District of Columbia'!I8+Florida!I8+Georgia!I8+Hawaii!I8+Idaho!I8+Illinois!I8+Indiana!I8+Iowa!I8+Kansas!I8+Kentucky!I8+Louisiana!I8+Maine!I8+Maryland!I8+Massachusettes!I8+Michigan!I8+Minnesota!I8+Mississippi!I8+Missouri!I8+Montana!I8+Nebraska!I8+Nevada!I8+'New Hampshire'!I8+'New Jersey'!I8+'New Mexico'!I8+'New York'!I8+'North Carolina'!I8+'North Dakota'!I8+Ohio!I8+Oklahoma!I8+Oregon!I8+Pennsylvania!I8+'Puerto Rico'!I8+'Rhode Island'!I8+'South Carolina'!I8+'South Dakota '!I8+Tennessee!I8+Texas!I8+Utah!I8+Vermont!I8+Virginia!I8+Washington!I8+'West Virginia'!I8+Wisconsin!I8+Wyoming!I8</f>
        <v>0</v>
      </c>
      <c r="J8" s="3">
        <f>+Alabama!J8+Alaska!J8+Arizona!J8+Arkansas!J8+California!J8+Colorado!J8+Connecticut!J8+Delaware!J8+'District of Columbia'!J8+Florida!J8+Georgia!J8+Hawaii!J8+Idaho!J8+Illinois!J8+Indiana!J8+Iowa!J8+Kansas!J8+Kentucky!J8+Louisiana!J8+Maine!J8+Maryland!J8+Massachusettes!J8+Michigan!J8+Minnesota!J8+Mississippi!J8+Missouri!J8+Montana!J8+Nebraska!J8+Nevada!J8+'New Hampshire'!J8+'New Jersey'!J8+'New Mexico'!J8+'New York'!J8+'North Carolina'!J8+'North Dakota'!J8+Ohio!J8+Oklahoma!J8+Oregon!J8+Pennsylvania!J8+'Puerto Rico'!J8+'Rhode Island'!J8+'South Carolina'!J8+'South Dakota '!J8+Tennessee!J8+Texas!J8+Utah!J8+Vermont!J8+Virginia!J8+Washington!J8+'West Virginia'!J8+Wisconsin!J8+Wyoming!J8</f>
        <v>0</v>
      </c>
      <c r="K8" s="3">
        <f t="shared" si="0"/>
        <v>508740000</v>
      </c>
      <c r="L8" s="3">
        <f t="shared" si="0"/>
        <v>0</v>
      </c>
      <c r="M8" s="3">
        <f t="shared" si="0"/>
        <v>0</v>
      </c>
      <c r="N8" s="3">
        <f t="shared" si="1"/>
        <v>508740000</v>
      </c>
      <c r="P8" s="1">
        <v>8</v>
      </c>
    </row>
    <row r="9" spans="1:17" x14ac:dyDescent="0.15">
      <c r="A9" s="1">
        <v>1977</v>
      </c>
      <c r="B9" s="3">
        <f>+Alabama!B9+Alaska!B9+Arizona!B9+Arkansas!B9+California!B9+Colorado!B9+Connecticut!B9+Delaware!B9+'District of Columbia'!B9+Florida!B9+Georgia!B9+Hawaii!B9+Idaho!B9+Illinois!B9+Indiana!B9+Iowa!B9+Kansas!B9+Kentucky!B9+Louisiana!B9+Maine!B9+Maryland!B9+Massachusettes!B9+Michigan!B9+Minnesota!B9+Mississippi!B9+Missouri!B9+Montana!B9+Nebraska!B9+Nevada!B9+'New Hampshire'!B9+'New Jersey'!B9+'New Mexico'!B9+'New York'!B9+'North Carolina'!B9+'North Dakota'!B9+Ohio!B9+Oklahoma!B9+Oregon!B9+Pennsylvania!B9+'Puerto Rico'!B9+'Rhode Island'!B9+'South Carolina'!B9+'South Dakota '!B9+Tennessee!B9+Texas!B9+Utah!B9+Vermont!B9+Virginia!B9+Washington!B9+'West Virginia'!B9+Wisconsin!B9+Wyoming!B9</f>
        <v>553615000</v>
      </c>
      <c r="C9" s="3">
        <f>+Alabama!C9+Alaska!C9+Arizona!C9+Arkansas!C9+California!C9+Colorado!C9+Connecticut!C9+Delaware!C9+'District of Columbia'!C9+Florida!C9+Georgia!C9+Hawaii!C9+Idaho!C9+Illinois!C9+Indiana!C9+Iowa!C9+Kansas!C9+Kentucky!C9+Louisiana!C9+Maine!C9+Maryland!C9+Massachusettes!C9+Michigan!C9+Minnesota!C9+Mississippi!C9+Missouri!C9+Montana!C9+Nebraska!C9+Nevada!C9+'New Hampshire'!C9+'New Jersey'!C9+'New Mexico'!C9+'New York'!C9+'North Carolina'!C9+'North Dakota'!C9+Ohio!C9+Oklahoma!C9+Oregon!C9+Pennsylvania!C9+'Puerto Rico'!C9+'Rhode Island'!C9+'South Carolina'!C9+'South Dakota '!C9+Tennessee!C9+Texas!C9+Utah!C9+Vermont!C9+Virginia!C9+Washington!C9+'West Virginia'!C9+Wisconsin!C9+Wyoming!C9</f>
        <v>0</v>
      </c>
      <c r="D9" s="3">
        <f>+Alabama!D9+Alaska!D9+Arizona!D9+Arkansas!D9+California!D9+Colorado!D9+Connecticut!D9+Delaware!D9+'District of Columbia'!D9+Florida!D9+Georgia!D9+Hawaii!D9+Idaho!D9+Illinois!D9+Indiana!D9+Iowa!D9+Kansas!D9+Kentucky!D9+Louisiana!D9+Maine!D9+Maryland!D9+Massachusettes!D9+Michigan!D9+Minnesota!D9+Mississippi!D9+Missouri!D9+Montana!D9+Nebraska!D9+Nevada!D9+'New Hampshire'!D9+'New Jersey'!D9+'New Mexico'!D9+'New York'!D9+'North Carolina'!D9+'North Dakota'!D9+Ohio!D9+Oklahoma!D9+Oregon!D9+Pennsylvania!D9+'Puerto Rico'!D9+'Rhode Island'!D9+'South Carolina'!D9+'South Dakota '!D9+Tennessee!D9+Texas!D9+Utah!D9+Vermont!D9+Virginia!D9+Washington!D9+'West Virginia'!D9+Wisconsin!D9+Wyoming!D9</f>
        <v>0</v>
      </c>
      <c r="E9" s="3">
        <f>+Alabama!E9+Alaska!E9+Arizona!E9+Arkansas!E9+California!E9+Colorado!E9+Connecticut!E9+Delaware!E9+'District of Columbia'!E9+Florida!E9+Georgia!E9+Hawaii!E9+Idaho!E9+Illinois!E9+Indiana!E9+Iowa!E9+Kansas!E9+Kentucky!E9+Louisiana!E9+Maine!E9+Maryland!E9+Massachusettes!E9+Michigan!E9+Minnesota!E9+Mississippi!E9+Missouri!E9+Montana!E9+Nebraska!E9+Nevada!E9+'New Hampshire'!E9+'New Jersey'!E9+'New Mexico'!E9+'New York'!E9+'North Carolina'!E9+'North Dakota'!E9+Ohio!E9+Oklahoma!E9+Oregon!E9+Pennsylvania!E9+'Puerto Rico'!E9+'Rhode Island'!E9+'South Carolina'!E9+'South Dakota '!E9+Tennessee!E9+Texas!E9+Utah!E9+Vermont!E9+Virginia!E9+Washington!E9+'West Virginia'!E9+Wisconsin!E9+Wyoming!E9</f>
        <v>73453000</v>
      </c>
      <c r="F9" s="3">
        <f>+Alabama!F9+Alaska!F9+Arizona!F9+Arkansas!F9+California!F9+Colorado!F9+Connecticut!F9+Delaware!F9+'District of Columbia'!F9+Florida!F9+Georgia!F9+Hawaii!F9+Idaho!F9+Illinois!F9+Indiana!F9+Iowa!F9+Kansas!F9+Kentucky!F9+Louisiana!F9+Maine!F9+Maryland!F9+Massachusettes!F9+Michigan!F9+Minnesota!F9+Mississippi!F9+Missouri!F9+Montana!F9+Nebraska!F9+Nevada!F9+'New Hampshire'!F9+'New Jersey'!F9+'New Mexico'!F9+'New York'!F9+'North Carolina'!F9+'North Dakota'!F9+Ohio!F9+Oklahoma!F9+Oregon!F9+Pennsylvania!F9+'Puerto Rico'!F9+'Rhode Island'!F9+'South Carolina'!F9+'South Dakota '!F9+Tennessee!F9+Texas!F9+Utah!F9+Vermont!F9+Virginia!F9+Washington!F9+'West Virginia'!F9+Wisconsin!F9+Wyoming!F9</f>
        <v>0</v>
      </c>
      <c r="G9" s="3">
        <f>+Alabama!G9+Alaska!G9+Arizona!G9+Arkansas!G9+California!G9+Colorado!G9+Connecticut!G9+Delaware!G9+'District of Columbia'!G9+Florida!G9+Georgia!G9+Hawaii!G9+Idaho!G9+Illinois!G9+Indiana!G9+Iowa!G9+Kansas!G9+Kentucky!G9+Louisiana!G9+Maine!G9+Maryland!G9+Massachusettes!G9+Michigan!G9+Minnesota!G9+Mississippi!G9+Missouri!G9+Montana!G9+Nebraska!G9+Nevada!G9+'New Hampshire'!G9+'New Jersey'!G9+'New Mexico'!G9+'New York'!G9+'North Carolina'!G9+'North Dakota'!G9+Ohio!G9+Oklahoma!G9+Oregon!G9+Pennsylvania!G9+'Puerto Rico'!G9+'Rhode Island'!G9+'South Carolina'!G9+'South Dakota '!G9+Tennessee!G9+Texas!G9+Utah!G9+Vermont!G9+Virginia!G9+Washington!G9+'West Virginia'!G9+Wisconsin!G9+Wyoming!G9</f>
        <v>0</v>
      </c>
      <c r="H9" s="3">
        <f>+Alabama!H9+Alaska!H9+Arizona!H9+Arkansas!H9+California!H9+Colorado!H9+Connecticut!H9+Delaware!H9+'District of Columbia'!H9+Florida!H9+Georgia!H9+Hawaii!H9+Idaho!H9+Illinois!H9+Indiana!H9+Iowa!H9+Kansas!H9+Kentucky!H9+Louisiana!H9+Maine!H9+Maryland!H9+Massachusettes!H9+Michigan!H9+Minnesota!H9+Mississippi!H9+Missouri!H9+Montana!H9+Nebraska!H9+Nevada!H9+'New Hampshire'!H9+'New Jersey'!H9+'New Mexico'!H9+'New York'!H9+'North Carolina'!H9+'North Dakota'!H9+Ohio!H9+Oklahoma!H9+Oregon!H9+Pennsylvania!H9+'Puerto Rico'!H9+'Rhode Island'!H9+'South Carolina'!H9+'South Dakota '!H9+Tennessee!H9+Texas!H9+Utah!H9+Vermont!H9+Virginia!H9+Washington!H9+'West Virginia'!H9+Wisconsin!H9+Wyoming!H9</f>
        <v>22800000</v>
      </c>
      <c r="I9" s="3">
        <f>+Alabama!I9+Alaska!I9+Arizona!I9+Arkansas!I9+California!I9+Colorado!I9+Connecticut!I9+Delaware!I9+'District of Columbia'!I9+Florida!I9+Georgia!I9+Hawaii!I9+Idaho!I9+Illinois!I9+Indiana!I9+Iowa!I9+Kansas!I9+Kentucky!I9+Louisiana!I9+Maine!I9+Maryland!I9+Massachusettes!I9+Michigan!I9+Minnesota!I9+Mississippi!I9+Missouri!I9+Montana!I9+Nebraska!I9+Nevada!I9+'New Hampshire'!I9+'New Jersey'!I9+'New Mexico'!I9+'New York'!I9+'North Carolina'!I9+'North Dakota'!I9+Ohio!I9+Oklahoma!I9+Oregon!I9+Pennsylvania!I9+'Puerto Rico'!I9+'Rhode Island'!I9+'South Carolina'!I9+'South Dakota '!I9+Tennessee!I9+Texas!I9+Utah!I9+Vermont!I9+Virginia!I9+Washington!I9+'West Virginia'!I9+Wisconsin!I9+Wyoming!I9</f>
        <v>0</v>
      </c>
      <c r="J9" s="3">
        <f>+Alabama!J9+Alaska!J9+Arizona!J9+Arkansas!J9+California!J9+Colorado!J9+Connecticut!J9+Delaware!J9+'District of Columbia'!J9+Florida!J9+Georgia!J9+Hawaii!J9+Idaho!J9+Illinois!J9+Indiana!J9+Iowa!J9+Kansas!J9+Kentucky!J9+Louisiana!J9+Maine!J9+Maryland!J9+Massachusettes!J9+Michigan!J9+Minnesota!J9+Mississippi!J9+Missouri!J9+Montana!J9+Nebraska!J9+Nevada!J9+'New Hampshire'!J9+'New Jersey'!J9+'New Mexico'!J9+'New York'!J9+'North Carolina'!J9+'North Dakota'!J9+Ohio!J9+Oklahoma!J9+Oregon!J9+Pennsylvania!J9+'Puerto Rico'!J9+'Rhode Island'!J9+'South Carolina'!J9+'South Dakota '!J9+Tennessee!J9+Texas!J9+Utah!J9+Vermont!J9+Virginia!J9+Washington!J9+'West Virginia'!J9+Wisconsin!J9+Wyoming!J9</f>
        <v>0</v>
      </c>
      <c r="K9" s="3">
        <f t="shared" si="0"/>
        <v>649868000</v>
      </c>
      <c r="L9" s="3">
        <f t="shared" si="0"/>
        <v>0</v>
      </c>
      <c r="M9" s="3">
        <f t="shared" si="0"/>
        <v>0</v>
      </c>
      <c r="N9" s="3">
        <f t="shared" si="1"/>
        <v>649868000</v>
      </c>
      <c r="P9" s="1">
        <v>9</v>
      </c>
    </row>
    <row r="10" spans="1:17" x14ac:dyDescent="0.15">
      <c r="A10" s="1">
        <v>1978</v>
      </c>
      <c r="B10" s="3">
        <f>+Alabama!B10+Alaska!B10+Arizona!B10+Arkansas!B10+California!B10+Colorado!B10+Connecticut!B10+Delaware!B10+'District of Columbia'!B10+Florida!B10+Georgia!B10+Hawaii!B10+Idaho!B10+Illinois!B10+Indiana!B10+Iowa!B10+Kansas!B10+Kentucky!B10+Louisiana!B10+Maine!B10+Maryland!B10+Massachusettes!B10+Michigan!B10+Minnesota!B10+Mississippi!B10+Missouri!B10+Montana!B10+Nebraska!B10+Nevada!B10+'New Hampshire'!B10+'New Jersey'!B10+'New Mexico'!B10+'New York'!B10+'North Carolina'!B10+'North Dakota'!B10+Ohio!B10+Oklahoma!B10+Oregon!B10+Pennsylvania!B10+'Puerto Rico'!B10+'Rhode Island'!B10+'South Carolina'!B10+'South Dakota '!B10+Tennessee!B10+Texas!B10+Utah!B10+Vermont!B10+Virginia!B10+Washington!B10+'West Virginia'!B10+Wisconsin!B10+Wyoming!B10</f>
        <v>624133000</v>
      </c>
      <c r="C10" s="3">
        <f>+Alabama!C10+Alaska!C10+Arizona!C10+Arkansas!C10+California!C10+Colorado!C10+Connecticut!C10+Delaware!C10+'District of Columbia'!C10+Florida!C10+Georgia!C10+Hawaii!C10+Idaho!C10+Illinois!C10+Indiana!C10+Iowa!C10+Kansas!C10+Kentucky!C10+Louisiana!C10+Maine!C10+Maryland!C10+Massachusettes!C10+Michigan!C10+Minnesota!C10+Mississippi!C10+Missouri!C10+Montana!C10+Nebraska!C10+Nevada!C10+'New Hampshire'!C10+'New Jersey'!C10+'New Mexico'!C10+'New York'!C10+'North Carolina'!C10+'North Dakota'!C10+Ohio!C10+Oklahoma!C10+Oregon!C10+Pennsylvania!C10+'Puerto Rico'!C10+'Rhode Island'!C10+'South Carolina'!C10+'South Dakota '!C10+Tennessee!C10+Texas!C10+Utah!C10+Vermont!C10+Virginia!C10+Washington!C10+'West Virginia'!C10+Wisconsin!C10+Wyoming!C10</f>
        <v>0</v>
      </c>
      <c r="D10" s="3">
        <f>+Alabama!D10+Alaska!D10+Arizona!D10+Arkansas!D10+California!D10+Colorado!D10+Connecticut!D10+Delaware!D10+'District of Columbia'!D10+Florida!D10+Georgia!D10+Hawaii!D10+Idaho!D10+Illinois!D10+Indiana!D10+Iowa!D10+Kansas!D10+Kentucky!D10+Louisiana!D10+Maine!D10+Maryland!D10+Massachusettes!D10+Michigan!D10+Minnesota!D10+Mississippi!D10+Missouri!D10+Montana!D10+Nebraska!D10+Nevada!D10+'New Hampshire'!D10+'New Jersey'!D10+'New Mexico'!D10+'New York'!D10+'North Carolina'!D10+'North Dakota'!D10+Ohio!D10+Oklahoma!D10+Oregon!D10+Pennsylvania!D10+'Puerto Rico'!D10+'Rhode Island'!D10+'South Carolina'!D10+'South Dakota '!D10+Tennessee!D10+Texas!D10+Utah!D10+Vermont!D10+Virginia!D10+Washington!D10+'West Virginia'!D10+Wisconsin!D10+Wyoming!D10</f>
        <v>0</v>
      </c>
      <c r="E10" s="3">
        <f>+Alabama!E10+Alaska!E10+Arizona!E10+Arkansas!E10+California!E10+Colorado!E10+Connecticut!E10+Delaware!E10+'District of Columbia'!E10+Florida!E10+Georgia!E10+Hawaii!E10+Idaho!E10+Illinois!E10+Indiana!E10+Iowa!E10+Kansas!E10+Kentucky!E10+Louisiana!E10+Maine!E10+Maryland!E10+Massachusettes!E10+Michigan!E10+Minnesota!E10+Mississippi!E10+Missouri!E10+Montana!E10+Nebraska!E10+Nevada!E10+'New Hampshire'!E10+'New Jersey'!E10+'New Mexico'!E10+'New York'!E10+'North Carolina'!E10+'North Dakota'!E10+Ohio!E10+Oklahoma!E10+Oregon!E10+Pennsylvania!E10+'Puerto Rico'!E10+'Rhode Island'!E10+'South Carolina'!E10+'South Dakota '!E10+Tennessee!E10+Texas!E10+Utah!E10+Vermont!E10+Virginia!E10+Washington!E10+'West Virginia'!E10+Wisconsin!E10+Wyoming!E10</f>
        <v>89914000</v>
      </c>
      <c r="F10" s="3">
        <f>+Alabama!F10+Alaska!F10+Arizona!F10+Arkansas!F10+California!F10+Colorado!F10+Connecticut!F10+Delaware!F10+'District of Columbia'!F10+Florida!F10+Georgia!F10+Hawaii!F10+Idaho!F10+Illinois!F10+Indiana!F10+Iowa!F10+Kansas!F10+Kentucky!F10+Louisiana!F10+Maine!F10+Maryland!F10+Massachusettes!F10+Michigan!F10+Minnesota!F10+Mississippi!F10+Missouri!F10+Montana!F10+Nebraska!F10+Nevada!F10+'New Hampshire'!F10+'New Jersey'!F10+'New Mexico'!F10+'New York'!F10+'North Carolina'!F10+'North Dakota'!F10+Ohio!F10+Oklahoma!F10+Oregon!F10+Pennsylvania!F10+'Puerto Rico'!F10+'Rhode Island'!F10+'South Carolina'!F10+'South Dakota '!F10+Tennessee!F10+Texas!F10+Utah!F10+Vermont!F10+Virginia!F10+Washington!F10+'West Virginia'!F10+Wisconsin!F10+Wyoming!F10</f>
        <v>0</v>
      </c>
      <c r="G10" s="3">
        <f>+Alabama!G10+Alaska!G10+Arizona!G10+Arkansas!G10+California!G10+Colorado!G10+Connecticut!G10+Delaware!G10+'District of Columbia'!G10+Florida!G10+Georgia!G10+Hawaii!G10+Idaho!G10+Illinois!G10+Indiana!G10+Iowa!G10+Kansas!G10+Kentucky!G10+Louisiana!G10+Maine!G10+Maryland!G10+Massachusettes!G10+Michigan!G10+Minnesota!G10+Mississippi!G10+Missouri!G10+Montana!G10+Nebraska!G10+Nevada!G10+'New Hampshire'!G10+'New Jersey'!G10+'New Mexico'!G10+'New York'!G10+'North Carolina'!G10+'North Dakota'!G10+Ohio!G10+Oklahoma!G10+Oregon!G10+Pennsylvania!G10+'Puerto Rico'!G10+'Rhode Island'!G10+'South Carolina'!G10+'South Dakota '!G10+Tennessee!G10+Texas!G10+Utah!G10+Vermont!G10+Virginia!G10+Washington!G10+'West Virginia'!G10+Wisconsin!G10+Wyoming!G10</f>
        <v>0</v>
      </c>
      <c r="H10" s="3">
        <f>+Alabama!H10+Alaska!H10+Arizona!H10+Arkansas!H10+California!H10+Colorado!H10+Connecticut!H10+Delaware!H10+'District of Columbia'!H10+Florida!H10+Georgia!H10+Hawaii!H10+Idaho!H10+Illinois!H10+Indiana!H10+Iowa!H10+Kansas!H10+Kentucky!H10+Louisiana!H10+Maine!H10+Maryland!H10+Massachusettes!H10+Michigan!H10+Minnesota!H10+Mississippi!H10+Missouri!H10+Montana!H10+Nebraska!H10+Nevada!H10+'New Hampshire'!H10+'New Jersey'!H10+'New Mexico'!H10+'New York'!H10+'North Carolina'!H10+'North Dakota'!H10+Ohio!H10+Oklahoma!H10+Oregon!H10+Pennsylvania!H10+'Puerto Rico'!H10+'Rhode Island'!H10+'South Carolina'!H10+'South Dakota '!H10+Tennessee!H10+Texas!H10+Utah!H10+Vermont!H10+Virginia!H10+Washington!H10+'West Virginia'!H10+Wisconsin!H10+Wyoming!H10</f>
        <v>21400000</v>
      </c>
      <c r="I10" s="3">
        <f>+Alabama!I10+Alaska!I10+Arizona!I10+Arkansas!I10+California!I10+Colorado!I10+Connecticut!I10+Delaware!I10+'District of Columbia'!I10+Florida!I10+Georgia!I10+Hawaii!I10+Idaho!I10+Illinois!I10+Indiana!I10+Iowa!I10+Kansas!I10+Kentucky!I10+Louisiana!I10+Maine!I10+Maryland!I10+Massachusettes!I10+Michigan!I10+Minnesota!I10+Mississippi!I10+Missouri!I10+Montana!I10+Nebraska!I10+Nevada!I10+'New Hampshire'!I10+'New Jersey'!I10+'New Mexico'!I10+'New York'!I10+'North Carolina'!I10+'North Dakota'!I10+Ohio!I10+Oklahoma!I10+Oregon!I10+Pennsylvania!I10+'Puerto Rico'!I10+'Rhode Island'!I10+'South Carolina'!I10+'South Dakota '!I10+Tennessee!I10+Texas!I10+Utah!I10+Vermont!I10+Virginia!I10+Washington!I10+'West Virginia'!I10+Wisconsin!I10+Wyoming!I10</f>
        <v>0</v>
      </c>
      <c r="J10" s="3">
        <f>+Alabama!J10+Alaska!J10+Arizona!J10+Arkansas!J10+California!J10+Colorado!J10+Connecticut!J10+Delaware!J10+'District of Columbia'!J10+Florida!J10+Georgia!J10+Hawaii!J10+Idaho!J10+Illinois!J10+Indiana!J10+Iowa!J10+Kansas!J10+Kentucky!J10+Louisiana!J10+Maine!J10+Maryland!J10+Massachusettes!J10+Michigan!J10+Minnesota!J10+Mississippi!J10+Missouri!J10+Montana!J10+Nebraska!J10+Nevada!J10+'New Hampshire'!J10+'New Jersey'!J10+'New Mexico'!J10+'New York'!J10+'North Carolina'!J10+'North Dakota'!J10+Ohio!J10+Oklahoma!J10+Oregon!J10+Pennsylvania!J10+'Puerto Rico'!J10+'Rhode Island'!J10+'South Carolina'!J10+'South Dakota '!J10+Tennessee!J10+Texas!J10+Utah!J10+Vermont!J10+Virginia!J10+Washington!J10+'West Virginia'!J10+Wisconsin!J10+Wyoming!J10</f>
        <v>0</v>
      </c>
      <c r="K10" s="3">
        <f t="shared" ref="K10:K15" si="2">+B10+E10+H10</f>
        <v>735447000</v>
      </c>
      <c r="L10" s="3">
        <f t="shared" ref="L10:L15" si="3">+C10+F10+I10</f>
        <v>0</v>
      </c>
      <c r="M10" s="3">
        <f t="shared" ref="M10:M15" si="4">+D10+G10+J10</f>
        <v>0</v>
      </c>
      <c r="N10" s="3">
        <f t="shared" si="1"/>
        <v>735447000</v>
      </c>
      <c r="P10" s="1">
        <v>10</v>
      </c>
    </row>
    <row r="11" spans="1:17" x14ac:dyDescent="0.15">
      <c r="A11" s="1">
        <v>1979</v>
      </c>
      <c r="B11" s="3">
        <f>+Alabama!B11+Alaska!B11+Arizona!B11+Arkansas!B11+California!B11+Colorado!B11+Connecticut!B11+Delaware!B11+'District of Columbia'!B11+Florida!B11+Georgia!B11+Hawaii!B11+Idaho!B11+Illinois!B11+Indiana!B11+Iowa!B11+Kansas!B11+Kentucky!B11+Louisiana!B11+Maine!B11+Maryland!B11+Massachusettes!B11+Michigan!B11+Minnesota!B11+Mississippi!B11+Missouri!B11+Montana!B11+Nebraska!B11+Nevada!B11+'New Hampshire'!B11+'New Jersey'!B11+'New Mexico'!B11+'New York'!B11+'North Carolina'!B11+'North Dakota'!B11+Ohio!B11+Oklahoma!B11+Oregon!B11+Pennsylvania!B11+'Puerto Rico'!B11+'Rhode Island'!B11+'South Carolina'!B11+'South Dakota '!B11+Tennessee!B11+Texas!B11+Utah!B11+Vermont!B11+Virginia!B11+Washington!B11+'West Virginia'!B11+Wisconsin!B11+Wyoming!B11</f>
        <v>698639000</v>
      </c>
      <c r="C11" s="3">
        <f>+Alabama!C11+Alaska!C11+Arizona!C11+Arkansas!C11+California!C11+Colorado!C11+Connecticut!C11+Delaware!C11+'District of Columbia'!C11+Florida!C11+Georgia!C11+Hawaii!C11+Idaho!C11+Illinois!C11+Indiana!C11+Iowa!C11+Kansas!C11+Kentucky!C11+Louisiana!C11+Maine!C11+Maryland!C11+Massachusettes!C11+Michigan!C11+Minnesota!C11+Mississippi!C11+Missouri!C11+Montana!C11+Nebraska!C11+Nevada!C11+'New Hampshire'!C11+'New Jersey'!C11+'New Mexico'!C11+'New York'!C11+'North Carolina'!C11+'North Dakota'!C11+Ohio!C11+Oklahoma!C11+Oregon!C11+Pennsylvania!C11+'Puerto Rico'!C11+'Rhode Island'!C11+'South Carolina'!C11+'South Dakota '!C11+Tennessee!C11+Texas!C11+Utah!C11+Vermont!C11+Virginia!C11+Washington!C11+'West Virginia'!C11+Wisconsin!C11+Wyoming!C11</f>
        <v>0</v>
      </c>
      <c r="D11" s="3">
        <f>+Alabama!D11+Alaska!D11+Arizona!D11+Arkansas!D11+California!D11+Colorado!D11+Connecticut!D11+Delaware!D11+'District of Columbia'!D11+Florida!D11+Georgia!D11+Hawaii!D11+Idaho!D11+Illinois!D11+Indiana!D11+Iowa!D11+Kansas!D11+Kentucky!D11+Louisiana!D11+Maine!D11+Maryland!D11+Massachusettes!D11+Michigan!D11+Minnesota!D11+Mississippi!D11+Missouri!D11+Montana!D11+Nebraska!D11+Nevada!D11+'New Hampshire'!D11+'New Jersey'!D11+'New Mexico'!D11+'New York'!D11+'North Carolina'!D11+'North Dakota'!D11+Ohio!D11+Oklahoma!D11+Oregon!D11+Pennsylvania!D11+'Puerto Rico'!D11+'Rhode Island'!D11+'South Carolina'!D11+'South Dakota '!D11+Tennessee!D11+Texas!D11+Utah!D11+Vermont!D11+Virginia!D11+Washington!D11+'West Virginia'!D11+Wisconsin!D11+Wyoming!D11</f>
        <v>0</v>
      </c>
      <c r="E11" s="3">
        <f>+Alabama!E11+Alaska!E11+Arizona!E11+Arkansas!E11+California!E11+Colorado!E11+Connecticut!E11+Delaware!E11+'District of Columbia'!E11+Florida!E11+Georgia!E11+Hawaii!E11+Idaho!E11+Illinois!E11+Indiana!E11+Iowa!E11+Kansas!E11+Kentucky!E11+Louisiana!E11+Maine!E11+Maryland!E11+Massachusettes!E11+Michigan!E11+Minnesota!E11+Mississippi!E11+Missouri!E11+Montana!E11+Nebraska!E11+Nevada!E11+'New Hampshire'!E11+'New Jersey'!E11+'New Mexico'!E11+'New York'!E11+'North Carolina'!E11+'North Dakota'!E11+Ohio!E11+Oklahoma!E11+Oregon!E11+Pennsylvania!E11+'Puerto Rico'!E11+'Rhode Island'!E11+'South Carolina'!E11+'South Dakota '!E11+Tennessee!E11+Texas!E11+Utah!E11+Vermont!E11+Virginia!E11+Washington!E11+'West Virginia'!E11+Wisconsin!E11+Wyoming!E11</f>
        <v>68613000</v>
      </c>
      <c r="F11" s="3">
        <f>+Alabama!F11+Alaska!F11+Arizona!F11+Arkansas!F11+California!F11+Colorado!F11+Connecticut!F11+Delaware!F11+'District of Columbia'!F11+Florida!F11+Georgia!F11+Hawaii!F11+Idaho!F11+Illinois!F11+Indiana!F11+Iowa!F11+Kansas!F11+Kentucky!F11+Louisiana!F11+Maine!F11+Maryland!F11+Massachusettes!F11+Michigan!F11+Minnesota!F11+Mississippi!F11+Missouri!F11+Montana!F11+Nebraska!F11+Nevada!F11+'New Hampshire'!F11+'New Jersey'!F11+'New Mexico'!F11+'New York'!F11+'North Carolina'!F11+'North Dakota'!F11+Ohio!F11+Oklahoma!F11+Oregon!F11+Pennsylvania!F11+'Puerto Rico'!F11+'Rhode Island'!F11+'South Carolina'!F11+'South Dakota '!F11+Tennessee!F11+Texas!F11+Utah!F11+Vermont!F11+Virginia!F11+Washington!F11+'West Virginia'!F11+Wisconsin!F11+Wyoming!F11</f>
        <v>0</v>
      </c>
      <c r="G11" s="3">
        <f>+Alabama!G11+Alaska!G11+Arizona!G11+Arkansas!G11+California!G11+Colorado!G11+Connecticut!G11+Delaware!G11+'District of Columbia'!G11+Florida!G11+Georgia!G11+Hawaii!G11+Idaho!G11+Illinois!G11+Indiana!G11+Iowa!G11+Kansas!G11+Kentucky!G11+Louisiana!G11+Maine!G11+Maryland!G11+Massachusettes!G11+Michigan!G11+Minnesota!G11+Mississippi!G11+Missouri!G11+Montana!G11+Nebraska!G11+Nevada!G11+'New Hampshire'!G11+'New Jersey'!G11+'New Mexico'!G11+'New York'!G11+'North Carolina'!G11+'North Dakota'!G11+Ohio!G11+Oklahoma!G11+Oregon!G11+Pennsylvania!G11+'Puerto Rico'!G11+'Rhode Island'!G11+'South Carolina'!G11+'South Dakota '!G11+Tennessee!G11+Texas!G11+Utah!G11+Vermont!G11+Virginia!G11+Washington!G11+'West Virginia'!G11+Wisconsin!G11+Wyoming!G11</f>
        <v>0</v>
      </c>
      <c r="H11" s="3">
        <f>+Alabama!H11+Alaska!H11+Arizona!H11+Arkansas!H11+California!H11+Colorado!H11+Connecticut!H11+Delaware!H11+'District of Columbia'!H11+Florida!H11+Georgia!H11+Hawaii!H11+Idaho!H11+Illinois!H11+Indiana!H11+Iowa!H11+Kansas!H11+Kentucky!H11+Louisiana!H11+Maine!H11+Maryland!H11+Massachusettes!H11+Michigan!H11+Minnesota!H11+Mississippi!H11+Missouri!H11+Montana!H11+Nebraska!H11+Nevada!H11+'New Hampshire'!H11+'New Jersey'!H11+'New Mexico'!H11+'New York'!H11+'North Carolina'!H11+'North Dakota'!H11+Ohio!H11+Oklahoma!H11+Oregon!H11+Pennsylvania!H11+'Puerto Rico'!H11+'Rhode Island'!H11+'South Carolina'!H11+'South Dakota '!H11+Tennessee!H11+Texas!H11+Utah!H11+Vermont!H11+Virginia!H11+Washington!H11+'West Virginia'!H11+Wisconsin!H11+Wyoming!H11</f>
        <v>20000000</v>
      </c>
      <c r="I11" s="3">
        <f>+Alabama!I11+Alaska!I11+Arizona!I11+Arkansas!I11+California!I11+Colorado!I11+Connecticut!I11+Delaware!I11+'District of Columbia'!I11+Florida!I11+Georgia!I11+Hawaii!I11+Idaho!I11+Illinois!I11+Indiana!I11+Iowa!I11+Kansas!I11+Kentucky!I11+Louisiana!I11+Maine!I11+Maryland!I11+Massachusettes!I11+Michigan!I11+Minnesota!I11+Mississippi!I11+Missouri!I11+Montana!I11+Nebraska!I11+Nevada!I11+'New Hampshire'!I11+'New Jersey'!I11+'New Mexico'!I11+'New York'!I11+'North Carolina'!I11+'North Dakota'!I11+Ohio!I11+Oklahoma!I11+Oregon!I11+Pennsylvania!I11+'Puerto Rico'!I11+'Rhode Island'!I11+'South Carolina'!I11+'South Dakota '!I11+Tennessee!I11+Texas!I11+Utah!I11+Vermont!I11+Virginia!I11+Washington!I11+'West Virginia'!I11+Wisconsin!I11+Wyoming!I11</f>
        <v>0</v>
      </c>
      <c r="J11" s="3">
        <f>+Alabama!J11+Alaska!J11+Arizona!J11+Arkansas!J11+California!J11+Colorado!J11+Connecticut!J11+Delaware!J11+'District of Columbia'!J11+Florida!J11+Georgia!J11+Hawaii!J11+Idaho!J11+Illinois!J11+Indiana!J11+Iowa!J11+Kansas!J11+Kentucky!J11+Louisiana!J11+Maine!J11+Maryland!J11+Massachusettes!J11+Michigan!J11+Minnesota!J11+Mississippi!J11+Missouri!J11+Montana!J11+Nebraska!J11+Nevada!J11+'New Hampshire'!J11+'New Jersey'!J11+'New Mexico'!J11+'New York'!J11+'North Carolina'!J11+'North Dakota'!J11+Ohio!J11+Oklahoma!J11+Oregon!J11+Pennsylvania!J11+'Puerto Rico'!J11+'Rhode Island'!J11+'South Carolina'!J11+'South Dakota '!J11+Tennessee!J11+Texas!J11+Utah!J11+Vermont!J11+Virginia!J11+Washington!J11+'West Virginia'!J11+Wisconsin!J11+Wyoming!J11</f>
        <v>0</v>
      </c>
      <c r="K11" s="3">
        <f t="shared" si="2"/>
        <v>787252000</v>
      </c>
      <c r="L11" s="3">
        <f t="shared" si="3"/>
        <v>0</v>
      </c>
      <c r="M11" s="3">
        <f t="shared" si="4"/>
        <v>0</v>
      </c>
      <c r="N11" s="3">
        <f t="shared" si="1"/>
        <v>787252000</v>
      </c>
      <c r="P11" s="1">
        <v>11</v>
      </c>
    </row>
    <row r="12" spans="1:17" x14ac:dyDescent="0.15">
      <c r="A12" s="1">
        <v>1980</v>
      </c>
      <c r="B12" s="3">
        <f>+Alabama!B12+Alaska!B12+Arizona!B12+Arkansas!B12+California!B12+Colorado!B12+Connecticut!B12+Delaware!B12+'District of Columbia'!B12+Florida!B12+Georgia!B12+Hawaii!B12+Idaho!B12+Illinois!B12+Indiana!B12+Iowa!B12+Kansas!B12+Kentucky!B12+Louisiana!B12+Maine!B12+Maryland!B12+Massachusettes!B12+Michigan!B12+Minnesota!B12+Mississippi!B12+Missouri!B12+Montana!B12+Nebraska!B12+Nevada!B12+'New Hampshire'!B12+'New Jersey'!B12+'New Mexico'!B12+'New York'!B12+'North Carolina'!B12+'North Dakota'!B12+Ohio!B12+Oklahoma!B12+Oregon!B12+Pennsylvania!B12+'Puerto Rico'!B12+'Rhode Island'!B12+'South Carolina'!B12+'South Dakota '!B12+Tennessee!B12+Texas!B12+Utah!B12+Vermont!B12+Virginia!B12+Washington!B12+'West Virginia'!B12+Wisconsin!B12+Wyoming!B12</f>
        <v>755096000</v>
      </c>
      <c r="C12" s="3">
        <f>+Alabama!C12+Alaska!C12+Arizona!C12+Arkansas!C12+California!C12+Colorado!C12+Connecticut!C12+Delaware!C12+'District of Columbia'!C12+Florida!C12+Georgia!C12+Hawaii!C12+Idaho!C12+Illinois!C12+Indiana!C12+Iowa!C12+Kansas!C12+Kentucky!C12+Louisiana!C12+Maine!C12+Maryland!C12+Massachusettes!C12+Michigan!C12+Minnesota!C12+Mississippi!C12+Missouri!C12+Montana!C12+Nebraska!C12+Nevada!C12+'New Hampshire'!C12+'New Jersey'!C12+'New Mexico'!C12+'New York'!C12+'North Carolina'!C12+'North Dakota'!C12+Ohio!C12+Oklahoma!C12+Oregon!C12+Pennsylvania!C12+'Puerto Rico'!C12+'Rhode Island'!C12+'South Carolina'!C12+'South Dakota '!C12+Tennessee!C12+Texas!C12+Utah!C12+Vermont!C12+Virginia!C12+Washington!C12+'West Virginia'!C12+Wisconsin!C12+Wyoming!C12</f>
        <v>0</v>
      </c>
      <c r="D12" s="3">
        <f>+Alabama!D12+Alaska!D12+Arizona!D12+Arkansas!D12+California!D12+Colorado!D12+Connecticut!D12+Delaware!D12+'District of Columbia'!D12+Florida!D12+Georgia!D12+Hawaii!D12+Idaho!D12+Illinois!D12+Indiana!D12+Iowa!D12+Kansas!D12+Kentucky!D12+Louisiana!D12+Maine!D12+Maryland!D12+Massachusettes!D12+Michigan!D12+Minnesota!D12+Mississippi!D12+Missouri!D12+Montana!D12+Nebraska!D12+Nevada!D12+'New Hampshire'!D12+'New Jersey'!D12+'New Mexico'!D12+'New York'!D12+'North Carolina'!D12+'North Dakota'!D12+Ohio!D12+Oklahoma!D12+Oregon!D12+Pennsylvania!D12+'Puerto Rico'!D12+'Rhode Island'!D12+'South Carolina'!D12+'South Dakota '!D12+Tennessee!D12+Texas!D12+Utah!D12+Vermont!D12+Virginia!D12+Washington!D12+'West Virginia'!D12+Wisconsin!D12+Wyoming!D12</f>
        <v>0</v>
      </c>
      <c r="E12" s="3">
        <f>+Alabama!E12+Alaska!E12+Arizona!E12+Arkansas!E12+California!E12+Colorado!E12+Connecticut!E12+Delaware!E12+'District of Columbia'!E12+Florida!E12+Georgia!E12+Hawaii!E12+Idaho!E12+Illinois!E12+Indiana!E12+Iowa!E12+Kansas!E12+Kentucky!E12+Louisiana!E12+Maine!E12+Maryland!E12+Massachusettes!E12+Michigan!E12+Minnesota!E12+Mississippi!E12+Missouri!E12+Montana!E12+Nebraska!E12+Nevada!E12+'New Hampshire'!E12+'New Jersey'!E12+'New Mexico'!E12+'New York'!E12+'North Carolina'!E12+'North Dakota'!E12+Ohio!E12+Oklahoma!E12+Oregon!E12+Pennsylvania!E12+'Puerto Rico'!E12+'Rhode Island'!E12+'South Carolina'!E12+'South Dakota '!E12+Tennessee!E12+Texas!E12+Utah!E12+Vermont!E12+Virginia!E12+Washington!E12+'West Virginia'!E12+Wisconsin!E12+Wyoming!E12</f>
        <v>73719000</v>
      </c>
      <c r="F12" s="3">
        <f>+Alabama!F12+Alaska!F12+Arizona!F12+Arkansas!F12+California!F12+Colorado!F12+Connecticut!F12+Delaware!F12+'District of Columbia'!F12+Florida!F12+Georgia!F12+Hawaii!F12+Idaho!F12+Illinois!F12+Indiana!F12+Iowa!F12+Kansas!F12+Kentucky!F12+Louisiana!F12+Maine!F12+Maryland!F12+Massachusettes!F12+Michigan!F12+Minnesota!F12+Mississippi!F12+Missouri!F12+Montana!F12+Nebraska!F12+Nevada!F12+'New Hampshire'!F12+'New Jersey'!F12+'New Mexico'!F12+'New York'!F12+'North Carolina'!F12+'North Dakota'!F12+Ohio!F12+Oklahoma!F12+Oregon!F12+Pennsylvania!F12+'Puerto Rico'!F12+'Rhode Island'!F12+'South Carolina'!F12+'South Dakota '!F12+Tennessee!F12+Texas!F12+Utah!F12+Vermont!F12+Virginia!F12+Washington!F12+'West Virginia'!F12+Wisconsin!F12+Wyoming!F12</f>
        <v>0</v>
      </c>
      <c r="G12" s="3">
        <f>+Alabama!G12+Alaska!G12+Arizona!G12+Arkansas!G12+California!G12+Colorado!G12+Connecticut!G12+Delaware!G12+'District of Columbia'!G12+Florida!G12+Georgia!G12+Hawaii!G12+Idaho!G12+Illinois!G12+Indiana!G12+Iowa!G12+Kansas!G12+Kentucky!G12+Louisiana!G12+Maine!G12+Maryland!G12+Massachusettes!G12+Michigan!G12+Minnesota!G12+Mississippi!G12+Missouri!G12+Montana!G12+Nebraska!G12+Nevada!G12+'New Hampshire'!G12+'New Jersey'!G12+'New Mexico'!G12+'New York'!G12+'North Carolina'!G12+'North Dakota'!G12+Ohio!G12+Oklahoma!G12+Oregon!G12+Pennsylvania!G12+'Puerto Rico'!G12+'Rhode Island'!G12+'South Carolina'!G12+'South Dakota '!G12+Tennessee!G12+Texas!G12+Utah!G12+Vermont!G12+Virginia!G12+Washington!G12+'West Virginia'!G12+Wisconsin!G12+Wyoming!G12</f>
        <v>0</v>
      </c>
      <c r="H12" s="3">
        <f>+Alabama!H12+Alaska!H12+Arizona!H12+Arkansas!H12+California!H12+Colorado!H12+Connecticut!H12+Delaware!H12+'District of Columbia'!H12+Florida!H12+Georgia!H12+Hawaii!H12+Idaho!H12+Illinois!H12+Indiana!H12+Iowa!H12+Kansas!H12+Kentucky!H12+Louisiana!H12+Maine!H12+Maryland!H12+Massachusettes!H12+Michigan!H12+Minnesota!H12+Mississippi!H12+Missouri!H12+Montana!H12+Nebraska!H12+Nevada!H12+'New Hampshire'!H12+'New Jersey'!H12+'New Mexico'!H12+'New York'!H12+'North Carolina'!H12+'North Dakota'!H12+Ohio!H12+Oklahoma!H12+Oregon!H12+Pennsylvania!H12+'Puerto Rico'!H12+'Rhode Island'!H12+'South Carolina'!H12+'South Dakota '!H12+Tennessee!H12+Texas!H12+Utah!H12+Vermont!H12+Virginia!H12+Washington!H12+'West Virginia'!H12+Wisconsin!H12+Wyoming!H12</f>
        <v>33582000</v>
      </c>
      <c r="I12" s="3">
        <f>+Alabama!I12+Alaska!I12+Arizona!I12+Arkansas!I12+California!I12+Colorado!I12+Connecticut!I12+Delaware!I12+'District of Columbia'!I12+Florida!I12+Georgia!I12+Hawaii!I12+Idaho!I12+Illinois!I12+Indiana!I12+Iowa!I12+Kansas!I12+Kentucky!I12+Louisiana!I12+Maine!I12+Maryland!I12+Massachusettes!I12+Michigan!I12+Minnesota!I12+Mississippi!I12+Missouri!I12+Montana!I12+Nebraska!I12+Nevada!I12+'New Hampshire'!I12+'New Jersey'!I12+'New Mexico'!I12+'New York'!I12+'North Carolina'!I12+'North Dakota'!I12+Ohio!I12+Oklahoma!I12+Oregon!I12+Pennsylvania!I12+'Puerto Rico'!I12+'Rhode Island'!I12+'South Carolina'!I12+'South Dakota '!I12+Tennessee!I12+Texas!I12+Utah!I12+Vermont!I12+Virginia!I12+Washington!I12+'West Virginia'!I12+Wisconsin!I12+Wyoming!I12</f>
        <v>0</v>
      </c>
      <c r="J12" s="3">
        <f>+Alabama!J12+Alaska!J12+Arizona!J12+Arkansas!J12+California!J12+Colorado!J12+Connecticut!J12+Delaware!J12+'District of Columbia'!J12+Florida!J12+Georgia!J12+Hawaii!J12+Idaho!J12+Illinois!J12+Indiana!J12+Iowa!J12+Kansas!J12+Kentucky!J12+Louisiana!J12+Maine!J12+Maryland!J12+Massachusettes!J12+Michigan!J12+Minnesota!J12+Mississippi!J12+Missouri!J12+Montana!J12+Nebraska!J12+Nevada!J12+'New Hampshire'!J12+'New Jersey'!J12+'New Mexico'!J12+'New York'!J12+'North Carolina'!J12+'North Dakota'!J12+Ohio!J12+Oklahoma!J12+Oregon!J12+Pennsylvania!J12+'Puerto Rico'!J12+'Rhode Island'!J12+'South Carolina'!J12+'South Dakota '!J12+Tennessee!J12+Texas!J12+Utah!J12+Vermont!J12+Virginia!J12+Washington!J12+'West Virginia'!J12+Wisconsin!J12+Wyoming!J12</f>
        <v>0</v>
      </c>
      <c r="K12" s="3">
        <f t="shared" si="2"/>
        <v>862397000</v>
      </c>
      <c r="L12" s="3">
        <f t="shared" si="3"/>
        <v>0</v>
      </c>
      <c r="M12" s="3">
        <f t="shared" si="4"/>
        <v>0</v>
      </c>
      <c r="N12" s="3">
        <f t="shared" si="1"/>
        <v>862397000</v>
      </c>
      <c r="P12" s="1">
        <v>12</v>
      </c>
    </row>
    <row r="13" spans="1:17" x14ac:dyDescent="0.15">
      <c r="A13" s="1">
        <v>1981</v>
      </c>
      <c r="B13" s="3">
        <f>+Alabama!B13+Alaska!B13+Arizona!B13+Arkansas!B13+California!B13+Colorado!B13+Connecticut!B13+Delaware!B13+'District of Columbia'!B13+Florida!B13+Georgia!B13+Hawaii!B13+Idaho!B13+Illinois!B13+Indiana!B13+Iowa!B13+Kansas!B13+Kentucky!B13+Louisiana!B13+Maine!B13+Maryland!B13+Massachusettes!B13+Michigan!B13+Minnesota!B13+Mississippi!B13+Missouri!B13+Montana!B13+Nebraska!B13+Nevada!B13+'New Hampshire'!B13+'New Jersey'!B13+'New Mexico'!B13+'New York'!B13+'North Carolina'!B13+'North Dakota'!B13+Ohio!B13+Oklahoma!B13+Oregon!B13+Pennsylvania!B13+'Puerto Rico'!B13+'Rhode Island'!B13+'South Carolina'!B13+'South Dakota '!B13+Tennessee!B13+Texas!B13+Utah!B13+Vermont!B13+Virginia!B13+Washington!B13+'West Virginia'!B13+Wisconsin!B13+Wyoming!B13</f>
        <v>770921000</v>
      </c>
      <c r="C13" s="3">
        <f>+Alabama!C13+Alaska!C13+Arizona!C13+Arkansas!C13+California!C13+Colorado!C13+Connecticut!C13+Delaware!C13+'District of Columbia'!C13+Florida!C13+Georgia!C13+Hawaii!C13+Idaho!C13+Illinois!C13+Indiana!C13+Iowa!C13+Kansas!C13+Kentucky!C13+Louisiana!C13+Maine!C13+Maryland!C13+Massachusettes!C13+Michigan!C13+Minnesota!C13+Mississippi!C13+Missouri!C13+Montana!C13+Nebraska!C13+Nevada!C13+'New Hampshire'!C13+'New Jersey'!C13+'New Mexico'!C13+'New York'!C13+'North Carolina'!C13+'North Dakota'!C13+Ohio!C13+Oklahoma!C13+Oregon!C13+Pennsylvania!C13+'Puerto Rico'!C13+'Rhode Island'!C13+'South Carolina'!C13+'South Dakota '!C13+Tennessee!C13+Texas!C13+Utah!C13+Vermont!C13+Virginia!C13+Washington!C13+'West Virginia'!C13+Wisconsin!C13+Wyoming!C13</f>
        <v>0</v>
      </c>
      <c r="D13" s="3">
        <f>+Alabama!D13+Alaska!D13+Arizona!D13+Arkansas!D13+California!D13+Colorado!D13+Connecticut!D13+Delaware!D13+'District of Columbia'!D13+Florida!D13+Georgia!D13+Hawaii!D13+Idaho!D13+Illinois!D13+Indiana!D13+Iowa!D13+Kansas!D13+Kentucky!D13+Louisiana!D13+Maine!D13+Maryland!D13+Massachusettes!D13+Michigan!D13+Minnesota!D13+Mississippi!D13+Missouri!D13+Montana!D13+Nebraska!D13+Nevada!D13+'New Hampshire'!D13+'New Jersey'!D13+'New Mexico'!D13+'New York'!D13+'North Carolina'!D13+'North Dakota'!D13+Ohio!D13+Oklahoma!D13+Oregon!D13+Pennsylvania!D13+'Puerto Rico'!D13+'Rhode Island'!D13+'South Carolina'!D13+'South Dakota '!D13+Tennessee!D13+Texas!D13+Utah!D13+Vermont!D13+Virginia!D13+Washington!D13+'West Virginia'!D13+Wisconsin!D13+Wyoming!D13</f>
        <v>0</v>
      </c>
      <c r="E13" s="3">
        <f>+Alabama!E13+Alaska!E13+Arizona!E13+Arkansas!E13+California!E13+Colorado!E13+Connecticut!E13+Delaware!E13+'District of Columbia'!E13+Florida!E13+Georgia!E13+Hawaii!E13+Idaho!E13+Illinois!E13+Indiana!E13+Iowa!E13+Kansas!E13+Kentucky!E13+Louisiana!E13+Maine!E13+Maryland!E13+Massachusettes!E13+Michigan!E13+Minnesota!E13+Mississippi!E13+Missouri!E13+Montana!E13+Nebraska!E13+Nevada!E13+'New Hampshire'!E13+'New Jersey'!E13+'New Mexico'!E13+'New York'!E13+'North Carolina'!E13+'North Dakota'!E13+Ohio!E13+Oklahoma!E13+Oregon!E13+Pennsylvania!E13+'Puerto Rico'!E13+'Rhode Island'!E13+'South Carolina'!E13+'South Dakota '!E13+Tennessee!E13+Texas!E13+Utah!E13+Vermont!E13+Virginia!E13+Washington!E13+'West Virginia'!E13+Wisconsin!E13+Wyoming!E13</f>
        <v>65788000</v>
      </c>
      <c r="F13" s="3">
        <f>+Alabama!F13+Alaska!F13+Arizona!F13+Arkansas!F13+California!F13+Colorado!F13+Connecticut!F13+Delaware!F13+'District of Columbia'!F13+Florida!F13+Georgia!F13+Hawaii!F13+Idaho!F13+Illinois!F13+Indiana!F13+Iowa!F13+Kansas!F13+Kentucky!F13+Louisiana!F13+Maine!F13+Maryland!F13+Massachusettes!F13+Michigan!F13+Minnesota!F13+Mississippi!F13+Missouri!F13+Montana!F13+Nebraska!F13+Nevada!F13+'New Hampshire'!F13+'New Jersey'!F13+'New Mexico'!F13+'New York'!F13+'North Carolina'!F13+'North Dakota'!F13+Ohio!F13+Oklahoma!F13+Oregon!F13+Pennsylvania!F13+'Puerto Rico'!F13+'Rhode Island'!F13+'South Carolina'!F13+'South Dakota '!F13+Tennessee!F13+Texas!F13+Utah!F13+Vermont!F13+Virginia!F13+Washington!F13+'West Virginia'!F13+Wisconsin!F13+Wyoming!F13</f>
        <v>0</v>
      </c>
      <c r="G13" s="3">
        <f>+Alabama!G13+Alaska!G13+Arizona!G13+Arkansas!G13+California!G13+Colorado!G13+Connecticut!G13+Delaware!G13+'District of Columbia'!G13+Florida!G13+Georgia!G13+Hawaii!G13+Idaho!G13+Illinois!G13+Indiana!G13+Iowa!G13+Kansas!G13+Kentucky!G13+Louisiana!G13+Maine!G13+Maryland!G13+Massachusettes!G13+Michigan!G13+Minnesota!G13+Mississippi!G13+Missouri!G13+Montana!G13+Nebraska!G13+Nevada!G13+'New Hampshire'!G13+'New Jersey'!G13+'New Mexico'!G13+'New York'!G13+'North Carolina'!G13+'North Dakota'!G13+Ohio!G13+Oklahoma!G13+Oregon!G13+Pennsylvania!G13+'Puerto Rico'!G13+'Rhode Island'!G13+'South Carolina'!G13+'South Dakota '!G13+Tennessee!G13+Texas!G13+Utah!G13+Vermont!G13+Virginia!G13+Washington!G13+'West Virginia'!G13+Wisconsin!G13+Wyoming!G13</f>
        <v>0</v>
      </c>
      <c r="H13" s="3">
        <f>+Alabama!H13+Alaska!H13+Arizona!H13+Arkansas!H13+California!H13+Colorado!H13+Connecticut!H13+Delaware!H13+'District of Columbia'!H13+Florida!H13+Georgia!H13+Hawaii!H13+Idaho!H13+Illinois!H13+Indiana!H13+Iowa!H13+Kansas!H13+Kentucky!H13+Louisiana!H13+Maine!H13+Maryland!H13+Massachusettes!H13+Michigan!H13+Minnesota!H13+Mississippi!H13+Missouri!H13+Montana!H13+Nebraska!H13+Nevada!H13+'New Hampshire'!H13+'New Jersey'!H13+'New Mexico'!H13+'New York'!H13+'North Carolina'!H13+'North Dakota'!H13+Ohio!H13+Oklahoma!H13+Oregon!H13+Pennsylvania!H13+'Puerto Rico'!H13+'Rhode Island'!H13+'South Carolina'!H13+'South Dakota '!H13+Tennessee!H13+Texas!H13+Utah!H13+Vermont!H13+Virginia!H13+Washington!H13+'West Virginia'!H13+Wisconsin!H13+Wyoming!H13</f>
        <v>35057000</v>
      </c>
      <c r="I13" s="3">
        <f>+Alabama!I13+Alaska!I13+Arizona!I13+Arkansas!I13+California!I13+Colorado!I13+Connecticut!I13+Delaware!I13+'District of Columbia'!I13+Florida!I13+Georgia!I13+Hawaii!I13+Idaho!I13+Illinois!I13+Indiana!I13+Iowa!I13+Kansas!I13+Kentucky!I13+Louisiana!I13+Maine!I13+Maryland!I13+Massachusettes!I13+Michigan!I13+Minnesota!I13+Mississippi!I13+Missouri!I13+Montana!I13+Nebraska!I13+Nevada!I13+'New Hampshire'!I13+'New Jersey'!I13+'New Mexico'!I13+'New York'!I13+'North Carolina'!I13+'North Dakota'!I13+Ohio!I13+Oklahoma!I13+Oregon!I13+Pennsylvania!I13+'Puerto Rico'!I13+'Rhode Island'!I13+'South Carolina'!I13+'South Dakota '!I13+Tennessee!I13+Texas!I13+Utah!I13+Vermont!I13+Virginia!I13+Washington!I13+'West Virginia'!I13+Wisconsin!I13+Wyoming!I13</f>
        <v>0</v>
      </c>
      <c r="J13" s="3">
        <f>+Alabama!J13+Alaska!J13+Arizona!J13+Arkansas!J13+California!J13+Colorado!J13+Connecticut!J13+Delaware!J13+'District of Columbia'!J13+Florida!J13+Georgia!J13+Hawaii!J13+Idaho!J13+Illinois!J13+Indiana!J13+Iowa!J13+Kansas!J13+Kentucky!J13+Louisiana!J13+Maine!J13+Maryland!J13+Massachusettes!J13+Michigan!J13+Minnesota!J13+Mississippi!J13+Missouri!J13+Montana!J13+Nebraska!J13+Nevada!J13+'New Hampshire'!J13+'New Jersey'!J13+'New Mexico'!J13+'New York'!J13+'North Carolina'!J13+'North Dakota'!J13+Ohio!J13+Oklahoma!J13+Oregon!J13+Pennsylvania!J13+'Puerto Rico'!J13+'Rhode Island'!J13+'South Carolina'!J13+'South Dakota '!J13+Tennessee!J13+Texas!J13+Utah!J13+Vermont!J13+Virginia!J13+Washington!J13+'West Virginia'!J13+Wisconsin!J13+Wyoming!J13</f>
        <v>0</v>
      </c>
      <c r="K13" s="3">
        <f t="shared" si="2"/>
        <v>871766000</v>
      </c>
      <c r="L13" s="3">
        <f t="shared" si="3"/>
        <v>0</v>
      </c>
      <c r="M13" s="3">
        <f t="shared" si="4"/>
        <v>0</v>
      </c>
      <c r="N13" s="3">
        <f t="shared" si="1"/>
        <v>871766000</v>
      </c>
      <c r="P13" s="1">
        <v>13</v>
      </c>
    </row>
    <row r="14" spans="1:17" x14ac:dyDescent="0.15">
      <c r="A14" s="1">
        <v>1982</v>
      </c>
      <c r="B14" s="3">
        <f>+Alabama!B14+Alaska!B14+Arizona!B14+Arkansas!B14+California!B14+Colorado!B14+Connecticut!B14+Delaware!B14+'District of Columbia'!B14+Florida!B14+Georgia!B14+Hawaii!B14+Idaho!B14+Illinois!B14+Indiana!B14+Iowa!B14+Kansas!B14+Kentucky!B14+Louisiana!B14+Maine!B14+Maryland!B14+Massachusettes!B14+Michigan!B14+Minnesota!B14+Mississippi!B14+Missouri!B14+Montana!B14+Nebraska!B14+Nevada!B14+'New Hampshire'!B14+'New Jersey'!B14+'New Mexico'!B14+'New York'!B14+'North Carolina'!B14+'North Dakota'!B14+Ohio!B14+Oklahoma!B14+Oregon!B14+Pennsylvania!B14+'Puerto Rico'!B14+'Rhode Island'!B14+'South Carolina'!B14+'South Dakota '!B14+Tennessee!B14+Texas!B14+Utah!B14+Vermont!B14+Virginia!B14+Washington!B14+'West Virginia'!B14+Wisconsin!B14+Wyoming!B14</f>
        <v>826396000</v>
      </c>
      <c r="C14" s="3">
        <f>+Alabama!C14+Alaska!C14+Arizona!C14+Arkansas!C14+California!C14+Colorado!C14+Connecticut!C14+Delaware!C14+'District of Columbia'!C14+Florida!C14+Georgia!C14+Hawaii!C14+Idaho!C14+Illinois!C14+Indiana!C14+Iowa!C14+Kansas!C14+Kentucky!C14+Louisiana!C14+Maine!C14+Maryland!C14+Massachusettes!C14+Michigan!C14+Minnesota!C14+Mississippi!C14+Missouri!C14+Montana!C14+Nebraska!C14+Nevada!C14+'New Hampshire'!C14+'New Jersey'!C14+'New Mexico'!C14+'New York'!C14+'North Carolina'!C14+'North Dakota'!C14+Ohio!C14+Oklahoma!C14+Oregon!C14+Pennsylvania!C14+'Puerto Rico'!C14+'Rhode Island'!C14+'South Carolina'!C14+'South Dakota '!C14+Tennessee!C14+Texas!C14+Utah!C14+Vermont!C14+Virginia!C14+Washington!C14+'West Virginia'!C14+Wisconsin!C14+Wyoming!C14</f>
        <v>7925000</v>
      </c>
      <c r="D14" s="3">
        <f>+Alabama!D14+Alaska!D14+Arizona!D14+Arkansas!D14+California!D14+Colorado!D14+Connecticut!D14+Delaware!D14+'District of Columbia'!D14+Florida!D14+Georgia!D14+Hawaii!D14+Idaho!D14+Illinois!D14+Indiana!D14+Iowa!D14+Kansas!D14+Kentucky!D14+Louisiana!D14+Maine!D14+Maryland!D14+Massachusettes!D14+Michigan!D14+Minnesota!D14+Mississippi!D14+Missouri!D14+Montana!D14+Nebraska!D14+Nevada!D14+'New Hampshire'!D14+'New Jersey'!D14+'New Mexico'!D14+'New York'!D14+'North Carolina'!D14+'North Dakota'!D14+Ohio!D14+Oklahoma!D14+Oregon!D14+Pennsylvania!D14+'Puerto Rico'!D14+'Rhode Island'!D14+'South Carolina'!D14+'South Dakota '!D14+Tennessee!D14+Texas!D14+Utah!D14+Vermont!D14+Virginia!D14+Washington!D14+'West Virginia'!D14+Wisconsin!D14+Wyoming!D14</f>
        <v>1171000</v>
      </c>
      <c r="E14" s="3">
        <f>+Alabama!E14+Alaska!E14+Arizona!E14+Arkansas!E14+California!E14+Colorado!E14+Connecticut!E14+Delaware!E14+'District of Columbia'!E14+Florida!E14+Georgia!E14+Hawaii!E14+Idaho!E14+Illinois!E14+Indiana!E14+Iowa!E14+Kansas!E14+Kentucky!E14+Louisiana!E14+Maine!E14+Maryland!E14+Massachusettes!E14+Michigan!E14+Minnesota!E14+Mississippi!E14+Missouri!E14+Montana!E14+Nebraska!E14+Nevada!E14+'New Hampshire'!E14+'New Jersey'!E14+'New Mexico'!E14+'New York'!E14+'North Carolina'!E14+'North Dakota'!E14+Ohio!E14+Oklahoma!E14+Oregon!E14+Pennsylvania!E14+'Puerto Rico'!E14+'Rhode Island'!E14+'South Carolina'!E14+'South Dakota '!E14+Tennessee!E14+Texas!E14+Utah!E14+Vermont!E14+Virginia!E14+Washington!E14+'West Virginia'!E14+Wisconsin!E14+Wyoming!E14</f>
        <v>58012000</v>
      </c>
      <c r="F14" s="3">
        <f>+Alabama!F14+Alaska!F14+Arizona!F14+Arkansas!F14+California!F14+Colorado!F14+Connecticut!F14+Delaware!F14+'District of Columbia'!F14+Florida!F14+Georgia!F14+Hawaii!F14+Idaho!F14+Illinois!F14+Indiana!F14+Iowa!F14+Kansas!F14+Kentucky!F14+Louisiana!F14+Maine!F14+Maryland!F14+Massachusettes!F14+Michigan!F14+Minnesota!F14+Mississippi!F14+Missouri!F14+Montana!F14+Nebraska!F14+Nevada!F14+'New Hampshire'!F14+'New Jersey'!F14+'New Mexico'!F14+'New York'!F14+'North Carolina'!F14+'North Dakota'!F14+Ohio!F14+Oklahoma!F14+Oregon!F14+Pennsylvania!F14+'Puerto Rico'!F14+'Rhode Island'!F14+'South Carolina'!F14+'South Dakota '!F14+Tennessee!F14+Texas!F14+Utah!F14+Vermont!F14+Virginia!F14+Washington!F14+'West Virginia'!F14+Wisconsin!F14+Wyoming!F14</f>
        <v>9520000</v>
      </c>
      <c r="G14" s="3">
        <f>+Alabama!G14+Alaska!G14+Arizona!G14+Arkansas!G14+California!G14+Colorado!G14+Connecticut!G14+Delaware!G14+'District of Columbia'!G14+Florida!G14+Georgia!G14+Hawaii!G14+Idaho!G14+Illinois!G14+Indiana!G14+Iowa!G14+Kansas!G14+Kentucky!G14+Louisiana!G14+Maine!G14+Maryland!G14+Massachusettes!G14+Michigan!G14+Minnesota!G14+Mississippi!G14+Missouri!G14+Montana!G14+Nebraska!G14+Nevada!G14+'New Hampshire'!G14+'New Jersey'!G14+'New Mexico'!G14+'New York'!G14+'North Carolina'!G14+'North Dakota'!G14+Ohio!G14+Oklahoma!G14+Oregon!G14+Pennsylvania!G14+'Puerto Rico'!G14+'Rhode Island'!G14+'South Carolina'!G14+'South Dakota '!G14+Tennessee!G14+Texas!G14+Utah!G14+Vermont!G14+Virginia!G14+Washington!G14+'West Virginia'!G14+Wisconsin!G14+Wyoming!G14</f>
        <v>2999000</v>
      </c>
      <c r="H14" s="3">
        <f>+Alabama!H14+Alaska!H14+Arizona!H14+Arkansas!H14+California!H14+Colorado!H14+Connecticut!H14+Delaware!H14+'District of Columbia'!H14+Florida!H14+Georgia!H14+Hawaii!H14+Idaho!H14+Illinois!H14+Indiana!H14+Iowa!H14+Kansas!H14+Kentucky!H14+Louisiana!H14+Maine!H14+Maryland!H14+Massachusettes!H14+Michigan!H14+Minnesota!H14+Mississippi!H14+Missouri!H14+Montana!H14+Nebraska!H14+Nevada!H14+'New Hampshire'!H14+'New Jersey'!H14+'New Mexico'!H14+'New York'!H14+'North Carolina'!H14+'North Dakota'!H14+Ohio!H14+Oklahoma!H14+Oregon!H14+Pennsylvania!H14+'Puerto Rico'!H14+'Rhode Island'!H14+'South Carolina'!H14+'South Dakota '!H14+Tennessee!H14+Texas!H14+Utah!H14+Vermont!H14+Virginia!H14+Washington!H14+'West Virginia'!H14+Wisconsin!H14+Wyoming!H14</f>
        <v>87278000</v>
      </c>
      <c r="I14" s="3">
        <f>+Alabama!I14+Alaska!I14+Arizona!I14+Arkansas!I14+California!I14+Colorado!I14+Connecticut!I14+Delaware!I14+'District of Columbia'!I14+Florida!I14+Georgia!I14+Hawaii!I14+Idaho!I14+Illinois!I14+Indiana!I14+Iowa!I14+Kansas!I14+Kentucky!I14+Louisiana!I14+Maine!I14+Maryland!I14+Massachusettes!I14+Michigan!I14+Minnesota!I14+Mississippi!I14+Missouri!I14+Montana!I14+Nebraska!I14+Nevada!I14+'New Hampshire'!I14+'New Jersey'!I14+'New Mexico'!I14+'New York'!I14+'North Carolina'!I14+'North Dakota'!I14+Ohio!I14+Oklahoma!I14+Oregon!I14+Pennsylvania!I14+'Puerto Rico'!I14+'Rhode Island'!I14+'South Carolina'!I14+'South Dakota '!I14+Tennessee!I14+Texas!I14+Utah!I14+Vermont!I14+Virginia!I14+Washington!I14+'West Virginia'!I14+Wisconsin!I14+Wyoming!I14</f>
        <v>2911000</v>
      </c>
      <c r="J14" s="3">
        <f>+Alabama!J14+Alaska!J14+Arizona!J14+Arkansas!J14+California!J14+Colorado!J14+Connecticut!J14+Delaware!J14+'District of Columbia'!J14+Florida!J14+Georgia!J14+Hawaii!J14+Idaho!J14+Illinois!J14+Indiana!J14+Iowa!J14+Kansas!J14+Kentucky!J14+Louisiana!J14+Maine!J14+Maryland!J14+Massachusettes!J14+Michigan!J14+Minnesota!J14+Mississippi!J14+Missouri!J14+Montana!J14+Nebraska!J14+Nevada!J14+'New Hampshire'!J14+'New Jersey'!J14+'New Mexico'!J14+'New York'!J14+'North Carolina'!J14+'North Dakota'!J14+Ohio!J14+Oklahoma!J14+Oregon!J14+Pennsylvania!J14+'Puerto Rico'!J14+'Rhode Island'!J14+'South Carolina'!J14+'South Dakota '!J14+Tennessee!J14+Texas!J14+Utah!J14+Vermont!J14+Virginia!J14+Washington!J14+'West Virginia'!J14+Wisconsin!J14+Wyoming!J14</f>
        <v>116000</v>
      </c>
      <c r="K14" s="3">
        <f t="shared" si="2"/>
        <v>971686000</v>
      </c>
      <c r="L14" s="3">
        <f t="shared" si="3"/>
        <v>20356000</v>
      </c>
      <c r="M14" s="3">
        <f t="shared" si="4"/>
        <v>4286000</v>
      </c>
      <c r="N14" s="3">
        <f t="shared" si="1"/>
        <v>996328000</v>
      </c>
      <c r="P14" s="1">
        <v>14</v>
      </c>
    </row>
    <row r="15" spans="1:17" x14ac:dyDescent="0.15">
      <c r="A15" s="1">
        <v>1983</v>
      </c>
      <c r="B15" s="3">
        <f>+Alabama!B15+Alaska!B15+Arizona!B15+Arkansas!B15+California!B15+Colorado!B15+Connecticut!B15+Delaware!B15+'District of Columbia'!B15+Florida!B15+Georgia!B15+Hawaii!B15+Idaho!B15+Illinois!B15+Indiana!B15+Iowa!B15+Kansas!B15+Kentucky!B15+Louisiana!B15+Maine!B15+Maryland!B15+Massachusettes!B15+Michigan!B15+Minnesota!B15+Mississippi!B15+Missouri!B15+Montana!B15+Nebraska!B15+Nevada!B15+'New Hampshire'!B15+'New Jersey'!B15+'New Mexico'!B15+'New York'!B15+'North Carolina'!B15+'North Dakota'!B15+Ohio!B15+Oklahoma!B15+Oregon!B15+Pennsylvania!B15+'Puerto Rico'!B15+'Rhode Island'!B15+'South Carolina'!B15+'South Dakota '!B15+Tennessee!B15+Texas!B15+Utah!B15+Vermont!B15+Virginia!B15+Washington!B15+'West Virginia'!B15+Wisconsin!B15+Wyoming!B15</f>
        <v>895844000</v>
      </c>
      <c r="C15" s="3">
        <f>+Alabama!C15+Alaska!C15+Arizona!C15+Arkansas!C15+California!C15+Colorado!C15+Connecticut!C15+Delaware!C15+'District of Columbia'!C15+Florida!C15+Georgia!C15+Hawaii!C15+Idaho!C15+Illinois!C15+Indiana!C15+Iowa!C15+Kansas!C15+Kentucky!C15+Louisiana!C15+Maine!C15+Maryland!C15+Massachusettes!C15+Michigan!C15+Minnesota!C15+Mississippi!C15+Missouri!C15+Montana!C15+Nebraska!C15+Nevada!C15+'New Hampshire'!C15+'New Jersey'!C15+'New Mexico'!C15+'New York'!C15+'North Carolina'!C15+'North Dakota'!C15+Ohio!C15+Oklahoma!C15+Oregon!C15+Pennsylvania!C15+'Puerto Rico'!C15+'Rhode Island'!C15+'South Carolina'!C15+'South Dakota '!C15+Tennessee!C15+Texas!C15+Utah!C15+Vermont!C15+Virginia!C15+Washington!C15+'West Virginia'!C15+Wisconsin!C15+Wyoming!C15</f>
        <v>8691000</v>
      </c>
      <c r="D15" s="3">
        <f>+Alabama!D15+Alaska!D15+Arizona!D15+Arkansas!D15+California!D15+Colorado!D15+Connecticut!D15+Delaware!D15+'District of Columbia'!D15+Florida!D15+Georgia!D15+Hawaii!D15+Idaho!D15+Illinois!D15+Indiana!D15+Iowa!D15+Kansas!D15+Kentucky!D15+Louisiana!D15+Maine!D15+Maryland!D15+Massachusettes!D15+Michigan!D15+Minnesota!D15+Mississippi!D15+Missouri!D15+Montana!D15+Nebraska!D15+Nevada!D15+'New Hampshire'!D15+'New Jersey'!D15+'New Mexico'!D15+'New York'!D15+'North Carolina'!D15+'North Dakota'!D15+Ohio!D15+Oklahoma!D15+Oregon!D15+Pennsylvania!D15+'Puerto Rico'!D15+'Rhode Island'!D15+'South Carolina'!D15+'South Dakota '!D15+Tennessee!D15+Texas!D15+Utah!D15+Vermont!D15+Virginia!D15+Washington!D15+'West Virginia'!D15+Wisconsin!D15+Wyoming!D15</f>
        <v>10094000</v>
      </c>
      <c r="E15" s="3">
        <f>+Alabama!E15+Alaska!E15+Arizona!E15+Arkansas!E15+California!E15+Colorado!E15+Connecticut!E15+Delaware!E15+'District of Columbia'!E15+Florida!E15+Georgia!E15+Hawaii!E15+Idaho!E15+Illinois!E15+Indiana!E15+Iowa!E15+Kansas!E15+Kentucky!E15+Louisiana!E15+Maine!E15+Maryland!E15+Massachusettes!E15+Michigan!E15+Minnesota!E15+Mississippi!E15+Missouri!E15+Montana!E15+Nebraska!E15+Nevada!E15+'New Hampshire'!E15+'New Jersey'!E15+'New Mexico'!E15+'New York'!E15+'North Carolina'!E15+'North Dakota'!E15+Ohio!E15+Oklahoma!E15+Oregon!E15+Pennsylvania!E15+'Puerto Rico'!E15+'Rhode Island'!E15+'South Carolina'!E15+'South Dakota '!E15+Tennessee!E15+Texas!E15+Utah!E15+Vermont!E15+Virginia!E15+Washington!E15+'West Virginia'!E15+Wisconsin!E15+Wyoming!E15</f>
        <v>65019000</v>
      </c>
      <c r="F15" s="3">
        <f>+Alabama!F15+Alaska!F15+Arizona!F15+Arkansas!F15+California!F15+Colorado!F15+Connecticut!F15+Delaware!F15+'District of Columbia'!F15+Florida!F15+Georgia!F15+Hawaii!F15+Idaho!F15+Illinois!F15+Indiana!F15+Iowa!F15+Kansas!F15+Kentucky!F15+Louisiana!F15+Maine!F15+Maryland!F15+Massachusettes!F15+Michigan!F15+Minnesota!F15+Mississippi!F15+Missouri!F15+Montana!F15+Nebraska!F15+Nevada!F15+'New Hampshire'!F15+'New Jersey'!F15+'New Mexico'!F15+'New York'!F15+'North Carolina'!F15+'North Dakota'!F15+Ohio!F15+Oklahoma!F15+Oregon!F15+Pennsylvania!F15+'Puerto Rico'!F15+'Rhode Island'!F15+'South Carolina'!F15+'South Dakota '!F15+Tennessee!F15+Texas!F15+Utah!F15+Vermont!F15+Virginia!F15+Washington!F15+'West Virginia'!F15+Wisconsin!F15+Wyoming!F15</f>
        <v>9500000</v>
      </c>
      <c r="G15" s="3">
        <f>+Alabama!G15+Alaska!G15+Arizona!G15+Arkansas!G15+California!G15+Colorado!G15+Connecticut!G15+Delaware!G15+'District of Columbia'!G15+Florida!G15+Georgia!G15+Hawaii!G15+Idaho!G15+Illinois!G15+Indiana!G15+Iowa!G15+Kansas!G15+Kentucky!G15+Louisiana!G15+Maine!G15+Maryland!G15+Massachusettes!G15+Michigan!G15+Minnesota!G15+Mississippi!G15+Missouri!G15+Montana!G15+Nebraska!G15+Nevada!G15+'New Hampshire'!G15+'New Jersey'!G15+'New Mexico'!G15+'New York'!G15+'North Carolina'!G15+'North Dakota'!G15+Ohio!G15+Oklahoma!G15+Oregon!G15+Pennsylvania!G15+'Puerto Rico'!G15+'Rhode Island'!G15+'South Carolina'!G15+'South Dakota '!G15+Tennessee!G15+Texas!G15+Utah!G15+Vermont!G15+Virginia!G15+Washington!G15+'West Virginia'!G15+Wisconsin!G15+Wyoming!G15</f>
        <v>3383000</v>
      </c>
      <c r="H15" s="3">
        <f>+Alabama!H15+Alaska!H15+Arizona!H15+Arkansas!H15+California!H15+Colorado!H15+Connecticut!H15+Delaware!H15+'District of Columbia'!H15+Florida!H15+Georgia!H15+Hawaii!H15+Idaho!H15+Illinois!H15+Indiana!H15+Iowa!H15+Kansas!H15+Kentucky!H15+Louisiana!H15+Maine!H15+Maryland!H15+Massachusettes!H15+Michigan!H15+Minnesota!H15+Mississippi!H15+Missouri!H15+Montana!H15+Nebraska!H15+Nevada!H15+'New Hampshire'!H15+'New Jersey'!H15+'New Mexico'!H15+'New York'!H15+'North Carolina'!H15+'North Dakota'!H15+Ohio!H15+Oklahoma!H15+Oregon!H15+Pennsylvania!H15+'Puerto Rico'!H15+'Rhode Island'!H15+'South Carolina'!H15+'South Dakota '!H15+Tennessee!H15+Texas!H15+Utah!H15+Vermont!H15+Virginia!H15+Washington!H15+'West Virginia'!H15+Wisconsin!H15+Wyoming!H15</f>
        <v>100758000</v>
      </c>
      <c r="I15" s="3">
        <f>+Alabama!I15+Alaska!I15+Arizona!I15+Arkansas!I15+California!I15+Colorado!I15+Connecticut!I15+Delaware!I15+'District of Columbia'!I15+Florida!I15+Georgia!I15+Hawaii!I15+Idaho!I15+Illinois!I15+Indiana!I15+Iowa!I15+Kansas!I15+Kentucky!I15+Louisiana!I15+Maine!I15+Maryland!I15+Massachusettes!I15+Michigan!I15+Minnesota!I15+Mississippi!I15+Missouri!I15+Montana!I15+Nebraska!I15+Nevada!I15+'New Hampshire'!I15+'New Jersey'!I15+'New Mexico'!I15+'New York'!I15+'North Carolina'!I15+'North Dakota'!I15+Ohio!I15+Oklahoma!I15+Oregon!I15+Pennsylvania!I15+'Puerto Rico'!I15+'Rhode Island'!I15+'South Carolina'!I15+'South Dakota '!I15+Tennessee!I15+Texas!I15+Utah!I15+Vermont!I15+Virginia!I15+Washington!I15+'West Virginia'!I15+Wisconsin!I15+Wyoming!I15</f>
        <v>3584000</v>
      </c>
      <c r="J15" s="3">
        <f>+Alabama!J15+Alaska!J15+Arizona!J15+Arkansas!J15+California!J15+Colorado!J15+Connecticut!J15+Delaware!J15+'District of Columbia'!J15+Florida!J15+Georgia!J15+Hawaii!J15+Idaho!J15+Illinois!J15+Indiana!J15+Iowa!J15+Kansas!J15+Kentucky!J15+Louisiana!J15+Maine!J15+Maryland!J15+Massachusettes!J15+Michigan!J15+Minnesota!J15+Mississippi!J15+Missouri!J15+Montana!J15+Nebraska!J15+Nevada!J15+'New Hampshire'!J15+'New Jersey'!J15+'New Mexico'!J15+'New York'!J15+'North Carolina'!J15+'North Dakota'!J15+Ohio!J15+Oklahoma!J15+Oregon!J15+Pennsylvania!J15+'Puerto Rico'!J15+'Rhode Island'!J15+'South Carolina'!J15+'South Dakota '!J15+Tennessee!J15+Texas!J15+Utah!J15+Vermont!J15+Virginia!J15+Washington!J15+'West Virginia'!J15+Wisconsin!J15+Wyoming!J15</f>
        <v>116000</v>
      </c>
      <c r="K15" s="3">
        <f t="shared" si="2"/>
        <v>1061621000</v>
      </c>
      <c r="L15" s="3">
        <f t="shared" si="3"/>
        <v>21775000</v>
      </c>
      <c r="M15" s="3">
        <f t="shared" si="4"/>
        <v>13593000</v>
      </c>
      <c r="N15" s="3">
        <f t="shared" si="1"/>
        <v>1096989000</v>
      </c>
      <c r="P15" s="1">
        <v>14</v>
      </c>
      <c r="Q15" s="1" t="s">
        <v>150</v>
      </c>
    </row>
    <row r="16" spans="1:17" x14ac:dyDescent="0.15">
      <c r="A16" s="1">
        <v>1984</v>
      </c>
      <c r="B16" s="3">
        <f>+Alabama!B16+Alaska!B16+Arizona!B16+Arkansas!B16+California!B16+Colorado!B16+Connecticut!B16+Delaware!B16+'District of Columbia'!B16+Florida!B16+Georgia!B16+Hawaii!B16+Idaho!B16+Illinois!B16+Indiana!B16+Iowa!B16+Kansas!B16+Kentucky!B16+Louisiana!B16+Maine!B16+Maryland!B16+Massachusettes!B16+Michigan!B16+Minnesota!B16+Mississippi!B16+Missouri!B16+Montana!B16+Nebraska!B16+Nevada!B16+'New Hampshire'!B16+'New Jersey'!B16+'New Mexico'!B16+'New York'!B16+'North Carolina'!B16+'North Dakota'!B16+Ohio!B16+Oklahoma!B16+Oregon!B16+Pennsylvania!B16+'Puerto Rico'!B16+'Rhode Island'!B16+'South Carolina'!B16+'South Dakota '!B16+Tennessee!B16+Texas!B16+Utah!B16+Vermont!B16+Virginia!B16+Washington!B16+'West Virginia'!B16+Wisconsin!B16+Wyoming!B16</f>
        <v>942568000</v>
      </c>
      <c r="C16" s="3">
        <f>+Alabama!C16+Alaska!C16+Arizona!C16+Arkansas!C16+California!C16+Colorado!C16+Connecticut!C16+Delaware!C16+'District of Columbia'!C16+Florida!C16+Georgia!C16+Hawaii!C16+Idaho!C16+Illinois!C16+Indiana!C16+Iowa!C16+Kansas!C16+Kentucky!C16+Louisiana!C16+Maine!C16+Maryland!C16+Massachusettes!C16+Michigan!C16+Minnesota!C16+Mississippi!C16+Missouri!C16+Montana!C16+Nebraska!C16+Nevada!C16+'New Hampshire'!C16+'New Jersey'!C16+'New Mexico'!C16+'New York'!C16+'North Carolina'!C16+'North Dakota'!C16+Ohio!C16+Oklahoma!C16+Oregon!C16+Pennsylvania!C16+'Puerto Rico'!C16+'Rhode Island'!C16+'South Carolina'!C16+'South Dakota '!C16+Tennessee!C16+Texas!C16+Utah!C16+Vermont!C16+Virginia!C16+Washington!C16+'West Virginia'!C16+Wisconsin!C16+Wyoming!C16</f>
        <v>8806000</v>
      </c>
      <c r="D16" s="3">
        <f>+Alabama!D16+Alaska!D16+Arizona!D16+Arkansas!D16+California!D16+Colorado!D16+Connecticut!D16+Delaware!D16+'District of Columbia'!D16+Florida!D16+Georgia!D16+Hawaii!D16+Idaho!D16+Illinois!D16+Indiana!D16+Iowa!D16+Kansas!D16+Kentucky!D16+Louisiana!D16+Maine!D16+Maryland!D16+Massachusettes!D16+Michigan!D16+Minnesota!D16+Mississippi!D16+Missouri!D16+Montana!D16+Nebraska!D16+Nevada!D16+'New Hampshire'!D16+'New Jersey'!D16+'New Mexico'!D16+'New York'!D16+'North Carolina'!D16+'North Dakota'!D16+Ohio!D16+Oklahoma!D16+Oregon!D16+Pennsylvania!D16+'Puerto Rico'!D16+'Rhode Island'!D16+'South Carolina'!D16+'South Dakota '!D16+Tennessee!D16+Texas!D16+Utah!D16+Vermont!D16+Virginia!D16+Washington!D16+'West Virginia'!D16+Wisconsin!D16+Wyoming!D16</f>
        <v>26412000</v>
      </c>
      <c r="E16" s="3">
        <f>+Alabama!E16+Alaska!E16+Arizona!E16+Arkansas!E16+California!E16+Colorado!E16+Connecticut!E16+Delaware!E16+'District of Columbia'!E16+Florida!E16+Georgia!E16+Hawaii!E16+Idaho!E16+Illinois!E16+Indiana!E16+Iowa!E16+Kansas!E16+Kentucky!E16+Louisiana!E16+Maine!E16+Maryland!E16+Massachusettes!E16+Michigan!E16+Minnesota!E16+Mississippi!E16+Missouri!E16+Montana!E16+Nebraska!E16+Nevada!E16+'New Hampshire'!E16+'New Jersey'!E16+'New Mexico'!E16+'New York'!E16+'North Carolina'!E16+'North Dakota'!E16+Ohio!E16+Oklahoma!E16+Oregon!E16+Pennsylvania!E16+'Puerto Rico'!E16+'Rhode Island'!E16+'South Carolina'!E16+'South Dakota '!E16+Tennessee!E16+Texas!E16+Utah!E16+Vermont!E16+Virginia!E16+Washington!E16+'West Virginia'!E16+Wisconsin!E16+Wyoming!E16</f>
        <v>78884000</v>
      </c>
      <c r="F16" s="3">
        <f>+Alabama!F16+Alaska!F16+Arizona!F16+Arkansas!F16+California!F16+Colorado!F16+Connecticut!F16+Delaware!F16+'District of Columbia'!F16+Florida!F16+Georgia!F16+Hawaii!F16+Idaho!F16+Illinois!F16+Indiana!F16+Iowa!F16+Kansas!F16+Kentucky!F16+Louisiana!F16+Maine!F16+Maryland!F16+Massachusettes!F16+Michigan!F16+Minnesota!F16+Mississippi!F16+Missouri!F16+Montana!F16+Nebraska!F16+Nevada!F16+'New Hampshire'!F16+'New Jersey'!F16+'New Mexico'!F16+'New York'!F16+'North Carolina'!F16+'North Dakota'!F16+Ohio!F16+Oklahoma!F16+Oregon!F16+Pennsylvania!F16+'Puerto Rico'!F16+'Rhode Island'!F16+'South Carolina'!F16+'South Dakota '!F16+Tennessee!F16+Texas!F16+Utah!F16+Vermont!F16+Virginia!F16+Washington!F16+'West Virginia'!F16+Wisconsin!F16+Wyoming!F16</f>
        <v>9486000</v>
      </c>
      <c r="G16" s="3">
        <f>+Alabama!G16+Alaska!G16+Arizona!G16+Arkansas!G16+California!G16+Colorado!G16+Connecticut!G16+Delaware!G16+'District of Columbia'!G16+Florida!G16+Georgia!G16+Hawaii!G16+Idaho!G16+Illinois!G16+Indiana!G16+Iowa!G16+Kansas!G16+Kentucky!G16+Louisiana!G16+Maine!G16+Maryland!G16+Massachusettes!G16+Michigan!G16+Minnesota!G16+Mississippi!G16+Missouri!G16+Montana!G16+Nebraska!G16+Nevada!G16+'New Hampshire'!G16+'New Jersey'!G16+'New Mexico'!G16+'New York'!G16+'North Carolina'!G16+'North Dakota'!G16+Ohio!G16+Oklahoma!G16+Oregon!G16+Pennsylvania!G16+'Puerto Rico'!G16+'Rhode Island'!G16+'South Carolina'!G16+'South Dakota '!G16+Tennessee!G16+Texas!G16+Utah!G16+Vermont!G16+Virginia!G16+Washington!G16+'West Virginia'!G16+Wisconsin!G16+Wyoming!G16</f>
        <v>2551000</v>
      </c>
      <c r="H16" s="3">
        <f>+Alabama!H16+Alaska!H16+Arizona!H16+Arkansas!H16+California!H16+Colorado!H16+Connecticut!H16+Delaware!H16+'District of Columbia'!H16+Florida!H16+Georgia!H16+Hawaii!H16+Idaho!H16+Illinois!H16+Indiana!H16+Iowa!H16+Kansas!H16+Kentucky!H16+Louisiana!H16+Maine!H16+Maryland!H16+Massachusettes!H16+Michigan!H16+Minnesota!H16+Mississippi!H16+Missouri!H16+Montana!H16+Nebraska!H16+Nevada!H16+'New Hampshire'!H16+'New Jersey'!H16+'New Mexico'!H16+'New York'!H16+'North Carolina'!H16+'North Dakota'!H16+Ohio!H16+Oklahoma!H16+Oregon!H16+Pennsylvania!H16+'Puerto Rico'!H16+'Rhode Island'!H16+'South Carolina'!H16+'South Dakota '!H16+Tennessee!H16+Texas!H16+Utah!H16+Vermont!H16+Virginia!H16+Washington!H16+'West Virginia'!H16+Wisconsin!H16+Wyoming!H16</f>
        <v>110888000</v>
      </c>
      <c r="I16" s="3">
        <f>+Alabama!I16+Alaska!I16+Arizona!I16+Arkansas!I16+California!I16+Colorado!I16+Connecticut!I16+Delaware!I16+'District of Columbia'!I16+Florida!I16+Georgia!I16+Hawaii!I16+Idaho!I16+Illinois!I16+Indiana!I16+Iowa!I16+Kansas!I16+Kentucky!I16+Louisiana!I16+Maine!I16+Maryland!I16+Massachusettes!I16+Michigan!I16+Minnesota!I16+Mississippi!I16+Missouri!I16+Montana!I16+Nebraska!I16+Nevada!I16+'New Hampshire'!I16+'New Jersey'!I16+'New Mexico'!I16+'New York'!I16+'North Carolina'!I16+'North Dakota'!I16+Ohio!I16+Oklahoma!I16+Oregon!I16+Pennsylvania!I16+'Puerto Rico'!I16+'Rhode Island'!I16+'South Carolina'!I16+'South Dakota '!I16+Tennessee!I16+Texas!I16+Utah!I16+Vermont!I16+Virginia!I16+Washington!I16+'West Virginia'!I16+Wisconsin!I16+Wyoming!I16</f>
        <v>4756000</v>
      </c>
      <c r="J16" s="3">
        <f>+Alabama!J16+Alaska!J16+Arizona!J16+Arkansas!J16+California!J16+Colorado!J16+Connecticut!J16+Delaware!J16+'District of Columbia'!J16+Florida!J16+Georgia!J16+Hawaii!J16+Idaho!J16+Illinois!J16+Indiana!J16+Iowa!J16+Kansas!J16+Kentucky!J16+Louisiana!J16+Maine!J16+Maryland!J16+Massachusettes!J16+Michigan!J16+Minnesota!J16+Mississippi!J16+Missouri!J16+Montana!J16+Nebraska!J16+Nevada!J16+'New Hampshire'!J16+'New Jersey'!J16+'New Mexico'!J16+'New York'!J16+'North Carolina'!J16+'North Dakota'!J16+Ohio!J16+Oklahoma!J16+Oregon!J16+Pennsylvania!J16+'Puerto Rico'!J16+'Rhode Island'!J16+'South Carolina'!J16+'South Dakota '!J16+Tennessee!J16+Texas!J16+Utah!J16+Vermont!J16+Virginia!J16+Washington!J16+'West Virginia'!J16+Wisconsin!J16+Wyoming!J16</f>
        <v>0</v>
      </c>
      <c r="K16" s="3">
        <f>+B16+E16+H16</f>
        <v>1132340000</v>
      </c>
      <c r="L16" s="3">
        <f t="shared" si="0"/>
        <v>23048000</v>
      </c>
      <c r="M16" s="3">
        <f t="shared" si="0"/>
        <v>28963000</v>
      </c>
      <c r="N16" s="3">
        <f t="shared" si="1"/>
        <v>1184351000</v>
      </c>
      <c r="P16" s="1">
        <v>15</v>
      </c>
      <c r="Q16" s="1" t="s">
        <v>156</v>
      </c>
    </row>
    <row r="17" spans="1:16" x14ac:dyDescent="0.15">
      <c r="A17" s="1">
        <v>1985</v>
      </c>
      <c r="B17" s="3">
        <f>+Alabama!B17+Alaska!B17+Arizona!B17+Arkansas!B17+California!B17+Colorado!B17+Connecticut!B17+Delaware!B17+'District of Columbia'!B17+Florida!B17+Georgia!B17+Hawaii!B17+Idaho!B17+Illinois!B17+Indiana!B17+Iowa!B17+Kansas!B17+Kentucky!B17+Louisiana!B17+Maine!B17+Maryland!B17+Massachusettes!B17+Michigan!B17+Minnesota!B17+Mississippi!B17+Missouri!B17+Montana!B17+Nebraska!B17+Nevada!B17+'New Hampshire'!B17+'New Jersey'!B17+'New Mexico'!B17+'New York'!B17+'North Carolina'!B17+'North Dakota'!B17+Ohio!B17+Oklahoma!B17+Oregon!B17+Pennsylvania!B17+'Puerto Rico'!B17+'Rhode Island'!B17+'South Carolina'!B17+'South Dakota '!B17+Tennessee!B17+Texas!B17+Utah!B17+Vermont!B17+Virginia!B17+Washington!B17+'West Virginia'!B17+Wisconsin!B17+Wyoming!B17</f>
        <v>1092441000</v>
      </c>
      <c r="C17" s="3">
        <f>+Alabama!C17+Alaska!C17+Arizona!C17+Arkansas!C17+California!C17+Colorado!C17+Connecticut!C17+Delaware!C17+'District of Columbia'!C17+Florida!C17+Georgia!C17+Hawaii!C17+Idaho!C17+Illinois!C17+Indiana!C17+Iowa!C17+Kansas!C17+Kentucky!C17+Louisiana!C17+Maine!C17+Maryland!C17+Massachusettes!C17+Michigan!C17+Minnesota!C17+Mississippi!C17+Missouri!C17+Montana!C17+Nebraska!C17+Nevada!C17+'New Hampshire'!C17+'New Jersey'!C17+'New Mexico'!C17+'New York'!C17+'North Carolina'!C17+'North Dakota'!C17+Ohio!C17+Oklahoma!C17+Oregon!C17+Pennsylvania!C17+'Puerto Rico'!C17+'Rhode Island'!C17+'South Carolina'!C17+'South Dakota '!C17+Tennessee!C17+Texas!C17+Utah!C17+Vermont!C17+Virginia!C17+Washington!C17+'West Virginia'!C17+Wisconsin!C17+Wyoming!C17</f>
        <v>11218000</v>
      </c>
      <c r="D17" s="3">
        <f>+Alabama!D17+Alaska!D17+Arizona!D17+Arkansas!D17+California!D17+Colorado!D17+Connecticut!D17+Delaware!D17+'District of Columbia'!D17+Florida!D17+Georgia!D17+Hawaii!D17+Idaho!D17+Illinois!D17+Indiana!D17+Iowa!D17+Kansas!D17+Kentucky!D17+Louisiana!D17+Maine!D17+Maryland!D17+Massachusettes!D17+Michigan!D17+Minnesota!D17+Mississippi!D17+Missouri!D17+Montana!D17+Nebraska!D17+Nevada!D17+'New Hampshire'!D17+'New Jersey'!D17+'New Mexico'!D17+'New York'!D17+'North Carolina'!D17+'North Dakota'!D17+Ohio!D17+Oklahoma!D17+Oregon!D17+Pennsylvania!D17+'Puerto Rico'!D17+'Rhode Island'!D17+'South Carolina'!D17+'South Dakota '!D17+Tennessee!D17+Texas!D17+Utah!D17+Vermont!D17+Virginia!D17+Washington!D17+'West Virginia'!D17+Wisconsin!D17+Wyoming!D17</f>
        <v>1776000</v>
      </c>
      <c r="E17" s="3">
        <f>+Alabama!E17+Alaska!E17+Arizona!E17+Arkansas!E17+California!E17+Colorado!E17+Connecticut!E17+Delaware!E17+'District of Columbia'!E17+Florida!E17+Georgia!E17+Hawaii!E17+Idaho!E17+Illinois!E17+Indiana!E17+Iowa!E17+Kansas!E17+Kentucky!E17+Louisiana!E17+Maine!E17+Maryland!E17+Massachusettes!E17+Michigan!E17+Minnesota!E17+Mississippi!E17+Missouri!E17+Montana!E17+Nebraska!E17+Nevada!E17+'New Hampshire'!E17+'New Jersey'!E17+'New Mexico'!E17+'New York'!E17+'North Carolina'!E17+'North Dakota'!E17+Ohio!E17+Oklahoma!E17+Oregon!E17+Pennsylvania!E17+'Puerto Rico'!E17+'Rhode Island'!E17+'South Carolina'!E17+'South Dakota '!E17+Tennessee!E17+Texas!E17+Utah!E17+Vermont!E17+Virginia!E17+Washington!E17+'West Virginia'!E17+Wisconsin!E17+Wyoming!E17</f>
        <v>98837000</v>
      </c>
      <c r="F17" s="3">
        <f>+Alabama!F17+Alaska!F17+Arizona!F17+Arkansas!F17+California!F17+Colorado!F17+Connecticut!F17+Delaware!F17+'District of Columbia'!F17+Florida!F17+Georgia!F17+Hawaii!F17+Idaho!F17+Illinois!F17+Indiana!F17+Iowa!F17+Kansas!F17+Kentucky!F17+Louisiana!F17+Maine!F17+Maryland!F17+Massachusettes!F17+Michigan!F17+Minnesota!F17+Mississippi!F17+Missouri!F17+Montana!F17+Nebraska!F17+Nevada!F17+'New Hampshire'!F17+'New Jersey'!F17+'New Mexico'!F17+'New York'!F17+'North Carolina'!F17+'North Dakota'!F17+Ohio!F17+Oklahoma!F17+Oregon!F17+Pennsylvania!F17+'Puerto Rico'!F17+'Rhode Island'!F17+'South Carolina'!F17+'South Dakota '!F17+Tennessee!F17+Texas!F17+Utah!F17+Vermont!F17+Virginia!F17+Washington!F17+'West Virginia'!F17+Wisconsin!F17+Wyoming!F17</f>
        <v>10576000</v>
      </c>
      <c r="G17" s="3">
        <f>+Alabama!G17+Alaska!G17+Arizona!G17+Arkansas!G17+California!G17+Colorado!G17+Connecticut!G17+Delaware!G17+'District of Columbia'!G17+Florida!G17+Georgia!G17+Hawaii!G17+Idaho!G17+Illinois!G17+Indiana!G17+Iowa!G17+Kansas!G17+Kentucky!G17+Louisiana!G17+Maine!G17+Maryland!G17+Massachusettes!G17+Michigan!G17+Minnesota!G17+Mississippi!G17+Missouri!G17+Montana!G17+Nebraska!G17+Nevada!G17+'New Hampshire'!G17+'New Jersey'!G17+'New Mexico'!G17+'New York'!G17+'North Carolina'!G17+'North Dakota'!G17+Ohio!G17+Oklahoma!G17+Oregon!G17+Pennsylvania!G17+'Puerto Rico'!G17+'Rhode Island'!G17+'South Carolina'!G17+'South Dakota '!G17+Tennessee!G17+Texas!G17+Utah!G17+Vermont!G17+Virginia!G17+Washington!G17+'West Virginia'!G17+Wisconsin!G17+Wyoming!G17</f>
        <v>2300000</v>
      </c>
      <c r="H17" s="3">
        <f>+Alabama!H17+Alaska!H17+Arizona!H17+Arkansas!H17+California!H17+Colorado!H17+Connecticut!H17+Delaware!H17+'District of Columbia'!H17+Florida!H17+Georgia!H17+Hawaii!H17+Idaho!H17+Illinois!H17+Indiana!H17+Iowa!H17+Kansas!H17+Kentucky!H17+Louisiana!H17+Maine!H17+Maryland!H17+Massachusettes!H17+Michigan!H17+Minnesota!H17+Mississippi!H17+Missouri!H17+Montana!H17+Nebraska!H17+Nevada!H17+'New Hampshire'!H17+'New Jersey'!H17+'New Mexico'!H17+'New York'!H17+'North Carolina'!H17+'North Dakota'!H17+Ohio!H17+Oklahoma!H17+Oregon!H17+Pennsylvania!H17+'Puerto Rico'!H17+'Rhode Island'!H17+'South Carolina'!H17+'South Dakota '!H17+Tennessee!H17+Texas!H17+Utah!H17+Vermont!H17+Virginia!H17+Washington!H17+'West Virginia'!H17+Wisconsin!H17+Wyoming!H17</f>
        <v>122679000</v>
      </c>
      <c r="I17" s="3">
        <f>+Alabama!I17+Alaska!I17+Arizona!I17+Arkansas!I17+California!I17+Colorado!I17+Connecticut!I17+Delaware!I17+'District of Columbia'!I17+Florida!I17+Georgia!I17+Hawaii!I17+Idaho!I17+Illinois!I17+Indiana!I17+Iowa!I17+Kansas!I17+Kentucky!I17+Louisiana!I17+Maine!I17+Maryland!I17+Massachusettes!I17+Michigan!I17+Minnesota!I17+Mississippi!I17+Missouri!I17+Montana!I17+Nebraska!I17+Nevada!I17+'New Hampshire'!I17+'New Jersey'!I17+'New Mexico'!I17+'New York'!I17+'North Carolina'!I17+'North Dakota'!I17+Ohio!I17+Oklahoma!I17+Oregon!I17+Pennsylvania!I17+'Puerto Rico'!I17+'Rhode Island'!I17+'South Carolina'!I17+'South Dakota '!I17+Tennessee!I17+Texas!I17+Utah!I17+Vermont!I17+Virginia!I17+Washington!I17+'West Virginia'!I17+Wisconsin!I17+Wyoming!I17</f>
        <v>9866000</v>
      </c>
      <c r="J17" s="3">
        <f>+Alabama!J17+Alaska!J17+Arizona!J17+Arkansas!J17+California!J17+Colorado!J17+Connecticut!J17+Delaware!J17+'District of Columbia'!J17+Florida!J17+Georgia!J17+Hawaii!J17+Idaho!J17+Illinois!J17+Indiana!J17+Iowa!J17+Kansas!J17+Kentucky!J17+Louisiana!J17+Maine!J17+Maryland!J17+Massachusettes!J17+Michigan!J17+Minnesota!J17+Mississippi!J17+Missouri!J17+Montana!J17+Nebraska!J17+Nevada!J17+'New Hampshire'!J17+'New Jersey'!J17+'New Mexico'!J17+'New York'!J17+'North Carolina'!J17+'North Dakota'!J17+Ohio!J17+Oklahoma!J17+Oregon!J17+Pennsylvania!J17+'Puerto Rico'!J17+'Rhode Island'!J17+'South Carolina'!J17+'South Dakota '!J17+Tennessee!J17+Texas!J17+Utah!J17+Vermont!J17+Virginia!J17+Washington!J17+'West Virginia'!J17+Wisconsin!J17+Wyoming!J17</f>
        <v>0</v>
      </c>
      <c r="K17" s="3">
        <f t="shared" si="0"/>
        <v>1313957000</v>
      </c>
      <c r="L17" s="3">
        <f t="shared" si="0"/>
        <v>31660000</v>
      </c>
      <c r="M17" s="3">
        <f t="shared" si="0"/>
        <v>4076000</v>
      </c>
      <c r="N17" s="3">
        <f t="shared" si="1"/>
        <v>1349693000</v>
      </c>
      <c r="O17" s="6"/>
      <c r="P17" s="1">
        <v>16</v>
      </c>
    </row>
    <row r="18" spans="1:16" x14ac:dyDescent="0.15">
      <c r="A18" s="1">
        <v>1986</v>
      </c>
      <c r="B18" s="3">
        <f>+Alabama!B18+Alaska!B18+Arizona!B18+Arkansas!B18+California!B18+Colorado!B18+Connecticut!B18+Delaware!B18+'District of Columbia'!B18+Florida!B18+Georgia!B18+Hawaii!B18+Idaho!B18+Illinois!B18+Indiana!B18+Iowa!B18+Kansas!B18+Kentucky!B18+Louisiana!B18+Maine!B18+Maryland!B18+Massachusettes!B18+Michigan!B18+Minnesota!B18+Mississippi!B18+Missouri!B18+Montana!B18+Nebraska!B18+Nevada!B18+'New Hampshire'!B18+'New Jersey'!B18+'New Mexico'!B18+'New York'!B18+'North Carolina'!B18+'North Dakota'!B18+Ohio!B18+Oklahoma!B18+Oregon!B18+Pennsylvania!B18+'Puerto Rico'!B18+'Rhode Island'!B18+'South Carolina'!B18+'South Dakota '!B18+Tennessee!B18+Texas!B18+Utah!B18+Vermont!B18+Virginia!B18+Washington!B18+'West Virginia'!B18+Wisconsin!B18+Wyoming!B18</f>
        <v>1155053000</v>
      </c>
      <c r="C18" s="3">
        <f>+Alabama!C18+Alaska!C18+Arizona!C18+Arkansas!C18+California!C18+Colorado!C18+Connecticut!C18+Delaware!C18+'District of Columbia'!C18+Florida!C18+Georgia!C18+Hawaii!C18+Idaho!C18+Illinois!C18+Indiana!C18+Iowa!C18+Kansas!C18+Kentucky!C18+Louisiana!C18+Maine!C18+Maryland!C18+Massachusettes!C18+Michigan!C18+Minnesota!C18+Mississippi!C18+Missouri!C18+Montana!C18+Nebraska!C18+Nevada!C18+'New Hampshire'!C18+'New Jersey'!C18+'New Mexico'!C18+'New York'!C18+'North Carolina'!C18+'North Dakota'!C18+Ohio!C18+Oklahoma!C18+Oregon!C18+Pennsylvania!C18+'Puerto Rico'!C18+'Rhode Island'!C18+'South Carolina'!C18+'South Dakota '!C18+Tennessee!C18+Texas!C18+Utah!C18+Vermont!C18+Virginia!C18+Washington!C18+'West Virginia'!C18+Wisconsin!C18+Wyoming!C18</f>
        <v>7151000</v>
      </c>
      <c r="D18" s="3">
        <f>+Alabama!D18+Alaska!D18+Arizona!D18+Arkansas!D18+California!D18+Colorado!D18+Connecticut!D18+Delaware!D18+'District of Columbia'!D18+Florida!D18+Georgia!D18+Hawaii!D18+Idaho!D18+Illinois!D18+Indiana!D18+Iowa!D18+Kansas!D18+Kentucky!D18+Louisiana!D18+Maine!D18+Maryland!D18+Massachusettes!D18+Michigan!D18+Minnesota!D18+Mississippi!D18+Missouri!D18+Montana!D18+Nebraska!D18+Nevada!D18+'New Hampshire'!D18+'New Jersey'!D18+'New Mexico'!D18+'New York'!D18+'North Carolina'!D18+'North Dakota'!D18+Ohio!D18+Oklahoma!D18+Oregon!D18+Pennsylvania!D18+'Puerto Rico'!D18+'Rhode Island'!D18+'South Carolina'!D18+'South Dakota '!D18+Tennessee!D18+Texas!D18+Utah!D18+Vermont!D18+Virginia!D18+Washington!D18+'West Virginia'!D18+Wisconsin!D18+Wyoming!D18</f>
        <v>4377000</v>
      </c>
      <c r="E18" s="3">
        <f>+Alabama!E18+Alaska!E18+Arizona!E18+Arkansas!E18+California!E18+Colorado!E18+Connecticut!E18+Delaware!E18+'District of Columbia'!E18+Florida!E18+Georgia!E18+Hawaii!E18+Idaho!E18+Illinois!E18+Indiana!E18+Iowa!E18+Kansas!E18+Kentucky!E18+Louisiana!E18+Maine!E18+Maryland!E18+Massachusettes!E18+Michigan!E18+Minnesota!E18+Mississippi!E18+Missouri!E18+Montana!E18+Nebraska!E18+Nevada!E18+'New Hampshire'!E18+'New Jersey'!E18+'New Mexico'!E18+'New York'!E18+'North Carolina'!E18+'North Dakota'!E18+Ohio!E18+Oklahoma!E18+Oregon!E18+Pennsylvania!E18+'Puerto Rico'!E18+'Rhode Island'!E18+'South Carolina'!E18+'South Dakota '!E18+Tennessee!E18+Texas!E18+Utah!E18+Vermont!E18+Virginia!E18+Washington!E18+'West Virginia'!E18+Wisconsin!E18+Wyoming!E18</f>
        <v>130201000</v>
      </c>
      <c r="F18" s="3">
        <f>+Alabama!F18+Alaska!F18+Arizona!F18+Arkansas!F18+California!F18+Colorado!F18+Connecticut!F18+Delaware!F18+'District of Columbia'!F18+Florida!F18+Georgia!F18+Hawaii!F18+Idaho!F18+Illinois!F18+Indiana!F18+Iowa!F18+Kansas!F18+Kentucky!F18+Louisiana!F18+Maine!F18+Maryland!F18+Massachusettes!F18+Michigan!F18+Minnesota!F18+Mississippi!F18+Missouri!F18+Montana!F18+Nebraska!F18+Nevada!F18+'New Hampshire'!F18+'New Jersey'!F18+'New Mexico'!F18+'New York'!F18+'North Carolina'!F18+'North Dakota'!F18+Ohio!F18+Oklahoma!F18+Oregon!F18+Pennsylvania!F18+'Puerto Rico'!F18+'Rhode Island'!F18+'South Carolina'!F18+'South Dakota '!F18+Tennessee!F18+Texas!F18+Utah!F18+Vermont!F18+Virginia!F18+Washington!F18+'West Virginia'!F18+Wisconsin!F18+Wyoming!F18</f>
        <v>12397000</v>
      </c>
      <c r="G18" s="3">
        <f>+Alabama!G18+Alaska!G18+Arizona!G18+Arkansas!G18+California!G18+Colorado!G18+Connecticut!G18+Delaware!G18+'District of Columbia'!G18+Florida!G18+Georgia!G18+Hawaii!G18+Idaho!G18+Illinois!G18+Indiana!G18+Iowa!G18+Kansas!G18+Kentucky!G18+Louisiana!G18+Maine!G18+Maryland!G18+Massachusettes!G18+Michigan!G18+Minnesota!G18+Mississippi!G18+Missouri!G18+Montana!G18+Nebraska!G18+Nevada!G18+'New Hampshire'!G18+'New Jersey'!G18+'New Mexico'!G18+'New York'!G18+'North Carolina'!G18+'North Dakota'!G18+Ohio!G18+Oklahoma!G18+Oregon!G18+Pennsylvania!G18+'Puerto Rico'!G18+'Rhode Island'!G18+'South Carolina'!G18+'South Dakota '!G18+Tennessee!G18+Texas!G18+Utah!G18+Vermont!G18+Virginia!G18+Washington!G18+'West Virginia'!G18+Wisconsin!G18+Wyoming!G18</f>
        <v>2300000</v>
      </c>
      <c r="H18" s="3">
        <f>+Alabama!H18+Alaska!H18+Arizona!H18+Arkansas!H18+California!H18+Colorado!H18+Connecticut!H18+Delaware!H18+'District of Columbia'!H18+Florida!H18+Georgia!H18+Hawaii!H18+Idaho!H18+Illinois!H18+Indiana!H18+Iowa!H18+Kansas!H18+Kentucky!H18+Louisiana!H18+Maine!H18+Maryland!H18+Massachusettes!H18+Michigan!H18+Minnesota!H18+Mississippi!H18+Missouri!H18+Montana!H18+Nebraska!H18+Nevada!H18+'New Hampshire'!H18+'New Jersey'!H18+'New Mexico'!H18+'New York'!H18+'North Carolina'!H18+'North Dakota'!H18+Ohio!H18+Oklahoma!H18+Oregon!H18+Pennsylvania!H18+'Puerto Rico'!H18+'Rhode Island'!H18+'South Carolina'!H18+'South Dakota '!H18+Tennessee!H18+Texas!H18+Utah!H18+Vermont!H18+Virginia!H18+Washington!H18+'West Virginia'!H18+Wisconsin!H18+Wyoming!H18</f>
        <v>127029000</v>
      </c>
      <c r="I18" s="3">
        <f>+Alabama!I18+Alaska!I18+Arizona!I18+Arkansas!I18+California!I18+Colorado!I18+Connecticut!I18+Delaware!I18+'District of Columbia'!I18+Florida!I18+Georgia!I18+Hawaii!I18+Idaho!I18+Illinois!I18+Indiana!I18+Iowa!I18+Kansas!I18+Kentucky!I18+Louisiana!I18+Maine!I18+Maryland!I18+Massachusettes!I18+Michigan!I18+Minnesota!I18+Mississippi!I18+Missouri!I18+Montana!I18+Nebraska!I18+Nevada!I18+'New Hampshire'!I18+'New Jersey'!I18+'New Mexico'!I18+'New York'!I18+'North Carolina'!I18+'North Dakota'!I18+Ohio!I18+Oklahoma!I18+Oregon!I18+Pennsylvania!I18+'Puerto Rico'!I18+'Rhode Island'!I18+'South Carolina'!I18+'South Dakota '!I18+Tennessee!I18+Texas!I18+Utah!I18+Vermont!I18+Virginia!I18+Washington!I18+'West Virginia'!I18+Wisconsin!I18+Wyoming!I18</f>
        <v>11020000</v>
      </c>
      <c r="J18" s="3">
        <f>+Alabama!J18+Alaska!J18+Arizona!J18+Arkansas!J18+California!J18+Colorado!J18+Connecticut!J18+Delaware!J18+'District of Columbia'!J18+Florida!J18+Georgia!J18+Hawaii!J18+Idaho!J18+Illinois!J18+Indiana!J18+Iowa!J18+Kansas!J18+Kentucky!J18+Louisiana!J18+Maine!J18+Maryland!J18+Massachusettes!J18+Michigan!J18+Minnesota!J18+Mississippi!J18+Missouri!J18+Montana!J18+Nebraska!J18+Nevada!J18+'New Hampshire'!J18+'New Jersey'!J18+'New Mexico'!J18+'New York'!J18+'North Carolina'!J18+'North Dakota'!J18+Ohio!J18+Oklahoma!J18+Oregon!J18+Pennsylvania!J18+'Puerto Rico'!J18+'Rhode Island'!J18+'South Carolina'!J18+'South Dakota '!J18+Tennessee!J18+Texas!J18+Utah!J18+Vermont!J18+Virginia!J18+Washington!J18+'West Virginia'!J18+Wisconsin!J18+Wyoming!J18</f>
        <v>0</v>
      </c>
      <c r="K18" s="3">
        <f t="shared" si="0"/>
        <v>1412283000</v>
      </c>
      <c r="L18" s="3">
        <f t="shared" si="0"/>
        <v>30568000</v>
      </c>
      <c r="M18" s="3">
        <f t="shared" si="0"/>
        <v>6677000</v>
      </c>
      <c r="N18" s="3">
        <f t="shared" si="1"/>
        <v>1449528000</v>
      </c>
      <c r="P18" s="1">
        <v>17</v>
      </c>
    </row>
    <row r="19" spans="1:16" x14ac:dyDescent="0.15">
      <c r="A19" s="1">
        <v>1987</v>
      </c>
      <c r="B19" s="3">
        <f>+Alabama!B19+Alaska!B19+Arizona!B19+Arkansas!B19+California!B19+Colorado!B19+Connecticut!B19+Delaware!B19+'District of Columbia'!B19+Florida!B19+Georgia!B19+Hawaii!B19+Idaho!B19+Illinois!B19+Indiana!B19+Iowa!B19+Kansas!B19+Kentucky!B19+Louisiana!B19+Maine!B19+Maryland!B19+Massachusettes!B19+Michigan!B19+Minnesota!B19+Mississippi!B19+Missouri!B19+Montana!B19+Nebraska!B19+Nevada!B19+'New Hampshire'!B19+'New Jersey'!B19+'New Mexico'!B19+'New York'!B19+'North Carolina'!B19+'North Dakota'!B19+Ohio!B19+Oklahoma!B19+Oregon!B19+Pennsylvania!B19+'Puerto Rico'!B19+'Rhode Island'!B19+'South Carolina'!B19+'South Dakota '!B19+Tennessee!B19+Texas!B19+Utah!B19+Vermont!B19+Virginia!B19+Washington!B19+'West Virginia'!B19+Wisconsin!B19+Wyoming!B19</f>
        <v>1251205000</v>
      </c>
      <c r="C19" s="3">
        <f>+Alabama!C19+Alaska!C19+Arizona!C19+Arkansas!C19+California!C19+Colorado!C19+Connecticut!C19+Delaware!C19+'District of Columbia'!C19+Florida!C19+Georgia!C19+Hawaii!C19+Idaho!C19+Illinois!C19+Indiana!C19+Iowa!C19+Kansas!C19+Kentucky!C19+Louisiana!C19+Maine!C19+Maryland!C19+Massachusettes!C19+Michigan!C19+Minnesota!C19+Mississippi!C19+Missouri!C19+Montana!C19+Nebraska!C19+Nevada!C19+'New Hampshire'!C19+'New Jersey'!C19+'New Mexico'!C19+'New York'!C19+'North Carolina'!C19+'North Dakota'!C19+Ohio!C19+Oklahoma!C19+Oregon!C19+Pennsylvania!C19+'Puerto Rico'!C19+'Rhode Island'!C19+'South Carolina'!C19+'South Dakota '!C19+Tennessee!C19+Texas!C19+Utah!C19+Vermont!C19+Virginia!C19+Washington!C19+'West Virginia'!C19+Wisconsin!C19+Wyoming!C19</f>
        <v>13255000</v>
      </c>
      <c r="D19" s="3">
        <f>+Alabama!D19+Alaska!D19+Arizona!D19+Arkansas!D19+California!D19+Colorado!D19+Connecticut!D19+Delaware!D19+'District of Columbia'!D19+Florida!D19+Georgia!D19+Hawaii!D19+Idaho!D19+Illinois!D19+Indiana!D19+Iowa!D19+Kansas!D19+Kentucky!D19+Louisiana!D19+Maine!D19+Maryland!D19+Massachusettes!D19+Michigan!D19+Minnesota!D19+Mississippi!D19+Missouri!D19+Montana!D19+Nebraska!D19+Nevada!D19+'New Hampshire'!D19+'New Jersey'!D19+'New Mexico'!D19+'New York'!D19+'North Carolina'!D19+'North Dakota'!D19+Ohio!D19+Oklahoma!D19+Oregon!D19+Pennsylvania!D19+'Puerto Rico'!D19+'Rhode Island'!D19+'South Carolina'!D19+'South Dakota '!D19+Tennessee!D19+Texas!D19+Utah!D19+Vermont!D19+Virginia!D19+Washington!D19+'West Virginia'!D19+Wisconsin!D19+Wyoming!D19</f>
        <v>15775000</v>
      </c>
      <c r="E19" s="3">
        <f>+Alabama!E19+Alaska!E19+Arizona!E19+Arkansas!E19+California!E19+Colorado!E19+Connecticut!E19+Delaware!E19+'District of Columbia'!E19+Florida!E19+Georgia!E19+Hawaii!E19+Idaho!E19+Illinois!E19+Indiana!E19+Iowa!E19+Kansas!E19+Kentucky!E19+Louisiana!E19+Maine!E19+Maryland!E19+Massachusettes!E19+Michigan!E19+Minnesota!E19+Mississippi!E19+Missouri!E19+Montana!E19+Nebraska!E19+Nevada!E19+'New Hampshire'!E19+'New Jersey'!E19+'New Mexico'!E19+'New York'!E19+'North Carolina'!E19+'North Dakota'!E19+Ohio!E19+Oklahoma!E19+Oregon!E19+Pennsylvania!E19+'Puerto Rico'!E19+'Rhode Island'!E19+'South Carolina'!E19+'South Dakota '!E19+Tennessee!E19+Texas!E19+Utah!E19+Vermont!E19+Virginia!E19+Washington!E19+'West Virginia'!E19+Wisconsin!E19+Wyoming!E19</f>
        <v>131439000</v>
      </c>
      <c r="F19" s="3">
        <f>+Alabama!F19+Alaska!F19+Arizona!F19+Arkansas!F19+California!F19+Colorado!F19+Connecticut!F19+Delaware!F19+'District of Columbia'!F19+Florida!F19+Georgia!F19+Hawaii!F19+Idaho!F19+Illinois!F19+Indiana!F19+Iowa!F19+Kansas!F19+Kentucky!F19+Louisiana!F19+Maine!F19+Maryland!F19+Massachusettes!F19+Michigan!F19+Minnesota!F19+Mississippi!F19+Missouri!F19+Montana!F19+Nebraska!F19+Nevada!F19+'New Hampshire'!F19+'New Jersey'!F19+'New Mexico'!F19+'New York'!F19+'North Carolina'!F19+'North Dakota'!F19+Ohio!F19+Oklahoma!F19+Oregon!F19+Pennsylvania!F19+'Puerto Rico'!F19+'Rhode Island'!F19+'South Carolina'!F19+'South Dakota '!F19+Tennessee!F19+Texas!F19+Utah!F19+Vermont!F19+Virginia!F19+Washington!F19+'West Virginia'!F19+Wisconsin!F19+Wyoming!F19</f>
        <v>14173000</v>
      </c>
      <c r="G19" s="3">
        <f>+Alabama!G19+Alaska!G19+Arizona!G19+Arkansas!G19+California!G19+Colorado!G19+Connecticut!G19+Delaware!G19+'District of Columbia'!G19+Florida!G19+Georgia!G19+Hawaii!G19+Idaho!G19+Illinois!G19+Indiana!G19+Iowa!G19+Kansas!G19+Kentucky!G19+Louisiana!G19+Maine!G19+Maryland!G19+Massachusettes!G19+Michigan!G19+Minnesota!G19+Mississippi!G19+Missouri!G19+Montana!G19+Nebraska!G19+Nevada!G19+'New Hampshire'!G19+'New Jersey'!G19+'New Mexico'!G19+'New York'!G19+'North Carolina'!G19+'North Dakota'!G19+Ohio!G19+Oklahoma!G19+Oregon!G19+Pennsylvania!G19+'Puerto Rico'!G19+'Rhode Island'!G19+'South Carolina'!G19+'South Dakota '!G19+Tennessee!G19+Texas!G19+Utah!G19+Vermont!G19+Virginia!G19+Washington!G19+'West Virginia'!G19+Wisconsin!G19+Wyoming!G19</f>
        <v>400000</v>
      </c>
      <c r="H19" s="3">
        <f>+Alabama!H19+Alaska!H19+Arizona!H19+Arkansas!H19+California!H19+Colorado!H19+Connecticut!H19+Delaware!H19+'District of Columbia'!H19+Florida!H19+Georgia!H19+Hawaii!H19+Idaho!H19+Illinois!H19+Indiana!H19+Iowa!H19+Kansas!H19+Kentucky!H19+Louisiana!H19+Maine!H19+Maryland!H19+Massachusettes!H19+Michigan!H19+Minnesota!H19+Mississippi!H19+Missouri!H19+Montana!H19+Nebraska!H19+Nevada!H19+'New Hampshire'!H19+'New Jersey'!H19+'New Mexico'!H19+'New York'!H19+'North Carolina'!H19+'North Dakota'!H19+Ohio!H19+Oklahoma!H19+Oregon!H19+Pennsylvania!H19+'Puerto Rico'!H19+'Rhode Island'!H19+'South Carolina'!H19+'South Dakota '!H19+Tennessee!H19+Texas!H19+Utah!H19+Vermont!H19+Virginia!H19+Washington!H19+'West Virginia'!H19+Wisconsin!H19+Wyoming!H19</f>
        <v>144056000</v>
      </c>
      <c r="I19" s="3">
        <f>+Alabama!I19+Alaska!I19+Arizona!I19+Arkansas!I19+California!I19+Colorado!I19+Connecticut!I19+Delaware!I19+'District of Columbia'!I19+Florida!I19+Georgia!I19+Hawaii!I19+Idaho!I19+Illinois!I19+Indiana!I19+Iowa!I19+Kansas!I19+Kentucky!I19+Louisiana!I19+Maine!I19+Maryland!I19+Massachusettes!I19+Michigan!I19+Minnesota!I19+Mississippi!I19+Missouri!I19+Montana!I19+Nebraska!I19+Nevada!I19+'New Hampshire'!I19+'New Jersey'!I19+'New Mexico'!I19+'New York'!I19+'North Carolina'!I19+'North Dakota'!I19+Ohio!I19+Oklahoma!I19+Oregon!I19+Pennsylvania!I19+'Puerto Rico'!I19+'Rhode Island'!I19+'South Carolina'!I19+'South Dakota '!I19+Tennessee!I19+Texas!I19+Utah!I19+Vermont!I19+Virginia!I19+Washington!I19+'West Virginia'!I19+Wisconsin!I19+Wyoming!I19</f>
        <v>11793000</v>
      </c>
      <c r="J19" s="3">
        <f>+Alabama!J19+Alaska!J19+Arizona!J19+Arkansas!J19+California!J19+Colorado!J19+Connecticut!J19+Delaware!J19+'District of Columbia'!J19+Florida!J19+Georgia!J19+Hawaii!J19+Idaho!J19+Illinois!J19+Indiana!J19+Iowa!J19+Kansas!J19+Kentucky!J19+Louisiana!J19+Maine!J19+Maryland!J19+Massachusettes!J19+Michigan!J19+Minnesota!J19+Mississippi!J19+Missouri!J19+Montana!J19+Nebraska!J19+Nevada!J19+'New Hampshire'!J19+'New Jersey'!J19+'New Mexico'!J19+'New York'!J19+'North Carolina'!J19+'North Dakota'!J19+Ohio!J19+Oklahoma!J19+Oregon!J19+Pennsylvania!J19+'Puerto Rico'!J19+'Rhode Island'!J19+'South Carolina'!J19+'South Dakota '!J19+Tennessee!J19+Texas!J19+Utah!J19+Vermont!J19+Virginia!J19+Washington!J19+'West Virginia'!J19+Wisconsin!J19+Wyoming!J19</f>
        <v>0</v>
      </c>
      <c r="K19" s="3">
        <f t="shared" si="0"/>
        <v>1526700000</v>
      </c>
      <c r="L19" s="3">
        <f t="shared" si="0"/>
        <v>39221000</v>
      </c>
      <c r="M19" s="3">
        <f t="shared" si="0"/>
        <v>16175000</v>
      </c>
      <c r="N19" s="3">
        <f t="shared" si="1"/>
        <v>1582096000</v>
      </c>
      <c r="P19" s="1">
        <v>18</v>
      </c>
    </row>
    <row r="20" spans="1:16" x14ac:dyDescent="0.15">
      <c r="A20" s="1">
        <v>1988</v>
      </c>
      <c r="B20" s="3">
        <f>+Alabama!B20+Alaska!B20+Arizona!B20+Arkansas!B20+California!B20+Colorado!B20+Connecticut!B20+Delaware!B20+'District of Columbia'!B20+Florida!B20+Georgia!B20+Hawaii!B20+Idaho!B20+Illinois!B20+Indiana!B20+Iowa!B20+Kansas!B20+Kentucky!B20+Louisiana!B20+Maine!B20+Maryland!B20+Massachusettes!B20+Michigan!B20+Minnesota!B20+Mississippi!B20+Missouri!B20+Montana!B20+Nebraska!B20+Nevada!B20+'New Hampshire'!B20+'New Jersey'!B20+'New Mexico'!B20+'New York'!B20+'North Carolina'!B20+'North Dakota'!B20+Ohio!B20+Oklahoma!B20+Oregon!B20+Pennsylvania!B20+'Puerto Rico'!B20+'Rhode Island'!B20+'South Carolina'!B20+'South Dakota '!B20+Tennessee!B20+Texas!B20+Utah!B20+Vermont!B20+Virginia!B20+Washington!B20+'West Virginia'!B20+Wisconsin!B20+Wyoming!B20</f>
        <v>1277767000</v>
      </c>
      <c r="C20" s="3">
        <f>+Alabama!C20+Alaska!C20+Arizona!C20+Arkansas!C20+California!C20+Colorado!C20+Connecticut!C20+Delaware!C20+'District of Columbia'!C20+Florida!C20+Georgia!C20+Hawaii!C20+Idaho!C20+Illinois!C20+Indiana!C20+Iowa!C20+Kansas!C20+Kentucky!C20+Louisiana!C20+Maine!C20+Maryland!C20+Massachusettes!C20+Michigan!C20+Minnesota!C20+Mississippi!C20+Missouri!C20+Montana!C20+Nebraska!C20+Nevada!C20+'New Hampshire'!C20+'New Jersey'!C20+'New Mexico'!C20+'New York'!C20+'North Carolina'!C20+'North Dakota'!C20+Ohio!C20+Oklahoma!C20+Oregon!C20+Pennsylvania!C20+'Puerto Rico'!C20+'Rhode Island'!C20+'South Carolina'!C20+'South Dakota '!C20+Tennessee!C20+Texas!C20+Utah!C20+Vermont!C20+Virginia!C20+Washington!C20+'West Virginia'!C20+Wisconsin!C20+Wyoming!C20</f>
        <v>15919000</v>
      </c>
      <c r="D20" s="3">
        <f>+Alabama!D20+Alaska!D20+Arizona!D20+Arkansas!D20+California!D20+Colorado!D20+Connecticut!D20+Delaware!D20+'District of Columbia'!D20+Florida!D20+Georgia!D20+Hawaii!D20+Idaho!D20+Illinois!D20+Indiana!D20+Iowa!D20+Kansas!D20+Kentucky!D20+Louisiana!D20+Maine!D20+Maryland!D20+Massachusettes!D20+Michigan!D20+Minnesota!D20+Mississippi!D20+Missouri!D20+Montana!D20+Nebraska!D20+Nevada!D20+'New Hampshire'!D20+'New Jersey'!D20+'New Mexico'!D20+'New York'!D20+'North Carolina'!D20+'North Dakota'!D20+Ohio!D20+Oklahoma!D20+Oregon!D20+Pennsylvania!D20+'Puerto Rico'!D20+'Rhode Island'!D20+'South Carolina'!D20+'South Dakota '!D20+Tennessee!D20+Texas!D20+Utah!D20+Vermont!D20+Virginia!D20+Washington!D20+'West Virginia'!D20+Wisconsin!D20+Wyoming!D20</f>
        <v>1537000</v>
      </c>
      <c r="E20" s="3">
        <f>+Alabama!E20+Alaska!E20+Arizona!E20+Arkansas!E20+California!E20+Colorado!E20+Connecticut!E20+Delaware!E20+'District of Columbia'!E20+Florida!E20+Georgia!E20+Hawaii!E20+Idaho!E20+Illinois!E20+Indiana!E20+Iowa!E20+Kansas!E20+Kentucky!E20+Louisiana!E20+Maine!E20+Maryland!E20+Massachusettes!E20+Michigan!E20+Minnesota!E20+Mississippi!E20+Missouri!E20+Montana!E20+Nebraska!E20+Nevada!E20+'New Hampshire'!E20+'New Jersey'!E20+'New Mexico'!E20+'New York'!E20+'North Carolina'!E20+'North Dakota'!E20+Ohio!E20+Oklahoma!E20+Oregon!E20+Pennsylvania!E20+'Puerto Rico'!E20+'Rhode Island'!E20+'South Carolina'!E20+'South Dakota '!E20+Tennessee!E20+Texas!E20+Utah!E20+Vermont!E20+Virginia!E20+Washington!E20+'West Virginia'!E20+Wisconsin!E20+Wyoming!E20</f>
        <v>140936000</v>
      </c>
      <c r="F20" s="3">
        <f>+Alabama!F20+Alaska!F20+Arizona!F20+Arkansas!F20+California!F20+Colorado!F20+Connecticut!F20+Delaware!F20+'District of Columbia'!F20+Florida!F20+Georgia!F20+Hawaii!F20+Idaho!F20+Illinois!F20+Indiana!F20+Iowa!F20+Kansas!F20+Kentucky!F20+Louisiana!F20+Maine!F20+Maryland!F20+Massachusettes!F20+Michigan!F20+Minnesota!F20+Mississippi!F20+Missouri!F20+Montana!F20+Nebraska!F20+Nevada!F20+'New Hampshire'!F20+'New Jersey'!F20+'New Mexico'!F20+'New York'!F20+'North Carolina'!F20+'North Dakota'!F20+Ohio!F20+Oklahoma!F20+Oregon!F20+Pennsylvania!F20+'Puerto Rico'!F20+'Rhode Island'!F20+'South Carolina'!F20+'South Dakota '!F20+Tennessee!F20+Texas!F20+Utah!F20+Vermont!F20+Virginia!F20+Washington!F20+'West Virginia'!F20+Wisconsin!F20+Wyoming!F20</f>
        <v>15381000</v>
      </c>
      <c r="G20" s="3">
        <f>+Alabama!G20+Alaska!G20+Arizona!G20+Arkansas!G20+California!G20+Colorado!G20+Connecticut!G20+Delaware!G20+'District of Columbia'!G20+Florida!G20+Georgia!G20+Hawaii!G20+Idaho!G20+Illinois!G20+Indiana!G20+Iowa!G20+Kansas!G20+Kentucky!G20+Louisiana!G20+Maine!G20+Maryland!G20+Massachusettes!G20+Michigan!G20+Minnesota!G20+Mississippi!G20+Missouri!G20+Montana!G20+Nebraska!G20+Nevada!G20+'New Hampshire'!G20+'New Jersey'!G20+'New Mexico'!G20+'New York'!G20+'North Carolina'!G20+'North Dakota'!G20+Ohio!G20+Oklahoma!G20+Oregon!G20+Pennsylvania!G20+'Puerto Rico'!G20+'Rhode Island'!G20+'South Carolina'!G20+'South Dakota '!G20+Tennessee!G20+Texas!G20+Utah!G20+Vermont!G20+Virginia!G20+Washington!G20+'West Virginia'!G20+Wisconsin!G20+Wyoming!G20</f>
        <v>1097000</v>
      </c>
      <c r="H20" s="3">
        <f>+Alabama!H20+Alaska!H20+Arizona!H20+Arkansas!H20+California!H20+Colorado!H20+Connecticut!H20+Delaware!H20+'District of Columbia'!H20+Florida!H20+Georgia!H20+Hawaii!H20+Idaho!H20+Illinois!H20+Indiana!H20+Iowa!H20+Kansas!H20+Kentucky!H20+Louisiana!H20+Maine!H20+Maryland!H20+Massachusettes!H20+Michigan!H20+Minnesota!H20+Mississippi!H20+Missouri!H20+Montana!H20+Nebraska!H20+Nevada!H20+'New Hampshire'!H20+'New Jersey'!H20+'New Mexico'!H20+'New York'!H20+'North Carolina'!H20+'North Dakota'!H20+Ohio!H20+Oklahoma!H20+Oregon!H20+Pennsylvania!H20+'Puerto Rico'!H20+'Rhode Island'!H20+'South Carolina'!H20+'South Dakota '!H20+Tennessee!H20+Texas!H20+Utah!H20+Vermont!H20+Virginia!H20+Washington!H20+'West Virginia'!H20+Wisconsin!H20+Wyoming!H20</f>
        <v>154260000</v>
      </c>
      <c r="I20" s="3">
        <f>+Alabama!I20+Alaska!I20+Arizona!I20+Arkansas!I20+California!I20+Colorado!I20+Connecticut!I20+Delaware!I20+'District of Columbia'!I20+Florida!I20+Georgia!I20+Hawaii!I20+Idaho!I20+Illinois!I20+Indiana!I20+Iowa!I20+Kansas!I20+Kentucky!I20+Louisiana!I20+Maine!I20+Maryland!I20+Massachusettes!I20+Michigan!I20+Minnesota!I20+Mississippi!I20+Missouri!I20+Montana!I20+Nebraska!I20+Nevada!I20+'New Hampshire'!I20+'New Jersey'!I20+'New Mexico'!I20+'New York'!I20+'North Carolina'!I20+'North Dakota'!I20+Ohio!I20+Oklahoma!I20+Oregon!I20+Pennsylvania!I20+'Puerto Rico'!I20+'Rhode Island'!I20+'South Carolina'!I20+'South Dakota '!I20+Tennessee!I20+Texas!I20+Utah!I20+Vermont!I20+Virginia!I20+Washington!I20+'West Virginia'!I20+Wisconsin!I20+Wyoming!I20</f>
        <v>13939000</v>
      </c>
      <c r="J20" s="3">
        <f>+Alabama!J20+Alaska!J20+Arizona!J20+Arkansas!J20+California!J20+Colorado!J20+Connecticut!J20+Delaware!J20+'District of Columbia'!J20+Florida!J20+Georgia!J20+Hawaii!J20+Idaho!J20+Illinois!J20+Indiana!J20+Iowa!J20+Kansas!J20+Kentucky!J20+Louisiana!J20+Maine!J20+Maryland!J20+Massachusettes!J20+Michigan!J20+Minnesota!J20+Mississippi!J20+Missouri!J20+Montana!J20+Nebraska!J20+Nevada!J20+'New Hampshire'!J20+'New Jersey'!J20+'New Mexico'!J20+'New York'!J20+'North Carolina'!J20+'North Dakota'!J20+Ohio!J20+Oklahoma!J20+Oregon!J20+Pennsylvania!J20+'Puerto Rico'!J20+'Rhode Island'!J20+'South Carolina'!J20+'South Dakota '!J20+Tennessee!J20+Texas!J20+Utah!J20+Vermont!J20+Virginia!J20+Washington!J20+'West Virginia'!J20+Wisconsin!J20+Wyoming!J20</f>
        <v>0</v>
      </c>
      <c r="K20" s="3">
        <f t="shared" si="0"/>
        <v>1572963000</v>
      </c>
      <c r="L20" s="3">
        <f t="shared" si="0"/>
        <v>45239000</v>
      </c>
      <c r="M20" s="3">
        <f t="shared" si="0"/>
        <v>2634000</v>
      </c>
      <c r="N20" s="3">
        <f t="shared" si="1"/>
        <v>1620836000</v>
      </c>
      <c r="P20" s="1">
        <v>19</v>
      </c>
    </row>
    <row r="21" spans="1:16" x14ac:dyDescent="0.15">
      <c r="A21" s="1">
        <v>1989</v>
      </c>
      <c r="B21" s="3">
        <f>+Alabama!B21+Alaska!B21+Arizona!B21+Arkansas!B21+California!B21+Colorado!B21+Connecticut!B21+Delaware!B21+'District of Columbia'!B21+Florida!B21+Georgia!B21+Hawaii!B21+Idaho!B21+Illinois!B21+Indiana!B21+Iowa!B21+Kansas!B21+Kentucky!B21+Louisiana!B21+Maine!B21+Maryland!B21+Massachusettes!B21+Michigan!B21+Minnesota!B21+Mississippi!B21+Missouri!B21+Montana!B21+Nebraska!B21+Nevada!B21+'New Hampshire'!B21+'New Jersey'!B21+'New Mexico'!B21+'New York'!B21+'North Carolina'!B21+'North Dakota'!B21+Ohio!B21+Oklahoma!B21+Oregon!B21+Pennsylvania!B21+'Puerto Rico'!B21+'Rhode Island'!B21+'South Carolina'!B21+'South Dakota '!B21+Tennessee!B21+Texas!B21+Utah!B21+Vermont!B21+Virginia!B21+Washington!B21+'West Virginia'!B21+Wisconsin!B21+Wyoming!B21</f>
        <v>1347747000</v>
      </c>
      <c r="C21" s="3">
        <f>+Alabama!C21+Alaska!C21+Arizona!C21+Arkansas!C21+California!C21+Colorado!C21+Connecticut!C21+Delaware!C21+'District of Columbia'!C21+Florida!C21+Georgia!C21+Hawaii!C21+Idaho!C21+Illinois!C21+Indiana!C21+Iowa!C21+Kansas!C21+Kentucky!C21+Louisiana!C21+Maine!C21+Maryland!C21+Massachusettes!C21+Michigan!C21+Minnesota!C21+Mississippi!C21+Missouri!C21+Montana!C21+Nebraska!C21+Nevada!C21+'New Hampshire'!C21+'New Jersey'!C21+'New Mexico'!C21+'New York'!C21+'North Carolina'!C21+'North Dakota'!C21+Ohio!C21+Oklahoma!C21+Oregon!C21+Pennsylvania!C21+'Puerto Rico'!C21+'Rhode Island'!C21+'South Carolina'!C21+'South Dakota '!C21+Tennessee!C21+Texas!C21+Utah!C21+Vermont!C21+Virginia!C21+Washington!C21+'West Virginia'!C21+Wisconsin!C21+Wyoming!C21</f>
        <v>16089000</v>
      </c>
      <c r="D21" s="3">
        <f>+Alabama!D21+Alaska!D21+Arizona!D21+Arkansas!D21+California!D21+Colorado!D21+Connecticut!D21+Delaware!D21+'District of Columbia'!D21+Florida!D21+Georgia!D21+Hawaii!D21+Idaho!D21+Illinois!D21+Indiana!D21+Iowa!D21+Kansas!D21+Kentucky!D21+Louisiana!D21+Maine!D21+Maryland!D21+Massachusettes!D21+Michigan!D21+Minnesota!D21+Mississippi!D21+Missouri!D21+Montana!D21+Nebraska!D21+Nevada!D21+'New Hampshire'!D21+'New Jersey'!D21+'New Mexico'!D21+'New York'!D21+'North Carolina'!D21+'North Dakota'!D21+Ohio!D21+Oklahoma!D21+Oregon!D21+Pennsylvania!D21+'Puerto Rico'!D21+'Rhode Island'!D21+'South Carolina'!D21+'South Dakota '!D21+Tennessee!D21+Texas!D21+Utah!D21+Vermont!D21+Virginia!D21+Washington!D21+'West Virginia'!D21+Wisconsin!D21+Wyoming!D21</f>
        <v>1431000</v>
      </c>
      <c r="E21" s="3">
        <f>+Alabama!E21+Alaska!E21+Arizona!E21+Arkansas!E21+California!E21+Colorado!E21+Connecticut!E21+Delaware!E21+'District of Columbia'!E21+Florida!E21+Georgia!E21+Hawaii!E21+Idaho!E21+Illinois!E21+Indiana!E21+Iowa!E21+Kansas!E21+Kentucky!E21+Louisiana!E21+Maine!E21+Maryland!E21+Massachusettes!E21+Michigan!E21+Minnesota!E21+Mississippi!E21+Missouri!E21+Montana!E21+Nebraska!E21+Nevada!E21+'New Hampshire'!E21+'New Jersey'!E21+'New Mexico'!E21+'New York'!E21+'North Carolina'!E21+'North Dakota'!E21+Ohio!E21+Oklahoma!E21+Oregon!E21+Pennsylvania!E21+'Puerto Rico'!E21+'Rhode Island'!E21+'South Carolina'!E21+'South Dakota '!E21+Tennessee!E21+Texas!E21+Utah!E21+Vermont!E21+Virginia!E21+Washington!E21+'West Virginia'!E21+Wisconsin!E21+Wyoming!E21</f>
        <v>150515000</v>
      </c>
      <c r="F21" s="3">
        <f>+Alabama!F21+Alaska!F21+Arizona!F21+Arkansas!F21+California!F21+Colorado!F21+Connecticut!F21+Delaware!F21+'District of Columbia'!F21+Florida!F21+Georgia!F21+Hawaii!F21+Idaho!F21+Illinois!F21+Indiana!F21+Iowa!F21+Kansas!F21+Kentucky!F21+Louisiana!F21+Maine!F21+Maryland!F21+Massachusettes!F21+Michigan!F21+Minnesota!F21+Mississippi!F21+Missouri!F21+Montana!F21+Nebraska!F21+Nevada!F21+'New Hampshire'!F21+'New Jersey'!F21+'New Mexico'!F21+'New York'!F21+'North Carolina'!F21+'North Dakota'!F21+Ohio!F21+Oklahoma!F21+Oregon!F21+Pennsylvania!F21+'Puerto Rico'!F21+'Rhode Island'!F21+'South Carolina'!F21+'South Dakota '!F21+Tennessee!F21+Texas!F21+Utah!F21+Vermont!F21+Virginia!F21+Washington!F21+'West Virginia'!F21+Wisconsin!F21+Wyoming!F21</f>
        <v>16219000</v>
      </c>
      <c r="G21" s="3">
        <f>+Alabama!G21+Alaska!G21+Arizona!G21+Arkansas!G21+California!G21+Colorado!G21+Connecticut!G21+Delaware!G21+'District of Columbia'!G21+Florida!G21+Georgia!G21+Hawaii!G21+Idaho!G21+Illinois!G21+Indiana!G21+Iowa!G21+Kansas!G21+Kentucky!G21+Louisiana!G21+Maine!G21+Maryland!G21+Massachusettes!G21+Michigan!G21+Minnesota!G21+Mississippi!G21+Missouri!G21+Montana!G21+Nebraska!G21+Nevada!G21+'New Hampshire'!G21+'New Jersey'!G21+'New Mexico'!G21+'New York'!G21+'North Carolina'!G21+'North Dakota'!G21+Ohio!G21+Oklahoma!G21+Oregon!G21+Pennsylvania!G21+'Puerto Rico'!G21+'Rhode Island'!G21+'South Carolina'!G21+'South Dakota '!G21+Tennessee!G21+Texas!G21+Utah!G21+Vermont!G21+Virginia!G21+Washington!G21+'West Virginia'!G21+Wisconsin!G21+Wyoming!G21</f>
        <v>1185000</v>
      </c>
      <c r="H21" s="3">
        <f>+Alabama!H21+Alaska!H21+Arizona!H21+Arkansas!H21+California!H21+Colorado!H21+Connecticut!H21+Delaware!H21+'District of Columbia'!H21+Florida!H21+Georgia!H21+Hawaii!H21+Idaho!H21+Illinois!H21+Indiana!H21+Iowa!H21+Kansas!H21+Kentucky!H21+Louisiana!H21+Maine!H21+Maryland!H21+Massachusettes!H21+Michigan!H21+Minnesota!H21+Mississippi!H21+Missouri!H21+Montana!H21+Nebraska!H21+Nevada!H21+'New Hampshire'!H21+'New Jersey'!H21+'New Mexico'!H21+'New York'!H21+'North Carolina'!H21+'North Dakota'!H21+Ohio!H21+Oklahoma!H21+Oregon!H21+Pennsylvania!H21+'Puerto Rico'!H21+'Rhode Island'!H21+'South Carolina'!H21+'South Dakota '!H21+Tennessee!H21+Texas!H21+Utah!H21+Vermont!H21+Virginia!H21+Washington!H21+'West Virginia'!H21+Wisconsin!H21+Wyoming!H21</f>
        <v>169812000</v>
      </c>
      <c r="I21" s="3">
        <f>+Alabama!I21+Alaska!I21+Arizona!I21+Arkansas!I21+California!I21+Colorado!I21+Connecticut!I21+Delaware!I21+'District of Columbia'!I21+Florida!I21+Georgia!I21+Hawaii!I21+Idaho!I21+Illinois!I21+Indiana!I21+Iowa!I21+Kansas!I21+Kentucky!I21+Louisiana!I21+Maine!I21+Maryland!I21+Massachusettes!I21+Michigan!I21+Minnesota!I21+Mississippi!I21+Missouri!I21+Montana!I21+Nebraska!I21+Nevada!I21+'New Hampshire'!I21+'New Jersey'!I21+'New Mexico'!I21+'New York'!I21+'North Carolina'!I21+'North Dakota'!I21+Ohio!I21+Oklahoma!I21+Oregon!I21+Pennsylvania!I21+'Puerto Rico'!I21+'Rhode Island'!I21+'South Carolina'!I21+'South Dakota '!I21+Tennessee!I21+Texas!I21+Utah!I21+Vermont!I21+Virginia!I21+Washington!I21+'West Virginia'!I21+Wisconsin!I21+Wyoming!I21</f>
        <v>11732000</v>
      </c>
      <c r="J21" s="3">
        <f>+Alabama!J21+Alaska!J21+Arizona!J21+Arkansas!J21+California!J21+Colorado!J21+Connecticut!J21+Delaware!J21+'District of Columbia'!J21+Florida!J21+Georgia!J21+Hawaii!J21+Idaho!J21+Illinois!J21+Indiana!J21+Iowa!J21+Kansas!J21+Kentucky!J21+Louisiana!J21+Maine!J21+Maryland!J21+Massachusettes!J21+Michigan!J21+Minnesota!J21+Mississippi!J21+Missouri!J21+Montana!J21+Nebraska!J21+Nevada!J21+'New Hampshire'!J21+'New Jersey'!J21+'New Mexico'!J21+'New York'!J21+'North Carolina'!J21+'North Dakota'!J21+Ohio!J21+Oklahoma!J21+Oregon!J21+Pennsylvania!J21+'Puerto Rico'!J21+'Rhode Island'!J21+'South Carolina'!J21+'South Dakota '!J21+Tennessee!J21+Texas!J21+Utah!J21+Vermont!J21+Virginia!J21+Washington!J21+'West Virginia'!J21+Wisconsin!J21+Wyoming!J21</f>
        <v>0</v>
      </c>
      <c r="K21" s="3">
        <f t="shared" si="0"/>
        <v>1668074000</v>
      </c>
      <c r="L21" s="3">
        <f t="shared" si="0"/>
        <v>44040000</v>
      </c>
      <c r="M21" s="3">
        <f t="shared" si="0"/>
        <v>2616000</v>
      </c>
      <c r="N21" s="3">
        <f t="shared" si="1"/>
        <v>1714730000</v>
      </c>
      <c r="P21" s="1">
        <v>20</v>
      </c>
    </row>
    <row r="22" spans="1:16" x14ac:dyDescent="0.15">
      <c r="A22" s="1">
        <v>1990</v>
      </c>
      <c r="B22" s="3">
        <f>+Alabama!B22+Alaska!B22+Arizona!B22+Arkansas!B22+California!B22+Colorado!B22+Connecticut!B22+Delaware!B22+'District of Columbia'!B22+Florida!B22+Georgia!B22+Hawaii!B22+Idaho!B22+Illinois!B22+Indiana!B22+Iowa!B22+Kansas!B22+Kentucky!B22+Louisiana!B22+Maine!B22+Maryland!B22+Massachusettes!B22+Michigan!B22+Minnesota!B22+Mississippi!B22+Missouri!B22+Montana!B22+Nebraska!B22+Nevada!B22+'New Hampshire'!B22+'New Jersey'!B22+'New Mexico'!B22+'New York'!B22+'North Carolina'!B22+'North Dakota'!B22+Ohio!B22+Oklahoma!B22+Oregon!B22+Pennsylvania!B22+'Puerto Rico'!B22+'Rhode Island'!B22+'South Carolina'!B22+'South Dakota '!B22+Tennessee!B22+Texas!B22+Utah!B22+Vermont!B22+Virginia!B22+Washington!B22+'West Virginia'!B22+Wisconsin!B22+Wyoming!B22</f>
        <v>1427283000</v>
      </c>
      <c r="C22" s="3">
        <f>+Alabama!C22+Alaska!C22+Arizona!C22+Arkansas!C22+California!C22+Colorado!C22+Connecticut!C22+Delaware!C22+'District of Columbia'!C22+Florida!C22+Georgia!C22+Hawaii!C22+Idaho!C22+Illinois!C22+Indiana!C22+Iowa!C22+Kansas!C22+Kentucky!C22+Louisiana!C22+Maine!C22+Maryland!C22+Massachusettes!C22+Michigan!C22+Minnesota!C22+Mississippi!C22+Missouri!C22+Montana!C22+Nebraska!C22+Nevada!C22+'New Hampshire'!C22+'New Jersey'!C22+'New Mexico'!C22+'New York'!C22+'North Carolina'!C22+'North Dakota'!C22+Ohio!C22+Oklahoma!C22+Oregon!C22+Pennsylvania!C22+'Puerto Rico'!C22+'Rhode Island'!C22+'South Carolina'!C22+'South Dakota '!C22+Tennessee!C22+Texas!C22+Utah!C22+Vermont!C22+Virginia!C22+Washington!C22+'West Virginia'!C22+Wisconsin!C22+Wyoming!C22</f>
        <v>16860000</v>
      </c>
      <c r="D22" s="3">
        <f>+Alabama!D22+Alaska!D22+Arizona!D22+Arkansas!D22+California!D22+Colorado!D22+Connecticut!D22+Delaware!D22+'District of Columbia'!D22+Florida!D22+Georgia!D22+Hawaii!D22+Idaho!D22+Illinois!D22+Indiana!D22+Iowa!D22+Kansas!D22+Kentucky!D22+Louisiana!D22+Maine!D22+Maryland!D22+Massachusettes!D22+Michigan!D22+Minnesota!D22+Mississippi!D22+Missouri!D22+Montana!D22+Nebraska!D22+Nevada!D22+'New Hampshire'!D22+'New Jersey'!D22+'New Mexico'!D22+'New York'!D22+'North Carolina'!D22+'North Dakota'!D22+Ohio!D22+Oklahoma!D22+Oregon!D22+Pennsylvania!D22+'Puerto Rico'!D22+'Rhode Island'!D22+'South Carolina'!D22+'South Dakota '!D22+Tennessee!D22+Texas!D22+Utah!D22+Vermont!D22+Virginia!D22+Washington!D22+'West Virginia'!D22+Wisconsin!D22+Wyoming!D22</f>
        <v>1423000</v>
      </c>
      <c r="E22" s="3">
        <f>+Alabama!E22+Alaska!E22+Arizona!E22+Arkansas!E22+California!E22+Colorado!E22+Connecticut!E22+Delaware!E22+'District of Columbia'!E22+Florida!E22+Georgia!E22+Hawaii!E22+Idaho!E22+Illinois!E22+Indiana!E22+Iowa!E22+Kansas!E22+Kentucky!E22+Louisiana!E22+Maine!E22+Maryland!E22+Massachusettes!E22+Michigan!E22+Minnesota!E22+Mississippi!E22+Missouri!E22+Montana!E22+Nebraska!E22+Nevada!E22+'New Hampshire'!E22+'New Jersey'!E22+'New Mexico'!E22+'New York'!E22+'North Carolina'!E22+'North Dakota'!E22+Ohio!E22+Oklahoma!E22+Oregon!E22+Pennsylvania!E22+'Puerto Rico'!E22+'Rhode Island'!E22+'South Carolina'!E22+'South Dakota '!E22+Tennessee!E22+Texas!E22+Utah!E22+Vermont!E22+Virginia!E22+Washington!E22+'West Virginia'!E22+Wisconsin!E22+Wyoming!E22</f>
        <v>176310000</v>
      </c>
      <c r="F22" s="3">
        <f>+Alabama!F22+Alaska!F22+Arizona!F22+Arkansas!F22+California!F22+Colorado!F22+Connecticut!F22+Delaware!F22+'District of Columbia'!F22+Florida!F22+Georgia!F22+Hawaii!F22+Idaho!F22+Illinois!F22+Indiana!F22+Iowa!F22+Kansas!F22+Kentucky!F22+Louisiana!F22+Maine!F22+Maryland!F22+Massachusettes!F22+Michigan!F22+Minnesota!F22+Mississippi!F22+Missouri!F22+Montana!F22+Nebraska!F22+Nevada!F22+'New Hampshire'!F22+'New Jersey'!F22+'New Mexico'!F22+'New York'!F22+'North Carolina'!F22+'North Dakota'!F22+Ohio!F22+Oklahoma!F22+Oregon!F22+Pennsylvania!F22+'Puerto Rico'!F22+'Rhode Island'!F22+'South Carolina'!F22+'South Dakota '!F22+Tennessee!F22+Texas!F22+Utah!F22+Vermont!F22+Virginia!F22+Washington!F22+'West Virginia'!F22+Wisconsin!F22+Wyoming!F22</f>
        <v>16012000</v>
      </c>
      <c r="G22" s="3">
        <f>+Alabama!G22+Alaska!G22+Arizona!G22+Arkansas!G22+California!G22+Colorado!G22+Connecticut!G22+Delaware!G22+'District of Columbia'!G22+Florida!G22+Georgia!G22+Hawaii!G22+Idaho!G22+Illinois!G22+Indiana!G22+Iowa!G22+Kansas!G22+Kentucky!G22+Louisiana!G22+Maine!G22+Maryland!G22+Massachusettes!G22+Michigan!G22+Minnesota!G22+Mississippi!G22+Missouri!G22+Montana!G22+Nebraska!G22+Nevada!G22+'New Hampshire'!G22+'New Jersey'!G22+'New Mexico'!G22+'New York'!G22+'North Carolina'!G22+'North Dakota'!G22+Ohio!G22+Oklahoma!G22+Oregon!G22+Pennsylvania!G22+'Puerto Rico'!G22+'Rhode Island'!G22+'South Carolina'!G22+'South Dakota '!G22+Tennessee!G22+Texas!G22+Utah!G22+Vermont!G22+Virginia!G22+Washington!G22+'West Virginia'!G22+Wisconsin!G22+Wyoming!G22</f>
        <v>1233000</v>
      </c>
      <c r="H22" s="3">
        <f>+Alabama!H22+Alaska!H22+Arizona!H22+Arkansas!H22+California!H22+Colorado!H22+Connecticut!H22+Delaware!H22+'District of Columbia'!H22+Florida!H22+Georgia!H22+Hawaii!H22+Idaho!H22+Illinois!H22+Indiana!H22+Iowa!H22+Kansas!H22+Kentucky!H22+Louisiana!H22+Maine!H22+Maryland!H22+Massachusettes!H22+Michigan!H22+Minnesota!H22+Mississippi!H22+Missouri!H22+Montana!H22+Nebraska!H22+Nevada!H22+'New Hampshire'!H22+'New Jersey'!H22+'New Mexico'!H22+'New York'!H22+'North Carolina'!H22+'North Dakota'!H22+Ohio!H22+Oklahoma!H22+Oregon!H22+Pennsylvania!H22+'Puerto Rico'!H22+'Rhode Island'!H22+'South Carolina'!H22+'South Dakota '!H22+Tennessee!H22+Texas!H22+Utah!H22+Vermont!H22+Virginia!H22+Washington!H22+'West Virginia'!H22+Wisconsin!H22+Wyoming!H22</f>
        <v>202097000</v>
      </c>
      <c r="I22" s="3">
        <f>+Alabama!I22+Alaska!I22+Arizona!I22+Arkansas!I22+California!I22+Colorado!I22+Connecticut!I22+Delaware!I22+'District of Columbia'!I22+Florida!I22+Georgia!I22+Hawaii!I22+Idaho!I22+Illinois!I22+Indiana!I22+Iowa!I22+Kansas!I22+Kentucky!I22+Louisiana!I22+Maine!I22+Maryland!I22+Massachusettes!I22+Michigan!I22+Minnesota!I22+Mississippi!I22+Missouri!I22+Montana!I22+Nebraska!I22+Nevada!I22+'New Hampshire'!I22+'New Jersey'!I22+'New Mexico'!I22+'New York'!I22+'North Carolina'!I22+'North Dakota'!I22+Ohio!I22+Oklahoma!I22+Oregon!I22+Pennsylvania!I22+'Puerto Rico'!I22+'Rhode Island'!I22+'South Carolina'!I22+'South Dakota '!I22+Tennessee!I22+Texas!I22+Utah!I22+Vermont!I22+Virginia!I22+Washington!I22+'West Virginia'!I22+Wisconsin!I22+Wyoming!I22</f>
        <v>15065000</v>
      </c>
      <c r="J22" s="3">
        <f>+Alabama!J22+Alaska!J22+Arizona!J22+Arkansas!J22+California!J22+Colorado!J22+Connecticut!J22+Delaware!J22+'District of Columbia'!J22+Florida!J22+Georgia!J22+Hawaii!J22+Idaho!J22+Illinois!J22+Indiana!J22+Iowa!J22+Kansas!J22+Kentucky!J22+Louisiana!J22+Maine!J22+Maryland!J22+Massachusettes!J22+Michigan!J22+Minnesota!J22+Mississippi!J22+Missouri!J22+Montana!J22+Nebraska!J22+Nevada!J22+'New Hampshire'!J22+'New Jersey'!J22+'New Mexico'!J22+'New York'!J22+'North Carolina'!J22+'North Dakota'!J22+Ohio!J22+Oklahoma!J22+Oregon!J22+Pennsylvania!J22+'Puerto Rico'!J22+'Rhode Island'!J22+'South Carolina'!J22+'South Dakota '!J22+Tennessee!J22+Texas!J22+Utah!J22+Vermont!J22+Virginia!J22+Washington!J22+'West Virginia'!J22+Wisconsin!J22+Wyoming!J22</f>
        <v>0</v>
      </c>
      <c r="K22" s="3">
        <f t="shared" ref="K22:M33" si="5">+B22+E22+H22</f>
        <v>1805690000</v>
      </c>
      <c r="L22" s="3">
        <f t="shared" si="5"/>
        <v>47937000</v>
      </c>
      <c r="M22" s="3">
        <f t="shared" si="5"/>
        <v>2656000</v>
      </c>
      <c r="N22" s="3">
        <f t="shared" si="1"/>
        <v>1856283000</v>
      </c>
      <c r="P22" s="1">
        <v>21</v>
      </c>
    </row>
    <row r="23" spans="1:16" x14ac:dyDescent="0.15">
      <c r="A23" s="1">
        <v>1991</v>
      </c>
      <c r="B23" s="3">
        <f>+Alabama!B23+Alaska!B23+Arizona!B23+Arkansas!B23+California!B23+Colorado!B23+Connecticut!B23+Delaware!B23+'District of Columbia'!B23+Florida!B23+Georgia!B23+Hawaii!B23+Idaho!B23+Illinois!B23+Indiana!B23+Iowa!B23+Kansas!B23+Kentucky!B23+Louisiana!B23+Maine!B23+Maryland!B23+Massachusettes!B23+Michigan!B23+Minnesota!B23+Mississippi!B23+Missouri!B23+Montana!B23+Nebraska!B23+Nevada!B23+'New Hampshire'!B23+'New Jersey'!B23+'New Mexico'!B23+'New York'!B23+'North Carolina'!B23+'North Dakota'!B23+Ohio!B23+Oklahoma!B23+Oregon!B23+Pennsylvania!B23+'Puerto Rico'!B23+'Rhode Island'!B23+'South Carolina'!B23+'South Dakota '!B23+Tennessee!B23+Texas!B23+Utah!B23+Vermont!B23+Virginia!B23+Washington!B23+'West Virginia'!B23+Wisconsin!B23+Wyoming!B23</f>
        <v>1492026000</v>
      </c>
      <c r="C23" s="3">
        <f>+Alabama!C23+Alaska!C23+Arizona!C23+Arkansas!C23+California!C23+Colorado!C23+Connecticut!C23+Delaware!C23+'District of Columbia'!C23+Florida!C23+Georgia!C23+Hawaii!C23+Idaho!C23+Illinois!C23+Indiana!C23+Iowa!C23+Kansas!C23+Kentucky!C23+Louisiana!C23+Maine!C23+Maryland!C23+Massachusettes!C23+Michigan!C23+Minnesota!C23+Mississippi!C23+Missouri!C23+Montana!C23+Nebraska!C23+Nevada!C23+'New Hampshire'!C23+'New Jersey'!C23+'New Mexico'!C23+'New York'!C23+'North Carolina'!C23+'North Dakota'!C23+Ohio!C23+Oklahoma!C23+Oregon!C23+Pennsylvania!C23+'Puerto Rico'!C23+'Rhode Island'!C23+'South Carolina'!C23+'South Dakota '!C23+Tennessee!C23+Texas!C23+Utah!C23+Vermont!C23+Virginia!C23+Washington!C23+'West Virginia'!C23+Wisconsin!C23+Wyoming!C23</f>
        <v>17385000</v>
      </c>
      <c r="D23" s="3">
        <f>+Alabama!D23+Alaska!D23+Arizona!D23+Arkansas!D23+California!D23+Colorado!D23+Connecticut!D23+Delaware!D23+'District of Columbia'!D23+Florida!D23+Georgia!D23+Hawaii!D23+Idaho!D23+Illinois!D23+Indiana!D23+Iowa!D23+Kansas!D23+Kentucky!D23+Louisiana!D23+Maine!D23+Maryland!D23+Massachusettes!D23+Michigan!D23+Minnesota!D23+Mississippi!D23+Missouri!D23+Montana!D23+Nebraska!D23+Nevada!D23+'New Hampshire'!D23+'New Jersey'!D23+'New Mexico'!D23+'New York'!D23+'North Carolina'!D23+'North Dakota'!D23+Ohio!D23+Oklahoma!D23+Oregon!D23+Pennsylvania!D23+'Puerto Rico'!D23+'Rhode Island'!D23+'South Carolina'!D23+'South Dakota '!D23+Tennessee!D23+Texas!D23+Utah!D23+Vermont!D23+Virginia!D23+Washington!D23+'West Virginia'!D23+Wisconsin!D23+Wyoming!D23</f>
        <v>1292000</v>
      </c>
      <c r="E23" s="3">
        <f>+Alabama!E23+Alaska!E23+Arizona!E23+Arkansas!E23+California!E23+Colorado!E23+Connecticut!E23+Delaware!E23+'District of Columbia'!E23+Florida!E23+Georgia!E23+Hawaii!E23+Idaho!E23+Illinois!E23+Indiana!E23+Iowa!E23+Kansas!E23+Kentucky!E23+Louisiana!E23+Maine!E23+Maryland!E23+Massachusettes!E23+Michigan!E23+Minnesota!E23+Mississippi!E23+Missouri!E23+Montana!E23+Nebraska!E23+Nevada!E23+'New Hampshire'!E23+'New Jersey'!E23+'New Mexico'!E23+'New York'!E23+'North Carolina'!E23+'North Dakota'!E23+Ohio!E23+Oklahoma!E23+Oregon!E23+Pennsylvania!E23+'Puerto Rico'!E23+'Rhode Island'!E23+'South Carolina'!E23+'South Dakota '!E23+Tennessee!E23+Texas!E23+Utah!E23+Vermont!E23+Virginia!E23+Washington!E23+'West Virginia'!E23+Wisconsin!E23+Wyoming!E23</f>
        <v>170929000</v>
      </c>
      <c r="F23" s="3">
        <f>+Alabama!F23+Alaska!F23+Arizona!F23+Arkansas!F23+California!F23+Colorado!F23+Connecticut!F23+Delaware!F23+'District of Columbia'!F23+Florida!F23+Georgia!F23+Hawaii!F23+Idaho!F23+Illinois!F23+Indiana!F23+Iowa!F23+Kansas!F23+Kentucky!F23+Louisiana!F23+Maine!F23+Maryland!F23+Massachusettes!F23+Michigan!F23+Minnesota!F23+Mississippi!F23+Missouri!F23+Montana!F23+Nebraska!F23+Nevada!F23+'New Hampshire'!F23+'New Jersey'!F23+'New Mexico'!F23+'New York'!F23+'North Carolina'!F23+'North Dakota'!F23+Ohio!F23+Oklahoma!F23+Oregon!F23+Pennsylvania!F23+'Puerto Rico'!F23+'Rhode Island'!F23+'South Carolina'!F23+'South Dakota '!F23+Tennessee!F23+Texas!F23+Utah!F23+Vermont!F23+Virginia!F23+Washington!F23+'West Virginia'!F23+Wisconsin!F23+Wyoming!F23</f>
        <v>13752000</v>
      </c>
      <c r="G23" s="3">
        <f>+Alabama!G23+Alaska!G23+Arizona!G23+Arkansas!G23+California!G23+Colorado!G23+Connecticut!G23+Delaware!G23+'District of Columbia'!G23+Florida!G23+Georgia!G23+Hawaii!G23+Idaho!G23+Illinois!G23+Indiana!G23+Iowa!G23+Kansas!G23+Kentucky!G23+Louisiana!G23+Maine!G23+Maryland!G23+Massachusettes!G23+Michigan!G23+Minnesota!G23+Mississippi!G23+Missouri!G23+Montana!G23+Nebraska!G23+Nevada!G23+'New Hampshire'!G23+'New Jersey'!G23+'New Mexico'!G23+'New York'!G23+'North Carolina'!G23+'North Dakota'!G23+Ohio!G23+Oklahoma!G23+Oregon!G23+Pennsylvania!G23+'Puerto Rico'!G23+'Rhode Island'!G23+'South Carolina'!G23+'South Dakota '!G23+Tennessee!G23+Texas!G23+Utah!G23+Vermont!G23+Virginia!G23+Washington!G23+'West Virginia'!G23+Wisconsin!G23+Wyoming!G23</f>
        <v>0</v>
      </c>
      <c r="H23" s="3">
        <f>+Alabama!H23+Alaska!H23+Arizona!H23+Arkansas!H23+California!H23+Colorado!H23+Connecticut!H23+Delaware!H23+'District of Columbia'!H23+Florida!H23+Georgia!H23+Hawaii!H23+Idaho!H23+Illinois!H23+Indiana!H23+Iowa!H23+Kansas!H23+Kentucky!H23+Louisiana!H23+Maine!H23+Maryland!H23+Massachusettes!H23+Michigan!H23+Minnesota!H23+Mississippi!H23+Missouri!H23+Montana!H23+Nebraska!H23+Nevada!H23+'New Hampshire'!H23+'New Jersey'!H23+'New Mexico'!H23+'New York'!H23+'North Carolina'!H23+'North Dakota'!H23+Ohio!H23+Oklahoma!H23+Oregon!H23+Pennsylvania!H23+'Puerto Rico'!H23+'Rhode Island'!H23+'South Carolina'!H23+'South Dakota '!H23+Tennessee!H23+Texas!H23+Utah!H23+Vermont!H23+Virginia!H23+Washington!H23+'West Virginia'!H23+Wisconsin!H23+Wyoming!H23</f>
        <v>217466000</v>
      </c>
      <c r="I23" s="3">
        <f>+Alabama!I23+Alaska!I23+Arizona!I23+Arkansas!I23+California!I23+Colorado!I23+Connecticut!I23+Delaware!I23+'District of Columbia'!I23+Florida!I23+Georgia!I23+Hawaii!I23+Idaho!I23+Illinois!I23+Indiana!I23+Iowa!I23+Kansas!I23+Kentucky!I23+Louisiana!I23+Maine!I23+Maryland!I23+Massachusettes!I23+Michigan!I23+Minnesota!I23+Mississippi!I23+Missouri!I23+Montana!I23+Nebraska!I23+Nevada!I23+'New Hampshire'!I23+'New Jersey'!I23+'New Mexico'!I23+'New York'!I23+'North Carolina'!I23+'North Dakota'!I23+Ohio!I23+Oklahoma!I23+Oregon!I23+Pennsylvania!I23+'Puerto Rico'!I23+'Rhode Island'!I23+'South Carolina'!I23+'South Dakota '!I23+Tennessee!I23+Texas!I23+Utah!I23+Vermont!I23+Virginia!I23+Washington!I23+'West Virginia'!I23+Wisconsin!I23+Wyoming!I23</f>
        <v>16216000</v>
      </c>
      <c r="J23" s="3">
        <f>+Alabama!J23+Alaska!J23+Arizona!J23+Arkansas!J23+California!J23+Colorado!J23+Connecticut!J23+Delaware!J23+'District of Columbia'!J23+Florida!J23+Georgia!J23+Hawaii!J23+Idaho!J23+Illinois!J23+Indiana!J23+Iowa!J23+Kansas!J23+Kentucky!J23+Louisiana!J23+Maine!J23+Maryland!J23+Massachusettes!J23+Michigan!J23+Minnesota!J23+Mississippi!J23+Missouri!J23+Montana!J23+Nebraska!J23+Nevada!J23+'New Hampshire'!J23+'New Jersey'!J23+'New Mexico'!J23+'New York'!J23+'North Carolina'!J23+'North Dakota'!J23+Ohio!J23+Oklahoma!J23+Oregon!J23+Pennsylvania!J23+'Puerto Rico'!J23+'Rhode Island'!J23+'South Carolina'!J23+'South Dakota '!J23+Tennessee!J23+Texas!J23+Utah!J23+Vermont!J23+Virginia!J23+Washington!J23+'West Virginia'!J23+Wisconsin!J23+Wyoming!J23</f>
        <v>0</v>
      </c>
      <c r="K23" s="3">
        <f t="shared" si="5"/>
        <v>1880421000</v>
      </c>
      <c r="L23" s="3">
        <f t="shared" si="5"/>
        <v>47353000</v>
      </c>
      <c r="M23" s="3">
        <f t="shared" si="5"/>
        <v>1292000</v>
      </c>
      <c r="N23" s="3">
        <f t="shared" si="1"/>
        <v>1929066000</v>
      </c>
      <c r="P23" s="1">
        <v>22</v>
      </c>
    </row>
    <row r="24" spans="1:16" x14ac:dyDescent="0.15">
      <c r="A24" s="1">
        <v>1992</v>
      </c>
      <c r="B24" s="3">
        <f>+Alabama!B24+Alaska!B24+Arizona!B24+Arkansas!B24+California!B24+Colorado!B24+Connecticut!B24+Delaware!B24+'District of Columbia'!B24+Florida!B24+Georgia!B24+Hawaii!B24+Idaho!B24+Illinois!B24+Indiana!B24+Iowa!B24+Kansas!B24+Kentucky!B24+Louisiana!B24+Maine!B24+Maryland!B24+Massachusettes!B24+Michigan!B24+Minnesota!B24+Mississippi!B24+Missouri!B24+Montana!B24+Nebraska!B24+Nevada!B24+'New Hampshire'!B24+'New Jersey'!B24+'New Mexico'!B24+'New York'!B24+'North Carolina'!B24+'North Dakota'!B24+Ohio!B24+Oklahoma!B24+Oregon!B24+Pennsylvania!B24+'Puerto Rico'!B24+'Rhode Island'!B24+'South Carolina'!B24+'South Dakota '!B24+Tennessee!B24+Texas!B24+Utah!B24+Vermont!B24+Virginia!B24+Washington!B24+'West Virginia'!B24+Wisconsin!B24+Wyoming!B24</f>
        <v>1566305000</v>
      </c>
      <c r="C24" s="3">
        <f>+Alabama!C24+Alaska!C24+Arizona!C24+Arkansas!C24+California!C24+Colorado!C24+Connecticut!C24+Delaware!C24+'District of Columbia'!C24+Florida!C24+Georgia!C24+Hawaii!C24+Idaho!C24+Illinois!C24+Indiana!C24+Iowa!C24+Kansas!C24+Kentucky!C24+Louisiana!C24+Maine!C24+Maryland!C24+Massachusettes!C24+Michigan!C24+Minnesota!C24+Mississippi!C24+Missouri!C24+Montana!C24+Nebraska!C24+Nevada!C24+'New Hampshire'!C24+'New Jersey'!C24+'New Mexico'!C24+'New York'!C24+'North Carolina'!C24+'North Dakota'!C24+Ohio!C24+Oklahoma!C24+Oregon!C24+Pennsylvania!C24+'Puerto Rico'!C24+'Rhode Island'!C24+'South Carolina'!C24+'South Dakota '!C24+Tennessee!C24+Texas!C24+Utah!C24+Vermont!C24+Virginia!C24+Washington!C24+'West Virginia'!C24+Wisconsin!C24+Wyoming!C24</f>
        <v>19003000</v>
      </c>
      <c r="D24" s="3">
        <f>+Alabama!D24+Alaska!D24+Arizona!D24+Arkansas!D24+California!D24+Colorado!D24+Connecticut!D24+Delaware!D24+'District of Columbia'!D24+Florida!D24+Georgia!D24+Hawaii!D24+Idaho!D24+Illinois!D24+Indiana!D24+Iowa!D24+Kansas!D24+Kentucky!D24+Louisiana!D24+Maine!D24+Maryland!D24+Massachusettes!D24+Michigan!D24+Minnesota!D24+Mississippi!D24+Missouri!D24+Montana!D24+Nebraska!D24+Nevada!D24+'New Hampshire'!D24+'New Jersey'!D24+'New Mexico'!D24+'New York'!D24+'North Carolina'!D24+'North Dakota'!D24+Ohio!D24+Oklahoma!D24+Oregon!D24+Pennsylvania!D24+'Puerto Rico'!D24+'Rhode Island'!D24+'South Carolina'!D24+'South Dakota '!D24+Tennessee!D24+Texas!D24+Utah!D24+Vermont!D24+Virginia!D24+Washington!D24+'West Virginia'!D24+Wisconsin!D24+Wyoming!D24</f>
        <v>330000</v>
      </c>
      <c r="E24" s="3">
        <f>+Alabama!E24+Alaska!E24+Arizona!E24+Arkansas!E24+California!E24+Colorado!E24+Connecticut!E24+Delaware!E24+'District of Columbia'!E24+Florida!E24+Georgia!E24+Hawaii!E24+Idaho!E24+Illinois!E24+Indiana!E24+Iowa!E24+Kansas!E24+Kentucky!E24+Louisiana!E24+Maine!E24+Maryland!E24+Massachusettes!E24+Michigan!E24+Minnesota!E24+Mississippi!E24+Missouri!E24+Montana!E24+Nebraska!E24+Nevada!E24+'New Hampshire'!E24+'New Jersey'!E24+'New Mexico'!E24+'New York'!E24+'North Carolina'!E24+'North Dakota'!E24+Ohio!E24+Oklahoma!E24+Oregon!E24+Pennsylvania!E24+'Puerto Rico'!E24+'Rhode Island'!E24+'South Carolina'!E24+'South Dakota '!E24+Tennessee!E24+Texas!E24+Utah!E24+Vermont!E24+Virginia!E24+Washington!E24+'West Virginia'!E24+Wisconsin!E24+Wyoming!E24</f>
        <v>177293000</v>
      </c>
      <c r="F24" s="3">
        <f>+Alabama!F24+Alaska!F24+Arizona!F24+Arkansas!F24+California!F24+Colorado!F24+Connecticut!F24+Delaware!F24+'District of Columbia'!F24+Florida!F24+Georgia!F24+Hawaii!F24+Idaho!F24+Illinois!F24+Indiana!F24+Iowa!F24+Kansas!F24+Kentucky!F24+Louisiana!F24+Maine!F24+Maryland!F24+Massachusettes!F24+Michigan!F24+Minnesota!F24+Mississippi!F24+Missouri!F24+Montana!F24+Nebraska!F24+Nevada!F24+'New Hampshire'!F24+'New Jersey'!F24+'New Mexico'!F24+'New York'!F24+'North Carolina'!F24+'North Dakota'!F24+Ohio!F24+Oklahoma!F24+Oregon!F24+Pennsylvania!F24+'Puerto Rico'!F24+'Rhode Island'!F24+'South Carolina'!F24+'South Dakota '!F24+Tennessee!F24+Texas!F24+Utah!F24+Vermont!F24+Virginia!F24+Washington!F24+'West Virginia'!F24+Wisconsin!F24+Wyoming!F24</f>
        <v>11059000</v>
      </c>
      <c r="G24" s="3">
        <f>+Alabama!G24+Alaska!G24+Arizona!G24+Arkansas!G24+California!G24+Colorado!G24+Connecticut!G24+Delaware!G24+'District of Columbia'!G24+Florida!G24+Georgia!G24+Hawaii!G24+Idaho!G24+Illinois!G24+Indiana!G24+Iowa!G24+Kansas!G24+Kentucky!G24+Louisiana!G24+Maine!G24+Maryland!G24+Massachusettes!G24+Michigan!G24+Minnesota!G24+Mississippi!G24+Missouri!G24+Montana!G24+Nebraska!G24+Nevada!G24+'New Hampshire'!G24+'New Jersey'!G24+'New Mexico'!G24+'New York'!G24+'North Carolina'!G24+'North Dakota'!G24+Ohio!G24+Oklahoma!G24+Oregon!G24+Pennsylvania!G24+'Puerto Rico'!G24+'Rhode Island'!G24+'South Carolina'!G24+'South Dakota '!G24+Tennessee!G24+Texas!G24+Utah!G24+Vermont!G24+Virginia!G24+Washington!G24+'West Virginia'!G24+Wisconsin!G24+Wyoming!G24</f>
        <v>0</v>
      </c>
      <c r="H24" s="3">
        <f>+Alabama!H24+Alaska!H24+Arizona!H24+Arkansas!H24+California!H24+Colorado!H24+Connecticut!H24+Delaware!H24+'District of Columbia'!H24+Florida!H24+Georgia!H24+Hawaii!H24+Idaho!H24+Illinois!H24+Indiana!H24+Iowa!H24+Kansas!H24+Kentucky!H24+Louisiana!H24+Maine!H24+Maryland!H24+Massachusettes!H24+Michigan!H24+Minnesota!H24+Mississippi!H24+Missouri!H24+Montana!H24+Nebraska!H24+Nevada!H24+'New Hampshire'!H24+'New Jersey'!H24+'New Mexico'!H24+'New York'!H24+'North Carolina'!H24+'North Dakota'!H24+Ohio!H24+Oklahoma!H24+Oregon!H24+Pennsylvania!H24+'Puerto Rico'!H24+'Rhode Island'!H24+'South Carolina'!H24+'South Dakota '!H24+Tennessee!H24+Texas!H24+Utah!H24+Vermont!H24+Virginia!H24+Washington!H24+'West Virginia'!H24+Wisconsin!H24+Wyoming!H24</f>
        <v>207031000</v>
      </c>
      <c r="I24" s="3">
        <f>+Alabama!I24+Alaska!I24+Arizona!I24+Arkansas!I24+California!I24+Colorado!I24+Connecticut!I24+Delaware!I24+'District of Columbia'!I24+Florida!I24+Georgia!I24+Hawaii!I24+Idaho!I24+Illinois!I24+Indiana!I24+Iowa!I24+Kansas!I24+Kentucky!I24+Louisiana!I24+Maine!I24+Maryland!I24+Massachusettes!I24+Michigan!I24+Minnesota!I24+Mississippi!I24+Missouri!I24+Montana!I24+Nebraska!I24+Nevada!I24+'New Hampshire'!I24+'New Jersey'!I24+'New Mexico'!I24+'New York'!I24+'North Carolina'!I24+'North Dakota'!I24+Ohio!I24+Oklahoma!I24+Oregon!I24+Pennsylvania!I24+'Puerto Rico'!I24+'Rhode Island'!I24+'South Carolina'!I24+'South Dakota '!I24+Tennessee!I24+Texas!I24+Utah!I24+Vermont!I24+Virginia!I24+Washington!I24+'West Virginia'!I24+Wisconsin!I24+Wyoming!I24</f>
        <v>12923000</v>
      </c>
      <c r="J24" s="3">
        <f>+Alabama!J24+Alaska!J24+Arizona!J24+Arkansas!J24+California!J24+Colorado!J24+Connecticut!J24+Delaware!J24+'District of Columbia'!J24+Florida!J24+Georgia!J24+Hawaii!J24+Idaho!J24+Illinois!J24+Indiana!J24+Iowa!J24+Kansas!J24+Kentucky!J24+Louisiana!J24+Maine!J24+Maryland!J24+Massachusettes!J24+Michigan!J24+Minnesota!J24+Mississippi!J24+Missouri!J24+Montana!J24+Nebraska!J24+Nevada!J24+'New Hampshire'!J24+'New Jersey'!J24+'New Mexico'!J24+'New York'!J24+'North Carolina'!J24+'North Dakota'!J24+Ohio!J24+Oklahoma!J24+Oregon!J24+Pennsylvania!J24+'Puerto Rico'!J24+'Rhode Island'!J24+'South Carolina'!J24+'South Dakota '!J24+Tennessee!J24+Texas!J24+Utah!J24+Vermont!J24+Virginia!J24+Washington!J24+'West Virginia'!J24+Wisconsin!J24+Wyoming!J24</f>
        <v>0</v>
      </c>
      <c r="K24" s="3">
        <f t="shared" si="5"/>
        <v>1950629000</v>
      </c>
      <c r="L24" s="3">
        <f t="shared" si="5"/>
        <v>42985000</v>
      </c>
      <c r="M24" s="3">
        <f t="shared" si="5"/>
        <v>330000</v>
      </c>
      <c r="N24" s="3">
        <f t="shared" si="1"/>
        <v>1993944000</v>
      </c>
      <c r="P24" s="1">
        <v>23</v>
      </c>
    </row>
    <row r="25" spans="1:16" x14ac:dyDescent="0.15">
      <c r="A25" s="1">
        <v>1993</v>
      </c>
      <c r="B25" s="3">
        <f>+Alabama!B25+Alaska!B25+Arizona!B25+Arkansas!B25+California!B25+Colorado!B25+Connecticut!B25+Delaware!B25+'District of Columbia'!B25+Florida!B25+Georgia!B25+Hawaii!B25+Idaho!B25+Illinois!B25+Indiana!B25+Iowa!B25+Kansas!B25+Kentucky!B25+Louisiana!B25+Maine!B25+Maryland!B25+Massachusettes!B25+Michigan!B25+Minnesota!B25+Mississippi!B25+Missouri!B25+Montana!B25+Nebraska!B25+Nevada!B25+'New Hampshire'!B25+'New Jersey'!B25+'New Mexico'!B25+'New York'!B25+'North Carolina'!B25+'North Dakota'!B25+Ohio!B25+Oklahoma!B25+Oregon!B25+Pennsylvania!B25+'Puerto Rico'!B25+'Rhode Island'!B25+'South Carolina'!B25+'South Dakota '!B25+Tennessee!B25+Texas!B25+Utah!B25+Vermont!B25+Virginia!B25+Washington!B25+'West Virginia'!B25+Wisconsin!B25+Wyoming!B25</f>
        <v>1761049000</v>
      </c>
      <c r="C25" s="3">
        <f>+Alabama!C25+Alaska!C25+Arizona!C25+Arkansas!C25+California!C25+Colorado!C25+Connecticut!C25+Delaware!C25+'District of Columbia'!C25+Florida!C25+Georgia!C25+Hawaii!C25+Idaho!C25+Illinois!C25+Indiana!C25+Iowa!C25+Kansas!C25+Kentucky!C25+Louisiana!C25+Maine!C25+Maryland!C25+Massachusettes!C25+Michigan!C25+Minnesota!C25+Mississippi!C25+Missouri!C25+Montana!C25+Nebraska!C25+Nevada!C25+'New Hampshire'!C25+'New Jersey'!C25+'New Mexico'!C25+'New York'!C25+'North Carolina'!C25+'North Dakota'!C25+Ohio!C25+Oklahoma!C25+Oregon!C25+Pennsylvania!C25+'Puerto Rico'!C25+'Rhode Island'!C25+'South Carolina'!C25+'South Dakota '!C25+Tennessee!C25+Texas!C25+Utah!C25+Vermont!C25+Virginia!C25+Washington!C25+'West Virginia'!C25+Wisconsin!C25+Wyoming!C25</f>
        <v>16742000</v>
      </c>
      <c r="D25" s="3">
        <f>+Alabama!D25+Alaska!D25+Arizona!D25+Arkansas!D25+California!D25+Colorado!D25+Connecticut!D25+Delaware!D25+'District of Columbia'!D25+Florida!D25+Georgia!D25+Hawaii!D25+Idaho!D25+Illinois!D25+Indiana!D25+Iowa!D25+Kansas!D25+Kentucky!D25+Louisiana!D25+Maine!D25+Maryland!D25+Massachusettes!D25+Michigan!D25+Minnesota!D25+Mississippi!D25+Missouri!D25+Montana!D25+Nebraska!D25+Nevada!D25+'New Hampshire'!D25+'New Jersey'!D25+'New Mexico'!D25+'New York'!D25+'North Carolina'!D25+'North Dakota'!D25+Ohio!D25+Oklahoma!D25+Oregon!D25+Pennsylvania!D25+'Puerto Rico'!D25+'Rhode Island'!D25+'South Carolina'!D25+'South Dakota '!D25+Tennessee!D25+Texas!D25+Utah!D25+Vermont!D25+Virginia!D25+Washington!D25+'West Virginia'!D25+Wisconsin!D25+Wyoming!D25</f>
        <v>396000</v>
      </c>
      <c r="E25" s="3">
        <f>+Alabama!E25+Alaska!E25+Arizona!E25+Arkansas!E25+California!E25+Colorado!E25+Connecticut!E25+Delaware!E25+'District of Columbia'!E25+Florida!E25+Georgia!E25+Hawaii!E25+Idaho!E25+Illinois!E25+Indiana!E25+Iowa!E25+Kansas!E25+Kentucky!E25+Louisiana!E25+Maine!E25+Maryland!E25+Massachusettes!E25+Michigan!E25+Minnesota!E25+Mississippi!E25+Missouri!E25+Montana!E25+Nebraska!E25+Nevada!E25+'New Hampshire'!E25+'New Jersey'!E25+'New Mexico'!E25+'New York'!E25+'North Carolina'!E25+'North Dakota'!E25+Ohio!E25+Oklahoma!E25+Oregon!E25+Pennsylvania!E25+'Puerto Rico'!E25+'Rhode Island'!E25+'South Carolina'!E25+'South Dakota '!E25+Tennessee!E25+Texas!E25+Utah!E25+Vermont!E25+Virginia!E25+Washington!E25+'West Virginia'!E25+Wisconsin!E25+Wyoming!E25</f>
        <v>193176000</v>
      </c>
      <c r="F25" s="3">
        <f>+Alabama!F25+Alaska!F25+Arizona!F25+Arkansas!F25+California!F25+Colorado!F25+Connecticut!F25+Delaware!F25+'District of Columbia'!F25+Florida!F25+Georgia!F25+Hawaii!F25+Idaho!F25+Illinois!F25+Indiana!F25+Iowa!F25+Kansas!F25+Kentucky!F25+Louisiana!F25+Maine!F25+Maryland!F25+Massachusettes!F25+Michigan!F25+Minnesota!F25+Mississippi!F25+Missouri!F25+Montana!F25+Nebraska!F25+Nevada!F25+'New Hampshire'!F25+'New Jersey'!F25+'New Mexico'!F25+'New York'!F25+'North Carolina'!F25+'North Dakota'!F25+Ohio!F25+Oklahoma!F25+Oregon!F25+Pennsylvania!F25+'Puerto Rico'!F25+'Rhode Island'!F25+'South Carolina'!F25+'South Dakota '!F25+Tennessee!F25+Texas!F25+Utah!F25+Vermont!F25+Virginia!F25+Washington!F25+'West Virginia'!F25+Wisconsin!F25+Wyoming!F25</f>
        <v>10683000</v>
      </c>
      <c r="G25" s="3">
        <f>+Alabama!G25+Alaska!G25+Arizona!G25+Arkansas!G25+California!G25+Colorado!G25+Connecticut!G25+Delaware!G25+'District of Columbia'!G25+Florida!G25+Georgia!G25+Hawaii!G25+Idaho!G25+Illinois!G25+Indiana!G25+Iowa!G25+Kansas!G25+Kentucky!G25+Louisiana!G25+Maine!G25+Maryland!G25+Massachusettes!G25+Michigan!G25+Minnesota!G25+Mississippi!G25+Missouri!G25+Montana!G25+Nebraska!G25+Nevada!G25+'New Hampshire'!G25+'New Jersey'!G25+'New Mexico'!G25+'New York'!G25+'North Carolina'!G25+'North Dakota'!G25+Ohio!G25+Oklahoma!G25+Oregon!G25+Pennsylvania!G25+'Puerto Rico'!G25+'Rhode Island'!G25+'South Carolina'!G25+'South Dakota '!G25+Tennessee!G25+Texas!G25+Utah!G25+Vermont!G25+Virginia!G25+Washington!G25+'West Virginia'!G25+Wisconsin!G25+Wyoming!G25</f>
        <v>0</v>
      </c>
      <c r="H25" s="3">
        <f>+Alabama!H25+Alaska!H25+Arizona!H25+Arkansas!H25+California!H25+Colorado!H25+Connecticut!H25+Delaware!H25+'District of Columbia'!H25+Florida!H25+Georgia!H25+Hawaii!H25+Idaho!H25+Illinois!H25+Indiana!H25+Iowa!H25+Kansas!H25+Kentucky!H25+Louisiana!H25+Maine!H25+Maryland!H25+Massachusettes!H25+Michigan!H25+Minnesota!H25+Mississippi!H25+Missouri!H25+Montana!H25+Nebraska!H25+Nevada!H25+'New Hampshire'!H25+'New Jersey'!H25+'New Mexico'!H25+'New York'!H25+'North Carolina'!H25+'North Dakota'!H25+Ohio!H25+Oklahoma!H25+Oregon!H25+Pennsylvania!H25+'Puerto Rico'!H25+'Rhode Island'!H25+'South Carolina'!H25+'South Dakota '!H25+Tennessee!H25+Texas!H25+Utah!H25+Vermont!H25+Virginia!H25+Washington!H25+'West Virginia'!H25+Wisconsin!H25+Wyoming!H25</f>
        <v>212872000</v>
      </c>
      <c r="I25" s="3">
        <f>+Alabama!I25+Alaska!I25+Arizona!I25+Arkansas!I25+California!I25+Colorado!I25+Connecticut!I25+Delaware!I25+'District of Columbia'!I25+Florida!I25+Georgia!I25+Hawaii!I25+Idaho!I25+Illinois!I25+Indiana!I25+Iowa!I25+Kansas!I25+Kentucky!I25+Louisiana!I25+Maine!I25+Maryland!I25+Massachusettes!I25+Michigan!I25+Minnesota!I25+Mississippi!I25+Missouri!I25+Montana!I25+Nebraska!I25+Nevada!I25+'New Hampshire'!I25+'New Jersey'!I25+'New Mexico'!I25+'New York'!I25+'North Carolina'!I25+'North Dakota'!I25+Ohio!I25+Oklahoma!I25+Oregon!I25+Pennsylvania!I25+'Puerto Rico'!I25+'Rhode Island'!I25+'South Carolina'!I25+'South Dakota '!I25+Tennessee!I25+Texas!I25+Utah!I25+Vermont!I25+Virginia!I25+Washington!I25+'West Virginia'!I25+Wisconsin!I25+Wyoming!I25</f>
        <v>12716000</v>
      </c>
      <c r="J25" s="3">
        <f>+Alabama!J25+Alaska!J25+Arizona!J25+Arkansas!J25+California!J25+Colorado!J25+Connecticut!J25+Delaware!J25+'District of Columbia'!J25+Florida!J25+Georgia!J25+Hawaii!J25+Idaho!J25+Illinois!J25+Indiana!J25+Iowa!J25+Kansas!J25+Kentucky!J25+Louisiana!J25+Maine!J25+Maryland!J25+Massachusettes!J25+Michigan!J25+Minnesota!J25+Mississippi!J25+Missouri!J25+Montana!J25+Nebraska!J25+Nevada!J25+'New Hampshire'!J25+'New Jersey'!J25+'New Mexico'!J25+'New York'!J25+'North Carolina'!J25+'North Dakota'!J25+Ohio!J25+Oklahoma!J25+Oregon!J25+Pennsylvania!J25+'Puerto Rico'!J25+'Rhode Island'!J25+'South Carolina'!J25+'South Dakota '!J25+Tennessee!J25+Texas!J25+Utah!J25+Vermont!J25+Virginia!J25+Washington!J25+'West Virginia'!J25+Wisconsin!J25+Wyoming!J25</f>
        <v>0</v>
      </c>
      <c r="K25" s="3">
        <f t="shared" si="5"/>
        <v>2167097000</v>
      </c>
      <c r="L25" s="3">
        <f t="shared" si="5"/>
        <v>40141000</v>
      </c>
      <c r="M25" s="3">
        <f t="shared" si="5"/>
        <v>396000</v>
      </c>
      <c r="N25" s="3">
        <f t="shared" si="1"/>
        <v>2207634000</v>
      </c>
      <c r="P25" s="1">
        <v>24</v>
      </c>
    </row>
    <row r="26" spans="1:16" x14ac:dyDescent="0.15">
      <c r="A26" s="1">
        <v>1994</v>
      </c>
      <c r="B26" s="3">
        <f>+Alabama!B26+Alaska!B26+Arizona!B26+Arkansas!B26+California!B26+Colorado!B26+Connecticut!B26+Delaware!B26+'District of Columbia'!B26+Florida!B26+Georgia!B26+Hawaii!B26+Idaho!B26+Illinois!B26+Indiana!B26+Iowa!B26+Kansas!B26+Kentucky!B26+Louisiana!B26+Maine!B26+Maryland!B26+Massachusettes!B26+Michigan!B26+Minnesota!B26+Mississippi!B26+Missouri!B26+Montana!B26+Nebraska!B26+Nevada!B26+'New Hampshire'!B26+'New Jersey'!B26+'New Mexico'!B26+'New York'!B26+'North Carolina'!B26+'North Dakota'!B26+Ohio!B26+Oklahoma!B26+Oregon!B26+Pennsylvania!B26+'Puerto Rico'!B26+'Rhode Island'!B26+'South Carolina'!B26+'South Dakota '!B26+Tennessee!B26+Texas!B26+Utah!B26+Vermont!B26+Virginia!B26+Washington!B26+'West Virginia'!B26+Wisconsin!B26+Wyoming!B26</f>
        <v>1988169000</v>
      </c>
      <c r="C26" s="3">
        <f>+Alabama!C26+Alaska!C26+Arizona!C26+Arkansas!C26+California!C26+Colorado!C26+Connecticut!C26+Delaware!C26+'District of Columbia'!C26+Florida!C26+Georgia!C26+Hawaii!C26+Idaho!C26+Illinois!C26+Indiana!C26+Iowa!C26+Kansas!C26+Kentucky!C26+Louisiana!C26+Maine!C26+Maryland!C26+Massachusettes!C26+Michigan!C26+Minnesota!C26+Mississippi!C26+Missouri!C26+Montana!C26+Nebraska!C26+Nevada!C26+'New Hampshire'!C26+'New Jersey'!C26+'New Mexico'!C26+'New York'!C26+'North Carolina'!C26+'North Dakota'!C26+Ohio!C26+Oklahoma!C26+Oregon!C26+Pennsylvania!C26+'Puerto Rico'!C26+'Rhode Island'!C26+'South Carolina'!C26+'South Dakota '!C26+Tennessee!C26+Texas!C26+Utah!C26+Vermont!C26+Virginia!C26+Washington!C26+'West Virginia'!C26+Wisconsin!C26+Wyoming!C26</f>
        <v>18693000</v>
      </c>
      <c r="D26" s="3">
        <f>+Alabama!D26+Alaska!D26+Arizona!D26+Arkansas!D26+California!D26+Colorado!D26+Connecticut!D26+Delaware!D26+'District of Columbia'!D26+Florida!D26+Georgia!D26+Hawaii!D26+Idaho!D26+Illinois!D26+Indiana!D26+Iowa!D26+Kansas!D26+Kentucky!D26+Louisiana!D26+Maine!D26+Maryland!D26+Massachusettes!D26+Michigan!D26+Minnesota!D26+Mississippi!D26+Missouri!D26+Montana!D26+Nebraska!D26+Nevada!D26+'New Hampshire'!D26+'New Jersey'!D26+'New Mexico'!D26+'New York'!D26+'North Carolina'!D26+'North Dakota'!D26+Ohio!D26+Oklahoma!D26+Oregon!D26+Pennsylvania!D26+'Puerto Rico'!D26+'Rhode Island'!D26+'South Carolina'!D26+'South Dakota '!D26+Tennessee!D26+Texas!D26+Utah!D26+Vermont!D26+Virginia!D26+Washington!D26+'West Virginia'!D26+Wisconsin!D26+Wyoming!D26</f>
        <v>398000</v>
      </c>
      <c r="E26" s="3">
        <f>+Alabama!E26+Alaska!E26+Arizona!E26+Arkansas!E26+California!E26+Colorado!E26+Connecticut!E26+Delaware!E26+'District of Columbia'!E26+Florida!E26+Georgia!E26+Hawaii!E26+Idaho!E26+Illinois!E26+Indiana!E26+Iowa!E26+Kansas!E26+Kentucky!E26+Louisiana!E26+Maine!E26+Maryland!E26+Massachusettes!E26+Michigan!E26+Minnesota!E26+Mississippi!E26+Missouri!E26+Montana!E26+Nebraska!E26+Nevada!E26+'New Hampshire'!E26+'New Jersey'!E26+'New Mexico'!E26+'New York'!E26+'North Carolina'!E26+'North Dakota'!E26+Ohio!E26+Oklahoma!E26+Oregon!E26+Pennsylvania!E26+'Puerto Rico'!E26+'Rhode Island'!E26+'South Carolina'!E26+'South Dakota '!E26+Tennessee!E26+Texas!E26+Utah!E26+Vermont!E26+Virginia!E26+Washington!E26+'West Virginia'!E26+Wisconsin!E26+Wyoming!E26</f>
        <v>227543000</v>
      </c>
      <c r="F26" s="3">
        <f>+Alabama!F26+Alaska!F26+Arizona!F26+Arkansas!F26+California!F26+Colorado!F26+Connecticut!F26+Delaware!F26+'District of Columbia'!F26+Florida!F26+Georgia!F26+Hawaii!F26+Idaho!F26+Illinois!F26+Indiana!F26+Iowa!F26+Kansas!F26+Kentucky!F26+Louisiana!F26+Maine!F26+Maryland!F26+Massachusettes!F26+Michigan!F26+Minnesota!F26+Mississippi!F26+Missouri!F26+Montana!F26+Nebraska!F26+Nevada!F26+'New Hampshire'!F26+'New Jersey'!F26+'New Mexico'!F26+'New York'!F26+'North Carolina'!F26+'North Dakota'!F26+Ohio!F26+Oklahoma!F26+Oregon!F26+Pennsylvania!F26+'Puerto Rico'!F26+'Rhode Island'!F26+'South Carolina'!F26+'South Dakota '!F26+Tennessee!F26+Texas!F26+Utah!F26+Vermont!F26+Virginia!F26+Washington!F26+'West Virginia'!F26+Wisconsin!F26+Wyoming!F26</f>
        <v>10619000</v>
      </c>
      <c r="G26" s="3">
        <f>+Alabama!G26+Alaska!G26+Arizona!G26+Arkansas!G26+California!G26+Colorado!G26+Connecticut!G26+Delaware!G26+'District of Columbia'!G26+Florida!G26+Georgia!G26+Hawaii!G26+Idaho!G26+Illinois!G26+Indiana!G26+Iowa!G26+Kansas!G26+Kentucky!G26+Louisiana!G26+Maine!G26+Maryland!G26+Massachusettes!G26+Michigan!G26+Minnesota!G26+Mississippi!G26+Missouri!G26+Montana!G26+Nebraska!G26+Nevada!G26+'New Hampshire'!G26+'New Jersey'!G26+'New Mexico'!G26+'New York'!G26+'North Carolina'!G26+'North Dakota'!G26+Ohio!G26+Oklahoma!G26+Oregon!G26+Pennsylvania!G26+'Puerto Rico'!G26+'Rhode Island'!G26+'South Carolina'!G26+'South Dakota '!G26+Tennessee!G26+Texas!G26+Utah!G26+Vermont!G26+Virginia!G26+Washington!G26+'West Virginia'!G26+Wisconsin!G26+Wyoming!G26</f>
        <v>0</v>
      </c>
      <c r="H26" s="3">
        <f>+Alabama!H26+Alaska!H26+Arizona!H26+Arkansas!H26+California!H26+Colorado!H26+Connecticut!H26+Delaware!H26+'District of Columbia'!H26+Florida!H26+Georgia!H26+Hawaii!H26+Idaho!H26+Illinois!H26+Indiana!H26+Iowa!H26+Kansas!H26+Kentucky!H26+Louisiana!H26+Maine!H26+Maryland!H26+Massachusettes!H26+Michigan!H26+Minnesota!H26+Mississippi!H26+Missouri!H26+Montana!H26+Nebraska!H26+Nevada!H26+'New Hampshire'!H26+'New Jersey'!H26+'New Mexico'!H26+'New York'!H26+'North Carolina'!H26+'North Dakota'!H26+Ohio!H26+Oklahoma!H26+Oregon!H26+Pennsylvania!H26+'Puerto Rico'!H26+'Rhode Island'!H26+'South Carolina'!H26+'South Dakota '!H26+Tennessee!H26+Texas!H26+Utah!H26+Vermont!H26+Virginia!H26+Washington!H26+'West Virginia'!H26+Wisconsin!H26+Wyoming!H26</f>
        <v>244486000</v>
      </c>
      <c r="I26" s="3">
        <f>+Alabama!I26+Alaska!I26+Arizona!I26+Arkansas!I26+California!I26+Colorado!I26+Connecticut!I26+Delaware!I26+'District of Columbia'!I26+Florida!I26+Georgia!I26+Hawaii!I26+Idaho!I26+Illinois!I26+Indiana!I26+Iowa!I26+Kansas!I26+Kentucky!I26+Louisiana!I26+Maine!I26+Maryland!I26+Massachusettes!I26+Michigan!I26+Minnesota!I26+Mississippi!I26+Missouri!I26+Montana!I26+Nebraska!I26+Nevada!I26+'New Hampshire'!I26+'New Jersey'!I26+'New Mexico'!I26+'New York'!I26+'North Carolina'!I26+'North Dakota'!I26+Ohio!I26+Oklahoma!I26+Oregon!I26+Pennsylvania!I26+'Puerto Rico'!I26+'Rhode Island'!I26+'South Carolina'!I26+'South Dakota '!I26+Tennessee!I26+Texas!I26+Utah!I26+Vermont!I26+Virginia!I26+Washington!I26+'West Virginia'!I26+Wisconsin!I26+Wyoming!I26</f>
        <v>11367000</v>
      </c>
      <c r="J26" s="3">
        <f>+Alabama!J26+Alaska!J26+Arizona!J26+Arkansas!J26+California!J26+Colorado!J26+Connecticut!J26+Delaware!J26+'District of Columbia'!J26+Florida!J26+Georgia!J26+Hawaii!J26+Idaho!J26+Illinois!J26+Indiana!J26+Iowa!J26+Kansas!J26+Kentucky!J26+Louisiana!J26+Maine!J26+Maryland!J26+Massachusettes!J26+Michigan!J26+Minnesota!J26+Mississippi!J26+Missouri!J26+Montana!J26+Nebraska!J26+Nevada!J26+'New Hampshire'!J26+'New Jersey'!J26+'New Mexico'!J26+'New York'!J26+'North Carolina'!J26+'North Dakota'!J26+Ohio!J26+Oklahoma!J26+Oregon!J26+Pennsylvania!J26+'Puerto Rico'!J26+'Rhode Island'!J26+'South Carolina'!J26+'South Dakota '!J26+Tennessee!J26+Texas!J26+Utah!J26+Vermont!J26+Virginia!J26+Washington!J26+'West Virginia'!J26+Wisconsin!J26+Wyoming!J26</f>
        <v>0</v>
      </c>
      <c r="K26" s="3">
        <f t="shared" si="5"/>
        <v>2460198000</v>
      </c>
      <c r="L26" s="3">
        <f t="shared" si="5"/>
        <v>40679000</v>
      </c>
      <c r="M26" s="3">
        <f t="shared" si="5"/>
        <v>398000</v>
      </c>
      <c r="N26" s="3">
        <f t="shared" si="1"/>
        <v>2501275000</v>
      </c>
      <c r="P26" s="7">
        <v>25</v>
      </c>
    </row>
    <row r="27" spans="1:16" x14ac:dyDescent="0.15">
      <c r="A27" s="1">
        <v>1995</v>
      </c>
      <c r="B27" s="3">
        <f>+Alabama!B27+Alaska!B27+Arizona!B27+Arkansas!B27+California!B27+Colorado!B27+Connecticut!B27+Delaware!B27+'District of Columbia'!B27+Florida!B27+Georgia!B27+Hawaii!B27+Idaho!B27+Illinois!B27+Indiana!B27+Iowa!B27+Kansas!B27+Kentucky!B27+Louisiana!B27+Maine!B27+Maryland!B27+Massachusettes!B27+Michigan!B27+Minnesota!B27+Mississippi!B27+Missouri!B27+Montana!B27+Nebraska!B27+Nevada!B27+'New Hampshire'!B27+'New Jersey'!B27+'New Mexico'!B27+'New York'!B27+'North Carolina'!B27+'North Dakota'!B27+Ohio!B27+Oklahoma!B27+Oregon!B27+Pennsylvania!B27+'Puerto Rico'!B27+'Rhode Island'!B27+'South Carolina'!B27+'South Dakota '!B27+Tennessee!B27+Texas!B27+Utah!B27+Vermont!B27+Virginia!B27+Washington!B27+'West Virginia'!B27+Wisconsin!B27+Wyoming!B27</f>
        <v>2068753179</v>
      </c>
      <c r="C27" s="3">
        <f>+Alabama!C27+Alaska!C27+Arizona!C27+Arkansas!C27+California!C27+Colorado!C27+Connecticut!C27+Delaware!C27+'District of Columbia'!C27+Florida!C27+Georgia!C27+Hawaii!C27+Idaho!C27+Illinois!C27+Indiana!C27+Iowa!C27+Kansas!C27+Kentucky!C27+Louisiana!C27+Maine!C27+Maryland!C27+Massachusettes!C27+Michigan!C27+Minnesota!C27+Mississippi!C27+Missouri!C27+Montana!C27+Nebraska!C27+Nevada!C27+'New Hampshire'!C27+'New Jersey'!C27+'New Mexico'!C27+'New York'!C27+'North Carolina'!C27+'North Dakota'!C27+Ohio!C27+Oklahoma!C27+Oregon!C27+Pennsylvania!C27+'Puerto Rico'!C27+'Rhode Island'!C27+'South Carolina'!C27+'South Dakota '!C27+Tennessee!C27+Texas!C27+Utah!C27+Vermont!C27+Virginia!C27+Washington!C27+'West Virginia'!C27+Wisconsin!C27+Wyoming!C27</f>
        <v>12205000</v>
      </c>
      <c r="D27" s="3">
        <f>+Alabama!D27+Alaska!D27+Arizona!D27+Arkansas!D27+California!D27+Colorado!D27+Connecticut!D27+Delaware!D27+'District of Columbia'!D27+Florida!D27+Georgia!D27+Hawaii!D27+Idaho!D27+Illinois!D27+Indiana!D27+Iowa!D27+Kansas!D27+Kentucky!D27+Louisiana!D27+Maine!D27+Maryland!D27+Massachusettes!D27+Michigan!D27+Minnesota!D27+Mississippi!D27+Missouri!D27+Montana!D27+Nebraska!D27+Nevada!D27+'New Hampshire'!D27+'New Jersey'!D27+'New Mexico'!D27+'New York'!D27+'North Carolina'!D27+'North Dakota'!D27+Ohio!D27+Oklahoma!D27+Oregon!D27+Pennsylvania!D27+'Puerto Rico'!D27+'Rhode Island'!D27+'South Carolina'!D27+'South Dakota '!D27+Tennessee!D27+Texas!D27+Utah!D27+Vermont!D27+Virginia!D27+Washington!D27+'West Virginia'!D27+Wisconsin!D27+Wyoming!D27</f>
        <v>398000</v>
      </c>
      <c r="E27" s="3">
        <f>+Alabama!E27+Alaska!E27+Arizona!E27+Arkansas!E27+California!E27+Colorado!E27+Connecticut!E27+Delaware!E27+'District of Columbia'!E27+Florida!E27+Georgia!E27+Hawaii!E27+Idaho!E27+Illinois!E27+Indiana!E27+Iowa!E27+Kansas!E27+Kentucky!E27+Louisiana!E27+Maine!E27+Maryland!E27+Massachusettes!E27+Michigan!E27+Minnesota!E27+Mississippi!E27+Missouri!E27+Montana!E27+Nebraska!E27+Nevada!E27+'New Hampshire'!E27+'New Jersey'!E27+'New Mexico'!E27+'New York'!E27+'North Carolina'!E27+'North Dakota'!E27+Ohio!E27+Oklahoma!E27+Oregon!E27+Pennsylvania!E27+'Puerto Rico'!E27+'Rhode Island'!E27+'South Carolina'!E27+'South Dakota '!E27+Tennessee!E27+Texas!E27+Utah!E27+Vermont!E27+Virginia!E27+Washington!E27+'West Virginia'!E27+Wisconsin!E27+Wyoming!E27</f>
        <v>374785963</v>
      </c>
      <c r="F27" s="3">
        <f>+Alabama!F27+Alaska!F27+Arizona!F27+Arkansas!F27+California!F27+Colorado!F27+Connecticut!F27+Delaware!F27+'District of Columbia'!F27+Florida!F27+Georgia!F27+Hawaii!F27+Idaho!F27+Illinois!F27+Indiana!F27+Iowa!F27+Kansas!F27+Kentucky!F27+Louisiana!F27+Maine!F27+Maryland!F27+Massachusettes!F27+Michigan!F27+Minnesota!F27+Mississippi!F27+Missouri!F27+Montana!F27+Nebraska!F27+Nevada!F27+'New Hampshire'!F27+'New Jersey'!F27+'New Mexico'!F27+'New York'!F27+'North Carolina'!F27+'North Dakota'!F27+Ohio!F27+Oklahoma!F27+Oregon!F27+Pennsylvania!F27+'Puerto Rico'!F27+'Rhode Island'!F27+'South Carolina'!F27+'South Dakota '!F27+Tennessee!F27+Texas!F27+Utah!F27+Vermont!F27+Virginia!F27+Washington!F27+'West Virginia'!F27+Wisconsin!F27+Wyoming!F27</f>
        <v>15917000</v>
      </c>
      <c r="G27" s="3">
        <f>+Alabama!G27+Alaska!G27+Arizona!G27+Arkansas!G27+California!G27+Colorado!G27+Connecticut!G27+Delaware!G27+'District of Columbia'!G27+Florida!G27+Georgia!G27+Hawaii!G27+Idaho!G27+Illinois!G27+Indiana!G27+Iowa!G27+Kansas!G27+Kentucky!G27+Louisiana!G27+Maine!G27+Maryland!G27+Massachusettes!G27+Michigan!G27+Minnesota!G27+Mississippi!G27+Missouri!G27+Montana!G27+Nebraska!G27+Nevada!G27+'New Hampshire'!G27+'New Jersey'!G27+'New Mexico'!G27+'New York'!G27+'North Carolina'!G27+'North Dakota'!G27+Ohio!G27+Oklahoma!G27+Oregon!G27+Pennsylvania!G27+'Puerto Rico'!G27+'Rhode Island'!G27+'South Carolina'!G27+'South Dakota '!G27+Tennessee!G27+Texas!G27+Utah!G27+Vermont!G27+Virginia!G27+Washington!G27+'West Virginia'!G27+Wisconsin!G27+Wyoming!G27</f>
        <v>0</v>
      </c>
      <c r="H27" s="3">
        <f>+Alabama!H27+Alaska!H27+Arizona!H27+Arkansas!H27+California!H27+Colorado!H27+Connecticut!H27+Delaware!H27+'District of Columbia'!H27+Florida!H27+Georgia!H27+Hawaii!H27+Idaho!H27+Illinois!H27+Indiana!H27+Iowa!H27+Kansas!H27+Kentucky!H27+Louisiana!H27+Maine!H27+Maryland!H27+Massachusettes!H27+Michigan!H27+Minnesota!H27+Mississippi!H27+Missouri!H27+Montana!H27+Nebraska!H27+Nevada!H27+'New Hampshire'!H27+'New Jersey'!H27+'New Mexico'!H27+'New York'!H27+'North Carolina'!H27+'North Dakota'!H27+Ohio!H27+Oklahoma!H27+Oregon!H27+Pennsylvania!H27+'Puerto Rico'!H27+'Rhode Island'!H27+'South Carolina'!H27+'South Dakota '!H27+Tennessee!H27+Texas!H27+Utah!H27+Vermont!H27+Virginia!H27+Washington!H27+'West Virginia'!H27+Wisconsin!H27+Wyoming!H27</f>
        <v>354322000</v>
      </c>
      <c r="I27" s="3">
        <f>+Alabama!I27+Alaska!I27+Arizona!I27+Arkansas!I27+California!I27+Colorado!I27+Connecticut!I27+Delaware!I27+'District of Columbia'!I27+Florida!I27+Georgia!I27+Hawaii!I27+Idaho!I27+Illinois!I27+Indiana!I27+Iowa!I27+Kansas!I27+Kentucky!I27+Louisiana!I27+Maine!I27+Maryland!I27+Massachusettes!I27+Michigan!I27+Minnesota!I27+Mississippi!I27+Missouri!I27+Montana!I27+Nebraska!I27+Nevada!I27+'New Hampshire'!I27+'New Jersey'!I27+'New Mexico'!I27+'New York'!I27+'North Carolina'!I27+'North Dakota'!I27+Ohio!I27+Oklahoma!I27+Oregon!I27+Pennsylvania!I27+'Puerto Rico'!I27+'Rhode Island'!I27+'South Carolina'!I27+'South Dakota '!I27+Tennessee!I27+Texas!I27+Utah!I27+Vermont!I27+Virginia!I27+Washington!I27+'West Virginia'!I27+Wisconsin!I27+Wyoming!I27</f>
        <v>33377000</v>
      </c>
      <c r="J27" s="3">
        <f>+Alabama!J27+Alaska!J27+Arizona!J27+Arkansas!J27+California!J27+Colorado!J27+Connecticut!J27+Delaware!J27+'District of Columbia'!J27+Florida!J27+Georgia!J27+Hawaii!J27+Idaho!J27+Illinois!J27+Indiana!J27+Iowa!J27+Kansas!J27+Kentucky!J27+Louisiana!J27+Maine!J27+Maryland!J27+Massachusettes!J27+Michigan!J27+Minnesota!J27+Mississippi!J27+Missouri!J27+Montana!J27+Nebraska!J27+Nevada!J27+'New Hampshire'!J27+'New Jersey'!J27+'New Mexico'!J27+'New York'!J27+'North Carolina'!J27+'North Dakota'!J27+Ohio!J27+Oklahoma!J27+Oregon!J27+Pennsylvania!J27+'Puerto Rico'!J27+'Rhode Island'!J27+'South Carolina'!J27+'South Dakota '!J27+Tennessee!J27+Texas!J27+Utah!J27+Vermont!J27+Virginia!J27+Washington!J27+'West Virginia'!J27+Wisconsin!J27+Wyoming!J27</f>
        <v>0</v>
      </c>
      <c r="K27" s="3">
        <f t="shared" si="5"/>
        <v>2797861142</v>
      </c>
      <c r="L27" s="3">
        <f t="shared" si="5"/>
        <v>61499000</v>
      </c>
      <c r="M27" s="3">
        <f t="shared" si="5"/>
        <v>398000</v>
      </c>
      <c r="N27" s="3">
        <f t="shared" si="1"/>
        <v>2859758142</v>
      </c>
      <c r="P27" s="1">
        <v>26</v>
      </c>
    </row>
    <row r="28" spans="1:16" x14ac:dyDescent="0.15">
      <c r="A28" s="1">
        <v>1996</v>
      </c>
      <c r="B28" s="3">
        <f>+Alabama!B28+Alaska!B28+Arizona!B28+Arkansas!B28+California!B28+Colorado!B28+Connecticut!B28+Delaware!B28+'District of Columbia'!B28+Florida!B28+Georgia!B28+Hawaii!B28+Idaho!B28+Illinois!B28+Indiana!B28+Iowa!B28+Kansas!B28+Kentucky!B28+Louisiana!B28+Maine!B28+Maryland!B28+Massachusettes!B28+Michigan!B28+Minnesota!B28+Mississippi!B28+Missouri!B28+Montana!B28+Nebraska!B28+Nevada!B28+'New Hampshire'!B28+'New Jersey'!B28+'New Mexico'!B28+'New York'!B28+'North Carolina'!B28+'North Dakota'!B28+Ohio!B28+Oklahoma!B28+Oregon!B28+Pennsylvania!B28+'Puerto Rico'!B28+'Rhode Island'!B28+'South Carolina'!B28+'South Dakota '!B28+Tennessee!B28+Texas!B28+Utah!B28+Vermont!B28+Virginia!B28+Washington!B28+'West Virginia'!B28+Wisconsin!B28+Wyoming!B28</f>
        <v>2151637214</v>
      </c>
      <c r="C28" s="3">
        <f>+Alabama!C28+Alaska!C28+Arizona!C28+Arkansas!C28+California!C28+Colorado!C28+Connecticut!C28+Delaware!C28+'District of Columbia'!C28+Florida!C28+Georgia!C28+Hawaii!C28+Idaho!C28+Illinois!C28+Indiana!C28+Iowa!C28+Kansas!C28+Kentucky!C28+Louisiana!C28+Maine!C28+Maryland!C28+Massachusettes!C28+Michigan!C28+Minnesota!C28+Mississippi!C28+Missouri!C28+Montana!C28+Nebraska!C28+Nevada!C28+'New Hampshire'!C28+'New Jersey'!C28+'New Mexico'!C28+'New York'!C28+'North Carolina'!C28+'North Dakota'!C28+Ohio!C28+Oklahoma!C28+Oregon!C28+Pennsylvania!C28+'Puerto Rico'!C28+'Rhode Island'!C28+'South Carolina'!C28+'South Dakota '!C28+Tennessee!C28+Texas!C28+Utah!C28+Vermont!C28+Virginia!C28+Washington!C28+'West Virginia'!C28+Wisconsin!C28+Wyoming!C28</f>
        <v>4040000</v>
      </c>
      <c r="D28" s="3">
        <f>+Alabama!D28+Alaska!D28+Arizona!D28+Arkansas!D28+California!D28+Colorado!D28+Connecticut!D28+Delaware!D28+'District of Columbia'!D28+Florida!D28+Georgia!D28+Hawaii!D28+Idaho!D28+Illinois!D28+Indiana!D28+Iowa!D28+Kansas!D28+Kentucky!D28+Louisiana!D28+Maine!D28+Maryland!D28+Massachusettes!D28+Michigan!D28+Minnesota!D28+Mississippi!D28+Missouri!D28+Montana!D28+Nebraska!D28+Nevada!D28+'New Hampshire'!D28+'New Jersey'!D28+'New Mexico'!D28+'New York'!D28+'North Carolina'!D28+'North Dakota'!D28+Ohio!D28+Oklahoma!D28+Oregon!D28+Pennsylvania!D28+'Puerto Rico'!D28+'Rhode Island'!D28+'South Carolina'!D28+'South Dakota '!D28+Tennessee!D28+Texas!D28+Utah!D28+Vermont!D28+Virginia!D28+Washington!D28+'West Virginia'!D28+Wisconsin!D28+Wyoming!D28</f>
        <v>0</v>
      </c>
      <c r="E28" s="3">
        <f>+Alabama!E28+Alaska!E28+Arizona!E28+Arkansas!E28+California!E28+Colorado!E28+Connecticut!E28+Delaware!E28+'District of Columbia'!E28+Florida!E28+Georgia!E28+Hawaii!E28+Idaho!E28+Illinois!E28+Indiana!E28+Iowa!E28+Kansas!E28+Kentucky!E28+Louisiana!E28+Maine!E28+Maryland!E28+Massachusettes!E28+Michigan!E28+Minnesota!E28+Mississippi!E28+Missouri!E28+Montana!E28+Nebraska!E28+Nevada!E28+'New Hampshire'!E28+'New Jersey'!E28+'New Mexico'!E28+'New York'!E28+'North Carolina'!E28+'North Dakota'!E28+Ohio!E28+Oklahoma!E28+Oregon!E28+Pennsylvania!E28+'Puerto Rico'!E28+'Rhode Island'!E28+'South Carolina'!E28+'South Dakota '!E28+Tennessee!E28+Texas!E28+Utah!E28+Vermont!E28+Virginia!E28+Washington!E28+'West Virginia'!E28+Wisconsin!E28+Wyoming!E28</f>
        <v>307783260</v>
      </c>
      <c r="F28" s="3">
        <f>+Alabama!F28+Alaska!F28+Arizona!F28+Arkansas!F28+California!F28+Colorado!F28+Connecticut!F28+Delaware!F28+'District of Columbia'!F28+Florida!F28+Georgia!F28+Hawaii!F28+Idaho!F28+Illinois!F28+Indiana!F28+Iowa!F28+Kansas!F28+Kentucky!F28+Louisiana!F28+Maine!F28+Maryland!F28+Massachusettes!F28+Michigan!F28+Minnesota!F28+Mississippi!F28+Missouri!F28+Montana!F28+Nebraska!F28+Nevada!F28+'New Hampshire'!F28+'New Jersey'!F28+'New Mexico'!F28+'New York'!F28+'North Carolina'!F28+'North Dakota'!F28+Ohio!F28+Oklahoma!F28+Oregon!F28+Pennsylvania!F28+'Puerto Rico'!F28+'Rhode Island'!F28+'South Carolina'!F28+'South Dakota '!F28+Tennessee!F28+Texas!F28+Utah!F28+Vermont!F28+Virginia!F28+Washington!F28+'West Virginia'!F28+Wisconsin!F28+Wyoming!F28</f>
        <v>15601000</v>
      </c>
      <c r="G28" s="3">
        <f>+Alabama!G28+Alaska!G28+Arizona!G28+Arkansas!G28+California!G28+Colorado!G28+Connecticut!G28+Delaware!G28+'District of Columbia'!G28+Florida!G28+Georgia!G28+Hawaii!G28+Idaho!G28+Illinois!G28+Indiana!G28+Iowa!G28+Kansas!G28+Kentucky!G28+Louisiana!G28+Maine!G28+Maryland!G28+Massachusettes!G28+Michigan!G28+Minnesota!G28+Mississippi!G28+Missouri!G28+Montana!G28+Nebraska!G28+Nevada!G28+'New Hampshire'!G28+'New Jersey'!G28+'New Mexico'!G28+'New York'!G28+'North Carolina'!G28+'North Dakota'!G28+Ohio!G28+Oklahoma!G28+Oregon!G28+Pennsylvania!G28+'Puerto Rico'!G28+'Rhode Island'!G28+'South Carolina'!G28+'South Dakota '!G28+Tennessee!G28+Texas!G28+Utah!G28+Vermont!G28+Virginia!G28+Washington!G28+'West Virginia'!G28+Wisconsin!G28+Wyoming!G28</f>
        <v>0</v>
      </c>
      <c r="H28" s="3">
        <f>+Alabama!H28+Alaska!H28+Arizona!H28+Arkansas!H28+California!H28+Colorado!H28+Connecticut!H28+Delaware!H28+'District of Columbia'!H28+Florida!H28+Georgia!H28+Hawaii!H28+Idaho!H28+Illinois!H28+Indiana!H28+Iowa!H28+Kansas!H28+Kentucky!H28+Louisiana!H28+Maine!H28+Maryland!H28+Massachusettes!H28+Michigan!H28+Minnesota!H28+Mississippi!H28+Missouri!H28+Montana!H28+Nebraska!H28+Nevada!H28+'New Hampshire'!H28+'New Jersey'!H28+'New Mexico'!H28+'New York'!H28+'North Carolina'!H28+'North Dakota'!H28+Ohio!H28+Oklahoma!H28+Oregon!H28+Pennsylvania!H28+'Puerto Rico'!H28+'Rhode Island'!H28+'South Carolina'!H28+'South Dakota '!H28+Tennessee!H28+Texas!H28+Utah!H28+Vermont!H28+Virginia!H28+Washington!H28+'West Virginia'!H28+Wisconsin!H28+Wyoming!H28</f>
        <v>411071000</v>
      </c>
      <c r="I28" s="3">
        <f>+Alabama!I28+Alaska!I28+Arizona!I28+Arkansas!I28+California!I28+Colorado!I28+Connecticut!I28+Delaware!I28+'District of Columbia'!I28+Florida!I28+Georgia!I28+Hawaii!I28+Idaho!I28+Illinois!I28+Indiana!I28+Iowa!I28+Kansas!I28+Kentucky!I28+Louisiana!I28+Maine!I28+Maryland!I28+Massachusettes!I28+Michigan!I28+Minnesota!I28+Mississippi!I28+Missouri!I28+Montana!I28+Nebraska!I28+Nevada!I28+'New Hampshire'!I28+'New Jersey'!I28+'New Mexico'!I28+'New York'!I28+'North Carolina'!I28+'North Dakota'!I28+Ohio!I28+Oklahoma!I28+Oregon!I28+Pennsylvania!I28+'Puerto Rico'!I28+'Rhode Island'!I28+'South Carolina'!I28+'South Dakota '!I28+Tennessee!I28+Texas!I28+Utah!I28+Vermont!I28+Virginia!I28+Washington!I28+'West Virginia'!I28+Wisconsin!I28+Wyoming!I28</f>
        <v>23553000</v>
      </c>
      <c r="J28" s="3">
        <f>+Alabama!J28+Alaska!J28+Arizona!J28+Arkansas!J28+California!J28+Colorado!J28+Connecticut!J28+Delaware!J28+'District of Columbia'!J28+Florida!J28+Georgia!J28+Hawaii!J28+Idaho!J28+Illinois!J28+Indiana!J28+Iowa!J28+Kansas!J28+Kentucky!J28+Louisiana!J28+Maine!J28+Maryland!J28+Massachusettes!J28+Michigan!J28+Minnesota!J28+Mississippi!J28+Missouri!J28+Montana!J28+Nebraska!J28+Nevada!J28+'New Hampshire'!J28+'New Jersey'!J28+'New Mexico'!J28+'New York'!J28+'North Carolina'!J28+'North Dakota'!J28+Ohio!J28+Oklahoma!J28+Oregon!J28+Pennsylvania!J28+'Puerto Rico'!J28+'Rhode Island'!J28+'South Carolina'!J28+'South Dakota '!J28+Tennessee!J28+Texas!J28+Utah!J28+Vermont!J28+Virginia!J28+Washington!J28+'West Virginia'!J28+Wisconsin!J28+Wyoming!J28</f>
        <v>0</v>
      </c>
      <c r="K28" s="3">
        <f t="shared" si="5"/>
        <v>2870491474</v>
      </c>
      <c r="L28" s="3">
        <f t="shared" si="5"/>
        <v>43194000</v>
      </c>
      <c r="M28" s="3">
        <f t="shared" si="5"/>
        <v>0</v>
      </c>
      <c r="N28" s="3">
        <f t="shared" si="1"/>
        <v>2913685474</v>
      </c>
      <c r="P28" s="1">
        <v>27</v>
      </c>
    </row>
    <row r="29" spans="1:16" x14ac:dyDescent="0.15">
      <c r="A29" s="1">
        <v>1997</v>
      </c>
      <c r="B29" s="3">
        <f>+Alabama!B29+Alaska!B29+Arizona!B29+Arkansas!B29+California!B29+Colorado!B29+Connecticut!B29+Delaware!B29+'District of Columbia'!B29+Florida!B29+Georgia!B29+Hawaii!B29+Idaho!B29+Illinois!B29+Indiana!B29+Iowa!B29+Kansas!B29+Kentucky!B29+Louisiana!B29+Maine!B29+Maryland!B29+Massachusettes!B29+Michigan!B29+Minnesota!B29+Mississippi!B29+Missouri!B29+Montana!B29+Nebraska!B29+Nevada!B29+'New Hampshire'!B29+'New Jersey'!B29+'New Mexico'!B29+'New York'!B29+'North Carolina'!B29+'North Dakota'!B29+Ohio!B29+Oklahoma!B29+Oregon!B29+Pennsylvania!B29+'Puerto Rico'!B29+'Rhode Island'!B29+'South Carolina'!B29+'South Dakota '!B29+Tennessee!B29+Texas!B29+Utah!B29+Vermont!B29+Virginia!B29+Washington!B29+'West Virginia'!B29+Wisconsin!B29+Wyoming!B29</f>
        <v>2218134266</v>
      </c>
      <c r="C29" s="3">
        <f>+Alabama!C29+Alaska!C29+Arizona!C29+Arkansas!C29+California!C29+Colorado!C29+Connecticut!C29+Delaware!C29+'District of Columbia'!C29+Florida!C29+Georgia!C29+Hawaii!C29+Idaho!C29+Illinois!C29+Indiana!C29+Iowa!C29+Kansas!C29+Kentucky!C29+Louisiana!C29+Maine!C29+Maryland!C29+Massachusettes!C29+Michigan!C29+Minnesota!C29+Mississippi!C29+Missouri!C29+Montana!C29+Nebraska!C29+Nevada!C29+'New Hampshire'!C29+'New Jersey'!C29+'New Mexico'!C29+'New York'!C29+'North Carolina'!C29+'North Dakota'!C29+Ohio!C29+Oklahoma!C29+Oregon!C29+Pennsylvania!C29+'Puerto Rico'!C29+'Rhode Island'!C29+'South Carolina'!C29+'South Dakota '!C29+Tennessee!C29+Texas!C29+Utah!C29+Vermont!C29+Virginia!C29+Washington!C29+'West Virginia'!C29+Wisconsin!C29+Wyoming!C29</f>
        <v>3965000</v>
      </c>
      <c r="D29" s="3">
        <f>+Alabama!D29+Alaska!D29+Arizona!D29+Arkansas!D29+California!D29+Colorado!D29+Connecticut!D29+Delaware!D29+'District of Columbia'!D29+Florida!D29+Georgia!D29+Hawaii!D29+Idaho!D29+Illinois!D29+Indiana!D29+Iowa!D29+Kansas!D29+Kentucky!D29+Louisiana!D29+Maine!D29+Maryland!D29+Massachusettes!D29+Michigan!D29+Minnesota!D29+Mississippi!D29+Missouri!D29+Montana!D29+Nebraska!D29+Nevada!D29+'New Hampshire'!D29+'New Jersey'!D29+'New Mexico'!D29+'New York'!D29+'North Carolina'!D29+'North Dakota'!D29+Ohio!D29+Oklahoma!D29+Oregon!D29+Pennsylvania!D29+'Puerto Rico'!D29+'Rhode Island'!D29+'South Carolina'!D29+'South Dakota '!D29+Tennessee!D29+Texas!D29+Utah!D29+Vermont!D29+Virginia!D29+Washington!D29+'West Virginia'!D29+Wisconsin!D29+Wyoming!D29</f>
        <v>0</v>
      </c>
      <c r="E29" s="3">
        <f>+Alabama!E29+Alaska!E29+Arizona!E29+Arkansas!E29+California!E29+Colorado!E29+Connecticut!E29+Delaware!E29+'District of Columbia'!E29+Florida!E29+Georgia!E29+Hawaii!E29+Idaho!E29+Illinois!E29+Indiana!E29+Iowa!E29+Kansas!E29+Kentucky!E29+Louisiana!E29+Maine!E29+Maryland!E29+Massachusettes!E29+Michigan!E29+Minnesota!E29+Mississippi!E29+Missouri!E29+Montana!E29+Nebraska!E29+Nevada!E29+'New Hampshire'!E29+'New Jersey'!E29+'New Mexico'!E29+'New York'!E29+'North Carolina'!E29+'North Dakota'!E29+Ohio!E29+Oklahoma!E29+Oregon!E29+Pennsylvania!E29+'Puerto Rico'!E29+'Rhode Island'!E29+'South Carolina'!E29+'South Dakota '!E29+Tennessee!E29+Texas!E29+Utah!E29+Vermont!E29+Virginia!E29+Washington!E29+'West Virginia'!E29+Wisconsin!E29+Wyoming!E29</f>
        <v>361871650</v>
      </c>
      <c r="F29" s="3">
        <f>+Alabama!F29+Alaska!F29+Arizona!F29+Arkansas!F29+California!F29+Colorado!F29+Connecticut!F29+Delaware!F29+'District of Columbia'!F29+Florida!F29+Georgia!F29+Hawaii!F29+Idaho!F29+Illinois!F29+Indiana!F29+Iowa!F29+Kansas!F29+Kentucky!F29+Louisiana!F29+Maine!F29+Maryland!F29+Massachusettes!F29+Michigan!F29+Minnesota!F29+Mississippi!F29+Missouri!F29+Montana!F29+Nebraska!F29+Nevada!F29+'New Hampshire'!F29+'New Jersey'!F29+'New Mexico'!F29+'New York'!F29+'North Carolina'!F29+'North Dakota'!F29+Ohio!F29+Oklahoma!F29+Oregon!F29+Pennsylvania!F29+'Puerto Rico'!F29+'Rhode Island'!F29+'South Carolina'!F29+'South Dakota '!F29+Tennessee!F29+Texas!F29+Utah!F29+Vermont!F29+Virginia!F29+Washington!F29+'West Virginia'!F29+Wisconsin!F29+Wyoming!F29</f>
        <v>18454334</v>
      </c>
      <c r="G29" s="3">
        <f>+Alabama!G29+Alaska!G29+Arizona!G29+Arkansas!G29+California!G29+Colorado!G29+Connecticut!G29+Delaware!G29+'District of Columbia'!G29+Florida!G29+Georgia!G29+Hawaii!G29+Idaho!G29+Illinois!G29+Indiana!G29+Iowa!G29+Kansas!G29+Kentucky!G29+Louisiana!G29+Maine!G29+Maryland!G29+Massachusettes!G29+Michigan!G29+Minnesota!G29+Mississippi!G29+Missouri!G29+Montana!G29+Nebraska!G29+Nevada!G29+'New Hampshire'!G29+'New Jersey'!G29+'New Mexico'!G29+'New York'!G29+'North Carolina'!G29+'North Dakota'!G29+Ohio!G29+Oklahoma!G29+Oregon!G29+Pennsylvania!G29+'Puerto Rico'!G29+'Rhode Island'!G29+'South Carolina'!G29+'South Dakota '!G29+Tennessee!G29+Texas!G29+Utah!G29+Vermont!G29+Virginia!G29+Washington!G29+'West Virginia'!G29+Wisconsin!G29+Wyoming!G29</f>
        <v>0</v>
      </c>
      <c r="H29" s="3">
        <f>+Alabama!H29+Alaska!H29+Arizona!H29+Arkansas!H29+California!H29+Colorado!H29+Connecticut!H29+Delaware!H29+'District of Columbia'!H29+Florida!H29+Georgia!H29+Hawaii!H29+Idaho!H29+Illinois!H29+Indiana!H29+Iowa!H29+Kansas!H29+Kentucky!H29+Louisiana!H29+Maine!H29+Maryland!H29+Massachusettes!H29+Michigan!H29+Minnesota!H29+Mississippi!H29+Missouri!H29+Montana!H29+Nebraska!H29+Nevada!H29+'New Hampshire'!H29+'New Jersey'!H29+'New Mexico'!H29+'New York'!H29+'North Carolina'!H29+'North Dakota'!H29+Ohio!H29+Oklahoma!H29+Oregon!H29+Pennsylvania!H29+'Puerto Rico'!H29+'Rhode Island'!H29+'South Carolina'!H29+'South Dakota '!H29+Tennessee!H29+Texas!H29+Utah!H29+Vermont!H29+Virginia!H29+Washington!H29+'West Virginia'!H29+Wisconsin!H29+Wyoming!H29</f>
        <v>458518000</v>
      </c>
      <c r="I29" s="3">
        <f>+Alabama!I29+Alaska!I29+Arizona!I29+Arkansas!I29+California!I29+Colorado!I29+Connecticut!I29+Delaware!I29+'District of Columbia'!I29+Florida!I29+Georgia!I29+Hawaii!I29+Idaho!I29+Illinois!I29+Indiana!I29+Iowa!I29+Kansas!I29+Kentucky!I29+Louisiana!I29+Maine!I29+Maryland!I29+Massachusettes!I29+Michigan!I29+Minnesota!I29+Mississippi!I29+Missouri!I29+Montana!I29+Nebraska!I29+Nevada!I29+'New Hampshire'!I29+'New Jersey'!I29+'New Mexico'!I29+'New York'!I29+'North Carolina'!I29+'North Dakota'!I29+Ohio!I29+Oklahoma!I29+Oregon!I29+Pennsylvania!I29+'Puerto Rico'!I29+'Rhode Island'!I29+'South Carolina'!I29+'South Dakota '!I29+Tennessee!I29+Texas!I29+Utah!I29+Vermont!I29+Virginia!I29+Washington!I29+'West Virginia'!I29+Wisconsin!I29+Wyoming!I29</f>
        <v>29800000</v>
      </c>
      <c r="J29" s="3">
        <f>+Alabama!J29+Alaska!J29+Arizona!J29+Arkansas!J29+California!J29+Colorado!J29+Connecticut!J29+Delaware!J29+'District of Columbia'!J29+Florida!J29+Georgia!J29+Hawaii!J29+Idaho!J29+Illinois!J29+Indiana!J29+Iowa!J29+Kansas!J29+Kentucky!J29+Louisiana!J29+Maine!J29+Maryland!J29+Massachusettes!J29+Michigan!J29+Minnesota!J29+Mississippi!J29+Missouri!J29+Montana!J29+Nebraska!J29+Nevada!J29+'New Hampshire'!J29+'New Jersey'!J29+'New Mexico'!J29+'New York'!J29+'North Carolina'!J29+'North Dakota'!J29+Ohio!J29+Oklahoma!J29+Oregon!J29+Pennsylvania!J29+'Puerto Rico'!J29+'Rhode Island'!J29+'South Carolina'!J29+'South Dakota '!J29+Tennessee!J29+Texas!J29+Utah!J29+Vermont!J29+Virginia!J29+Washington!J29+'West Virginia'!J29+Wisconsin!J29+Wyoming!J29</f>
        <v>0</v>
      </c>
      <c r="K29" s="3">
        <f t="shared" si="5"/>
        <v>3038523916</v>
      </c>
      <c r="L29" s="3">
        <f t="shared" si="5"/>
        <v>52219334</v>
      </c>
      <c r="M29" s="3">
        <f t="shared" si="5"/>
        <v>0</v>
      </c>
      <c r="N29" s="3">
        <f t="shared" si="1"/>
        <v>3090743250</v>
      </c>
      <c r="P29" s="1">
        <v>28</v>
      </c>
    </row>
    <row r="30" spans="1:16" x14ac:dyDescent="0.15">
      <c r="A30" s="1">
        <v>1998</v>
      </c>
      <c r="B30" s="3">
        <f>+Alabama!B30+Alaska!B30+Arizona!B30+Arkansas!B30+California!B30+Colorado!B30+Connecticut!B30+Delaware!B30+'District of Columbia'!B30+Florida!B30+Georgia!B30+Hawaii!B30+Idaho!B30+Illinois!B30+Indiana!B30+Iowa!B30+Kansas!B30+Kentucky!B30+Louisiana!B30+Maine!B30+Maryland!B30+Massachusettes!B30+Michigan!B30+Minnesota!B30+Mississippi!B30+Missouri!B30+Montana!B30+Nebraska!B30+Nevada!B30+'New Hampshire'!B30+'New Jersey'!B30+'New Mexico'!B30+'New York'!B30+'North Carolina'!B30+'North Dakota'!B30+Ohio!B30+Oklahoma!B30+Oregon!B30+Pennsylvania!B30+'Puerto Rico'!B30+'Rhode Island'!B30+'South Carolina'!B30+'South Dakota '!B30+Tennessee!B30+Texas!B30+Utah!B30+Vermont!B30+Virginia!B30+Washington!B30+'West Virginia'!B30+Wisconsin!B30+Wyoming!B30</f>
        <v>2364033527</v>
      </c>
      <c r="C30" s="3">
        <f>+Alabama!C30+Alaska!C30+Arizona!C30+Arkansas!C30+California!C30+Colorado!C30+Connecticut!C30+Delaware!C30+'District of Columbia'!C30+Florida!C30+Georgia!C30+Hawaii!C30+Idaho!C30+Illinois!C30+Indiana!C30+Iowa!C30+Kansas!C30+Kentucky!C30+Louisiana!C30+Maine!C30+Maryland!C30+Massachusettes!C30+Michigan!C30+Minnesota!C30+Mississippi!C30+Missouri!C30+Montana!C30+Nebraska!C30+Nevada!C30+'New Hampshire'!C30+'New Jersey'!C30+'New Mexico'!C30+'New York'!C30+'North Carolina'!C30+'North Dakota'!C30+Ohio!C30+Oklahoma!C30+Oregon!C30+Pennsylvania!C30+'Puerto Rico'!C30+'Rhode Island'!C30+'South Carolina'!C30+'South Dakota '!C30+Tennessee!C30+Texas!C30+Utah!C30+Vermont!C30+Virginia!C30+Washington!C30+'West Virginia'!C30+Wisconsin!C30+Wyoming!C30</f>
        <v>3956000</v>
      </c>
      <c r="D30" s="3">
        <f>+Alabama!D30+Alaska!D30+Arizona!D30+Arkansas!D30+California!D30+Colorado!D30+Connecticut!D30+Delaware!D30+'District of Columbia'!D30+Florida!D30+Georgia!D30+Hawaii!D30+Idaho!D30+Illinois!D30+Indiana!D30+Iowa!D30+Kansas!D30+Kentucky!D30+Louisiana!D30+Maine!D30+Maryland!D30+Massachusettes!D30+Michigan!D30+Minnesota!D30+Mississippi!D30+Missouri!D30+Montana!D30+Nebraska!D30+Nevada!D30+'New Hampshire'!D30+'New Jersey'!D30+'New Mexico'!D30+'New York'!D30+'North Carolina'!D30+'North Dakota'!D30+Ohio!D30+Oklahoma!D30+Oregon!D30+Pennsylvania!D30+'Puerto Rico'!D30+'Rhode Island'!D30+'South Carolina'!D30+'South Dakota '!D30+Tennessee!D30+Texas!D30+Utah!D30+Vermont!D30+Virginia!D30+Washington!D30+'West Virginia'!D30+Wisconsin!D30+Wyoming!D30</f>
        <v>0</v>
      </c>
      <c r="E30" s="3">
        <f>+Alabama!E30+Alaska!E30+Arizona!E30+Arkansas!E30+California!E30+Colorado!E30+Connecticut!E30+Delaware!E30+'District of Columbia'!E30+Florida!E30+Georgia!E30+Hawaii!E30+Idaho!E30+Illinois!E30+Indiana!E30+Iowa!E30+Kansas!E30+Kentucky!E30+Louisiana!E30+Maine!E30+Maryland!E30+Massachusettes!E30+Michigan!E30+Minnesota!E30+Mississippi!E30+Missouri!E30+Montana!E30+Nebraska!E30+Nevada!E30+'New Hampshire'!E30+'New Jersey'!E30+'New Mexico'!E30+'New York'!E30+'North Carolina'!E30+'North Dakota'!E30+Ohio!E30+Oklahoma!E30+Oregon!E30+Pennsylvania!E30+'Puerto Rico'!E30+'Rhode Island'!E30+'South Carolina'!E30+'South Dakota '!E30+Tennessee!E30+Texas!E30+Utah!E30+Vermont!E30+Virginia!E30+Washington!E30+'West Virginia'!E30+Wisconsin!E30+Wyoming!E30</f>
        <v>397121493</v>
      </c>
      <c r="F30" s="3">
        <f>+Alabama!F30+Alaska!F30+Arizona!F30+Arkansas!F30+California!F30+Colorado!F30+Connecticut!F30+Delaware!F30+'District of Columbia'!F30+Florida!F30+Georgia!F30+Hawaii!F30+Idaho!F30+Illinois!F30+Indiana!F30+Iowa!F30+Kansas!F30+Kentucky!F30+Louisiana!F30+Maine!F30+Maryland!F30+Massachusettes!F30+Michigan!F30+Minnesota!F30+Mississippi!F30+Missouri!F30+Montana!F30+Nebraska!F30+Nevada!F30+'New Hampshire'!F30+'New Jersey'!F30+'New Mexico'!F30+'New York'!F30+'North Carolina'!F30+'North Dakota'!F30+Ohio!F30+Oklahoma!F30+Oregon!F30+Pennsylvania!F30+'Puerto Rico'!F30+'Rhode Island'!F30+'South Carolina'!F30+'South Dakota '!F30+Tennessee!F30+Texas!F30+Utah!F30+Vermont!F30+Virginia!F30+Washington!F30+'West Virginia'!F30+Wisconsin!F30+Wyoming!F30</f>
        <v>21016000</v>
      </c>
      <c r="G30" s="3">
        <f>+Alabama!G30+Alaska!G30+Arizona!G30+Arkansas!G30+California!G30+Colorado!G30+Connecticut!G30+Delaware!G30+'District of Columbia'!G30+Florida!G30+Georgia!G30+Hawaii!G30+Idaho!G30+Illinois!G30+Indiana!G30+Iowa!G30+Kansas!G30+Kentucky!G30+Louisiana!G30+Maine!G30+Maryland!G30+Massachusettes!G30+Michigan!G30+Minnesota!G30+Mississippi!G30+Missouri!G30+Montana!G30+Nebraska!G30+Nevada!G30+'New Hampshire'!G30+'New Jersey'!G30+'New Mexico'!G30+'New York'!G30+'North Carolina'!G30+'North Dakota'!G30+Ohio!G30+Oklahoma!G30+Oregon!G30+Pennsylvania!G30+'Puerto Rico'!G30+'Rhode Island'!G30+'South Carolina'!G30+'South Dakota '!G30+Tennessee!G30+Texas!G30+Utah!G30+Vermont!G30+Virginia!G30+Washington!G30+'West Virginia'!G30+Wisconsin!G30+Wyoming!G30</f>
        <v>0</v>
      </c>
      <c r="H30" s="3">
        <f>+Alabama!H30+Alaska!H30+Arizona!H30+Arkansas!H30+California!H30+Colorado!H30+Connecticut!H30+Delaware!H30+'District of Columbia'!H30+Florida!H30+Georgia!H30+Hawaii!H30+Idaho!H30+Illinois!H30+Indiana!H30+Iowa!H30+Kansas!H30+Kentucky!H30+Louisiana!H30+Maine!H30+Maryland!H30+Massachusettes!H30+Michigan!H30+Minnesota!H30+Mississippi!H30+Missouri!H30+Montana!H30+Nebraska!H30+Nevada!H30+'New Hampshire'!H30+'New Jersey'!H30+'New Mexico'!H30+'New York'!H30+'North Carolina'!H30+'North Dakota'!H30+Ohio!H30+Oklahoma!H30+Oregon!H30+Pennsylvania!H30+'Puerto Rico'!H30+'Rhode Island'!H30+'South Carolina'!H30+'South Dakota '!H30+Tennessee!H30+Texas!H30+Utah!H30+Vermont!H30+Virginia!H30+Washington!H30+'West Virginia'!H30+Wisconsin!H30+Wyoming!H30</f>
        <v>551832000</v>
      </c>
      <c r="I30" s="3">
        <f>+Alabama!I30+Alaska!I30+Arizona!I30+Arkansas!I30+California!I30+Colorado!I30+Connecticut!I30+Delaware!I30+'District of Columbia'!I30+Florida!I30+Georgia!I30+Hawaii!I30+Idaho!I30+Illinois!I30+Indiana!I30+Iowa!I30+Kansas!I30+Kentucky!I30+Louisiana!I30+Maine!I30+Maryland!I30+Massachusettes!I30+Michigan!I30+Minnesota!I30+Mississippi!I30+Missouri!I30+Montana!I30+Nebraska!I30+Nevada!I30+'New Hampshire'!I30+'New Jersey'!I30+'New Mexico'!I30+'New York'!I30+'North Carolina'!I30+'North Dakota'!I30+Ohio!I30+Oklahoma!I30+Oregon!I30+Pennsylvania!I30+'Puerto Rico'!I30+'Rhode Island'!I30+'South Carolina'!I30+'South Dakota '!I30+Tennessee!I30+Texas!I30+Utah!I30+Vermont!I30+Virginia!I30+Washington!I30+'West Virginia'!I30+Wisconsin!I30+Wyoming!I30</f>
        <v>51275000</v>
      </c>
      <c r="J30" s="3">
        <f>+Alabama!J30+Alaska!J30+Arizona!J30+Arkansas!J30+California!J30+Colorado!J30+Connecticut!J30+Delaware!J30+'District of Columbia'!J30+Florida!J30+Georgia!J30+Hawaii!J30+Idaho!J30+Illinois!J30+Indiana!J30+Iowa!J30+Kansas!J30+Kentucky!J30+Louisiana!J30+Maine!J30+Maryland!J30+Massachusettes!J30+Michigan!J30+Minnesota!J30+Mississippi!J30+Missouri!J30+Montana!J30+Nebraska!J30+Nevada!J30+'New Hampshire'!J30+'New Jersey'!J30+'New Mexico'!J30+'New York'!J30+'North Carolina'!J30+'North Dakota'!J30+Ohio!J30+Oklahoma!J30+Oregon!J30+Pennsylvania!J30+'Puerto Rico'!J30+'Rhode Island'!J30+'South Carolina'!J30+'South Dakota '!J30+Tennessee!J30+Texas!J30+Utah!J30+Vermont!J30+Virginia!J30+Washington!J30+'West Virginia'!J30+Wisconsin!J30+Wyoming!J30</f>
        <v>0</v>
      </c>
      <c r="K30" s="3">
        <f t="shared" si="5"/>
        <v>3312987020</v>
      </c>
      <c r="L30" s="3">
        <f t="shared" si="5"/>
        <v>76247000</v>
      </c>
      <c r="M30" s="3">
        <f t="shared" si="5"/>
        <v>0</v>
      </c>
      <c r="N30" s="3">
        <f t="shared" si="1"/>
        <v>3389234020</v>
      </c>
      <c r="P30" s="1">
        <v>29</v>
      </c>
    </row>
    <row r="31" spans="1:16" x14ac:dyDescent="0.15">
      <c r="A31" s="1">
        <v>1999</v>
      </c>
      <c r="B31" s="3">
        <f>+Alabama!B31+Alaska!B31+Arizona!B31+Arkansas!B31+California!B31+Colorado!B31+Connecticut!B31+Delaware!B31+'District of Columbia'!B31+Florida!B31+Georgia!B31+Hawaii!B31+Idaho!B31+Illinois!B31+Indiana!B31+Iowa!B31+Kansas!B31+Kentucky!B31+Louisiana!B31+Maine!B31+Maryland!B31+Massachusettes!B31+Michigan!B31+Minnesota!B31+Mississippi!B31+Missouri!B31+Montana!B31+Nebraska!B31+Nevada!B31+'New Hampshire'!B31+'New Jersey'!B31+'New Mexico'!B31+'New York'!B31+'North Carolina'!B31+'North Dakota'!B31+Ohio!B31+Oklahoma!B31+Oregon!B31+Pennsylvania!B31+'Puerto Rico'!B31+'Rhode Island'!B31+'South Carolina'!B31+'South Dakota '!B31+Tennessee!B31+Texas!B31+Utah!B31+Vermont!B31+Virginia!B31+Washington!B31+'West Virginia'!B31+Wisconsin!B31+Wyoming!B31</f>
        <v>2509881692</v>
      </c>
      <c r="C31" s="3">
        <f>+Alabama!C31+Alaska!C31+Arizona!C31+Arkansas!C31+California!C31+Colorado!C31+Connecticut!C31+Delaware!C31+'District of Columbia'!C31+Florida!C31+Georgia!C31+Hawaii!C31+Idaho!C31+Illinois!C31+Indiana!C31+Iowa!C31+Kansas!C31+Kentucky!C31+Louisiana!C31+Maine!C31+Maryland!C31+Massachusettes!C31+Michigan!C31+Minnesota!C31+Mississippi!C31+Missouri!C31+Montana!C31+Nebraska!C31+Nevada!C31+'New Hampshire'!C31+'New Jersey'!C31+'New Mexico'!C31+'New York'!C31+'North Carolina'!C31+'North Dakota'!C31+Ohio!C31+Oklahoma!C31+Oregon!C31+Pennsylvania!C31+'Puerto Rico'!C31+'Rhode Island'!C31+'South Carolina'!C31+'South Dakota '!C31+Tennessee!C31+Texas!C31+Utah!C31+Vermont!C31+Virginia!C31+Washington!C31+'West Virginia'!C31+Wisconsin!C31+Wyoming!C31</f>
        <v>3893000</v>
      </c>
      <c r="D31" s="3">
        <f>+Alabama!D31+Alaska!D31+Arizona!D31+Arkansas!D31+California!D31+Colorado!D31+Connecticut!D31+Delaware!D31+'District of Columbia'!D31+Florida!D31+Georgia!D31+Hawaii!D31+Idaho!D31+Illinois!D31+Indiana!D31+Iowa!D31+Kansas!D31+Kentucky!D31+Louisiana!D31+Maine!D31+Maryland!D31+Massachusettes!D31+Michigan!D31+Minnesota!D31+Mississippi!D31+Missouri!D31+Montana!D31+Nebraska!D31+Nevada!D31+'New Hampshire'!D31+'New Jersey'!D31+'New Mexico'!D31+'New York'!D31+'North Carolina'!D31+'North Dakota'!D31+Ohio!D31+Oklahoma!D31+Oregon!D31+Pennsylvania!D31+'Puerto Rico'!D31+'Rhode Island'!D31+'South Carolina'!D31+'South Dakota '!D31+Tennessee!D31+Texas!D31+Utah!D31+Vermont!D31+Virginia!D31+Washington!D31+'West Virginia'!D31+Wisconsin!D31+Wyoming!D31</f>
        <v>0</v>
      </c>
      <c r="E31" s="3">
        <f>+Alabama!E31+Alaska!E31+Arizona!E31+Arkansas!E31+California!E31+Colorado!E31+Connecticut!E31+Delaware!E31+'District of Columbia'!E31+Florida!E31+Georgia!E31+Hawaii!E31+Idaho!E31+Illinois!E31+Indiana!E31+Iowa!E31+Kansas!E31+Kentucky!E31+Louisiana!E31+Maine!E31+Maryland!E31+Massachusettes!E31+Michigan!E31+Minnesota!E31+Mississippi!E31+Missouri!E31+Montana!E31+Nebraska!E31+Nevada!E31+'New Hampshire'!E31+'New Jersey'!E31+'New Mexico'!E31+'New York'!E31+'North Carolina'!E31+'North Dakota'!E31+Ohio!E31+Oklahoma!E31+Oregon!E31+Pennsylvania!E31+'Puerto Rico'!E31+'Rhode Island'!E31+'South Carolina'!E31+'South Dakota '!E31+Tennessee!E31+Texas!E31+Utah!E31+Vermont!E31+Virginia!E31+Washington!E31+'West Virginia'!E31+Wisconsin!E31+Wyoming!E31</f>
        <v>435835130</v>
      </c>
      <c r="F31" s="3">
        <f>+Alabama!F31+Alaska!F31+Arizona!F31+Arkansas!F31+California!F31+Colorado!F31+Connecticut!F31+Delaware!F31+'District of Columbia'!F31+Florida!F31+Georgia!F31+Hawaii!F31+Idaho!F31+Illinois!F31+Indiana!F31+Iowa!F31+Kansas!F31+Kentucky!F31+Louisiana!F31+Maine!F31+Maryland!F31+Massachusettes!F31+Michigan!F31+Minnesota!F31+Mississippi!F31+Missouri!F31+Montana!F31+Nebraska!F31+Nevada!F31+'New Hampshire'!F31+'New Jersey'!F31+'New Mexico'!F31+'New York'!F31+'North Carolina'!F31+'North Dakota'!F31+Ohio!F31+Oklahoma!F31+Oregon!F31+Pennsylvania!F31+'Puerto Rico'!F31+'Rhode Island'!F31+'South Carolina'!F31+'South Dakota '!F31+Tennessee!F31+Texas!F31+Utah!F31+Vermont!F31+Virginia!F31+Washington!F31+'West Virginia'!F31+Wisconsin!F31+Wyoming!F31</f>
        <v>18888101</v>
      </c>
      <c r="G31" s="3">
        <f>+Alabama!G31+Alaska!G31+Arizona!G31+Arkansas!G31+California!G31+Colorado!G31+Connecticut!G31+Delaware!G31+'District of Columbia'!G31+Florida!G31+Georgia!G31+Hawaii!G31+Idaho!G31+Illinois!G31+Indiana!G31+Iowa!G31+Kansas!G31+Kentucky!G31+Louisiana!G31+Maine!G31+Maryland!G31+Massachusettes!G31+Michigan!G31+Minnesota!G31+Mississippi!G31+Missouri!G31+Montana!G31+Nebraska!G31+Nevada!G31+'New Hampshire'!G31+'New Jersey'!G31+'New Mexico'!G31+'New York'!G31+'North Carolina'!G31+'North Dakota'!G31+Ohio!G31+Oklahoma!G31+Oregon!G31+Pennsylvania!G31+'Puerto Rico'!G31+'Rhode Island'!G31+'South Carolina'!G31+'South Dakota '!G31+Tennessee!G31+Texas!G31+Utah!G31+Vermont!G31+Virginia!G31+Washington!G31+'West Virginia'!G31+Wisconsin!G31+Wyoming!G31</f>
        <v>0</v>
      </c>
      <c r="H31" s="3">
        <f>+Alabama!H31+Alaska!H31+Arizona!H31+Arkansas!H31+California!H31+Colorado!H31+Connecticut!H31+Delaware!H31+'District of Columbia'!H31+Florida!H31+Georgia!H31+Hawaii!H31+Idaho!H31+Illinois!H31+Indiana!H31+Iowa!H31+Kansas!H31+Kentucky!H31+Louisiana!H31+Maine!H31+Maryland!H31+Massachusettes!H31+Michigan!H31+Minnesota!H31+Mississippi!H31+Missouri!H31+Montana!H31+Nebraska!H31+Nevada!H31+'New Hampshire'!H31+'New Jersey'!H31+'New Mexico'!H31+'New York'!H31+'North Carolina'!H31+'North Dakota'!H31+Ohio!H31+Oklahoma!H31+Oregon!H31+Pennsylvania!H31+'Puerto Rico'!H31+'Rhode Island'!H31+'South Carolina'!H31+'South Dakota '!H31+Tennessee!H31+Texas!H31+Utah!H31+Vermont!H31+Virginia!H31+Washington!H31+'West Virginia'!H31+Wisconsin!H31+Wyoming!H31</f>
        <v>667997000</v>
      </c>
      <c r="I31" s="3">
        <f>+Alabama!I31+Alaska!I31+Arizona!I31+Arkansas!I31+California!I31+Colorado!I31+Connecticut!I31+Delaware!I31+'District of Columbia'!I31+Florida!I31+Georgia!I31+Hawaii!I31+Idaho!I31+Illinois!I31+Indiana!I31+Iowa!I31+Kansas!I31+Kentucky!I31+Louisiana!I31+Maine!I31+Maryland!I31+Massachusettes!I31+Michigan!I31+Minnesota!I31+Mississippi!I31+Missouri!I31+Montana!I31+Nebraska!I31+Nevada!I31+'New Hampshire'!I31+'New Jersey'!I31+'New Mexico'!I31+'New York'!I31+'North Carolina'!I31+'North Dakota'!I31+Ohio!I31+Oklahoma!I31+Oregon!I31+Pennsylvania!I31+'Puerto Rico'!I31+'Rhode Island'!I31+'South Carolina'!I31+'South Dakota '!I31+Tennessee!I31+Texas!I31+Utah!I31+Vermont!I31+Virginia!I31+Washington!I31+'West Virginia'!I31+Wisconsin!I31+Wyoming!I31</f>
        <v>49748000</v>
      </c>
      <c r="J31" s="3">
        <f>+Alabama!J31+Alaska!J31+Arizona!J31+Arkansas!J31+California!J31+Colorado!J31+Connecticut!J31+Delaware!J31+'District of Columbia'!J31+Florida!J31+Georgia!J31+Hawaii!J31+Idaho!J31+Illinois!J31+Indiana!J31+Iowa!J31+Kansas!J31+Kentucky!J31+Louisiana!J31+Maine!J31+Maryland!J31+Massachusettes!J31+Michigan!J31+Minnesota!J31+Mississippi!J31+Missouri!J31+Montana!J31+Nebraska!J31+Nevada!J31+'New Hampshire'!J31+'New Jersey'!J31+'New Mexico'!J31+'New York'!J31+'North Carolina'!J31+'North Dakota'!J31+Ohio!J31+Oklahoma!J31+Oregon!J31+Pennsylvania!J31+'Puerto Rico'!J31+'Rhode Island'!J31+'South Carolina'!J31+'South Dakota '!J31+Tennessee!J31+Texas!J31+Utah!J31+Vermont!J31+Virginia!J31+Washington!J31+'West Virginia'!J31+Wisconsin!J31+Wyoming!J31</f>
        <v>0</v>
      </c>
      <c r="K31" s="3">
        <f t="shared" si="5"/>
        <v>3613713822</v>
      </c>
      <c r="L31" s="3">
        <f t="shared" si="5"/>
        <v>72529101</v>
      </c>
      <c r="M31" s="3">
        <f t="shared" si="5"/>
        <v>0</v>
      </c>
      <c r="N31" s="3">
        <f t="shared" si="1"/>
        <v>3686242923</v>
      </c>
      <c r="P31" s="1">
        <v>30</v>
      </c>
    </row>
    <row r="32" spans="1:16" x14ac:dyDescent="0.15">
      <c r="A32" s="1">
        <v>2000</v>
      </c>
      <c r="B32" s="3">
        <f>+Alabama!B32+Alaska!B32+Arizona!B32+Arkansas!B32+California!B32+Colorado!B32+Connecticut!B32+Delaware!B32+'District of Columbia'!B32+Florida!B32+Georgia!B32+Hawaii!B32+Idaho!B32+Illinois!B32+Indiana!B32+Iowa!B32+Kansas!B32+Kentucky!B32+Louisiana!B32+Maine!B32+Maryland!B32+Massachusettes!B32+Michigan!B32+Minnesota!B32+Mississippi!B32+Missouri!B32+Montana!B32+Nebraska!B32+Nevada!B32+'New Hampshire'!B32+'New Jersey'!B32+'New Mexico'!B32+'New York'!B32+'North Carolina'!B32+'North Dakota'!B32+Ohio!B32+Oklahoma!B32+Oregon!B32+Pennsylvania!B32+'Puerto Rico'!B32+'Rhode Island'!B32+'South Carolina'!B32+'South Dakota '!B32+Tennessee!B32+Texas!B32+Utah!B32+Vermont!B32+Virginia!B32+Washington!B32+'West Virginia'!B32+Wisconsin!B32+Wyoming!B32</f>
        <v>2609904573</v>
      </c>
      <c r="C32" s="3">
        <f>+Alabama!C32+Alaska!C32+Arizona!C32+Arkansas!C32+California!C32+Colorado!C32+Connecticut!C32+Delaware!C32+'District of Columbia'!C32+Florida!C32+Georgia!C32+Hawaii!C32+Idaho!C32+Illinois!C32+Indiana!C32+Iowa!C32+Kansas!C32+Kentucky!C32+Louisiana!C32+Maine!C32+Maryland!C32+Massachusettes!C32+Michigan!C32+Minnesota!C32+Mississippi!C32+Missouri!C32+Montana!C32+Nebraska!C32+Nevada!C32+'New Hampshire'!C32+'New Jersey'!C32+'New Mexico'!C32+'New York'!C32+'North Carolina'!C32+'North Dakota'!C32+Ohio!C32+Oklahoma!C32+Oregon!C32+Pennsylvania!C32+'Puerto Rico'!C32+'Rhode Island'!C32+'South Carolina'!C32+'South Dakota '!C32+Tennessee!C32+Texas!C32+Utah!C32+Vermont!C32+Virginia!C32+Washington!C32+'West Virginia'!C32+Wisconsin!C32+Wyoming!C32</f>
        <v>3055000</v>
      </c>
      <c r="D32" s="3">
        <f>+Alabama!D32+Alaska!D32+Arizona!D32+Arkansas!D32+California!D32+Colorado!D32+Connecticut!D32+Delaware!D32+'District of Columbia'!D32+Florida!D32+Georgia!D32+Hawaii!D32+Idaho!D32+Illinois!D32+Indiana!D32+Iowa!D32+Kansas!D32+Kentucky!D32+Louisiana!D32+Maine!D32+Maryland!D32+Massachusettes!D32+Michigan!D32+Minnesota!D32+Mississippi!D32+Missouri!D32+Montana!D32+Nebraska!D32+Nevada!D32+'New Hampshire'!D32+'New Jersey'!D32+'New Mexico'!D32+'New York'!D32+'North Carolina'!D32+'North Dakota'!D32+Ohio!D32+Oklahoma!D32+Oregon!D32+Pennsylvania!D32+'Puerto Rico'!D32+'Rhode Island'!D32+'South Carolina'!D32+'South Dakota '!D32+Tennessee!D32+Texas!D32+Utah!D32+Vermont!D32+Virginia!D32+Washington!D32+'West Virginia'!D32+Wisconsin!D32+Wyoming!D32</f>
        <v>0</v>
      </c>
      <c r="E32" s="3">
        <f>+Alabama!E32+Alaska!E32+Arizona!E32+Arkansas!E32+California!E32+Colorado!E32+Connecticut!E32+Delaware!E32+'District of Columbia'!E32+Florida!E32+Georgia!E32+Hawaii!E32+Idaho!E32+Illinois!E32+Indiana!E32+Iowa!E32+Kansas!E32+Kentucky!E32+Louisiana!E32+Maine!E32+Maryland!E32+Massachusettes!E32+Michigan!E32+Minnesota!E32+Mississippi!E32+Missouri!E32+Montana!E32+Nebraska!E32+Nevada!E32+'New Hampshire'!E32+'New Jersey'!E32+'New Mexico'!E32+'New York'!E32+'North Carolina'!E32+'North Dakota'!E32+Ohio!E32+Oklahoma!E32+Oregon!E32+Pennsylvania!E32+'Puerto Rico'!E32+'Rhode Island'!E32+'South Carolina'!E32+'South Dakota '!E32+Tennessee!E32+Texas!E32+Utah!E32+Vermont!E32+Virginia!E32+Washington!E32+'West Virginia'!E32+Wisconsin!E32+Wyoming!E32</f>
        <v>587065187</v>
      </c>
      <c r="F32" s="3">
        <f>+Alabama!F32+Alaska!F32+Arizona!F32+Arkansas!F32+California!F32+Colorado!F32+Connecticut!F32+Delaware!F32+'District of Columbia'!F32+Florida!F32+Georgia!F32+Hawaii!F32+Idaho!F32+Illinois!F32+Indiana!F32+Iowa!F32+Kansas!F32+Kentucky!F32+Louisiana!F32+Maine!F32+Maryland!F32+Massachusettes!F32+Michigan!F32+Minnesota!F32+Mississippi!F32+Missouri!F32+Montana!F32+Nebraska!F32+Nevada!F32+'New Hampshire'!F32+'New Jersey'!F32+'New Mexico'!F32+'New York'!F32+'North Carolina'!F32+'North Dakota'!F32+Ohio!F32+Oklahoma!F32+Oregon!F32+Pennsylvania!F32+'Puerto Rico'!F32+'Rhode Island'!F32+'South Carolina'!F32+'South Dakota '!F32+Tennessee!F32+Texas!F32+Utah!F32+Vermont!F32+Virginia!F32+Washington!F32+'West Virginia'!F32+Wisconsin!F32+Wyoming!F32</f>
        <v>25082986</v>
      </c>
      <c r="G32" s="3">
        <f>+Alabama!G32+Alaska!G32+Arizona!G32+Arkansas!G32+California!G32+Colorado!G32+Connecticut!G32+Delaware!G32+'District of Columbia'!G32+Florida!G32+Georgia!G32+Hawaii!G32+Idaho!G32+Illinois!G32+Indiana!G32+Iowa!G32+Kansas!G32+Kentucky!G32+Louisiana!G32+Maine!G32+Maryland!G32+Massachusettes!G32+Michigan!G32+Minnesota!G32+Mississippi!G32+Missouri!G32+Montana!G32+Nebraska!G32+Nevada!G32+'New Hampshire'!G32+'New Jersey'!G32+'New Mexico'!G32+'New York'!G32+'North Carolina'!G32+'North Dakota'!G32+Ohio!G32+Oklahoma!G32+Oregon!G32+Pennsylvania!G32+'Puerto Rico'!G32+'Rhode Island'!G32+'South Carolina'!G32+'South Dakota '!G32+Tennessee!G32+Texas!G32+Utah!G32+Vermont!G32+Virginia!G32+Washington!G32+'West Virginia'!G32+Wisconsin!G32+Wyoming!G32</f>
        <v>0</v>
      </c>
      <c r="H32" s="3">
        <f>+Alabama!H32+Alaska!H32+Arizona!H32+Arkansas!H32+California!H32+Colorado!H32+Connecticut!H32+Delaware!H32+'District of Columbia'!H32+Florida!H32+Georgia!H32+Hawaii!H32+Idaho!H32+Illinois!H32+Indiana!H32+Iowa!H32+Kansas!H32+Kentucky!H32+Louisiana!H32+Maine!H32+Maryland!H32+Massachusettes!H32+Michigan!H32+Minnesota!H32+Mississippi!H32+Missouri!H32+Montana!H32+Nebraska!H32+Nevada!H32+'New Hampshire'!H32+'New Jersey'!H32+'New Mexico'!H32+'New York'!H32+'North Carolina'!H32+'North Dakota'!H32+Ohio!H32+Oklahoma!H32+Oregon!H32+Pennsylvania!H32+'Puerto Rico'!H32+'Rhode Island'!H32+'South Carolina'!H32+'South Dakota '!H32+Tennessee!H32+Texas!H32+Utah!H32+Vermont!H32+Virginia!H32+Washington!H32+'West Virginia'!H32+Wisconsin!H32+Wyoming!H32</f>
        <v>872915000</v>
      </c>
      <c r="I32" s="3">
        <f>+Alabama!I32+Alaska!I32+Arizona!I32+Arkansas!I32+California!I32+Colorado!I32+Connecticut!I32+Delaware!I32+'District of Columbia'!I32+Florida!I32+Georgia!I32+Hawaii!I32+Idaho!I32+Illinois!I32+Indiana!I32+Iowa!I32+Kansas!I32+Kentucky!I32+Louisiana!I32+Maine!I32+Maryland!I32+Massachusettes!I32+Michigan!I32+Minnesota!I32+Mississippi!I32+Missouri!I32+Montana!I32+Nebraska!I32+Nevada!I32+'New Hampshire'!I32+'New Jersey'!I32+'New Mexico'!I32+'New York'!I32+'North Carolina'!I32+'North Dakota'!I32+Ohio!I32+Oklahoma!I32+Oregon!I32+Pennsylvania!I32+'Puerto Rico'!I32+'Rhode Island'!I32+'South Carolina'!I32+'South Dakota '!I32+Tennessee!I32+Texas!I32+Utah!I32+Vermont!I32+Virginia!I32+Washington!I32+'West Virginia'!I32+Wisconsin!I32+Wyoming!I32</f>
        <v>52018000</v>
      </c>
      <c r="J32" s="3">
        <f>+Alabama!J32+Alaska!J32+Arizona!J32+Arkansas!J32+California!J32+Colorado!J32+Connecticut!J32+Delaware!J32+'District of Columbia'!J32+Florida!J32+Georgia!J32+Hawaii!J32+Idaho!J32+Illinois!J32+Indiana!J32+Iowa!J32+Kansas!J32+Kentucky!J32+Louisiana!J32+Maine!J32+Maryland!J32+Massachusettes!J32+Michigan!J32+Minnesota!J32+Mississippi!J32+Missouri!J32+Montana!J32+Nebraska!J32+Nevada!J32+'New Hampshire'!J32+'New Jersey'!J32+'New Mexico'!J32+'New York'!J32+'North Carolina'!J32+'North Dakota'!J32+Ohio!J32+Oklahoma!J32+Oregon!J32+Pennsylvania!J32+'Puerto Rico'!J32+'Rhode Island'!J32+'South Carolina'!J32+'South Dakota '!J32+Tennessee!J32+Texas!J32+Utah!J32+Vermont!J32+Virginia!J32+Washington!J32+'West Virginia'!J32+Wisconsin!J32+Wyoming!J32</f>
        <v>0</v>
      </c>
      <c r="K32" s="3">
        <f t="shared" si="5"/>
        <v>4069884760</v>
      </c>
      <c r="L32" s="3">
        <f t="shared" si="5"/>
        <v>80155986</v>
      </c>
      <c r="M32" s="3">
        <f t="shared" si="5"/>
        <v>0</v>
      </c>
      <c r="N32" s="3">
        <f t="shared" si="1"/>
        <v>4150040746</v>
      </c>
      <c r="P32" s="1">
        <v>31</v>
      </c>
    </row>
    <row r="33" spans="1:17" x14ac:dyDescent="0.15">
      <c r="A33" s="1">
        <v>2001</v>
      </c>
      <c r="B33" s="3">
        <f>+Alabama!B33+Alaska!B33+Arizona!B33+Arkansas!B33+California!B33+Colorado!B33+Connecticut!B33+Delaware!B33+'District of Columbia'!B33+Florida!B33+Georgia!B33+Hawaii!B33+Idaho!B33+Illinois!B33+Indiana!B33+Iowa!B33+Kansas!B33+Kentucky!B33+Louisiana!B33+Maine!B33+Maryland!B33+Massachusettes!B33+Michigan!B33+Minnesota!B33+Mississippi!B33+Missouri!B33+Montana!B33+Nebraska!B33+Nevada!B33+'New Hampshire'!B33+'New Jersey'!B33+'New Mexico'!B33+'New York'!B33+'North Carolina'!B33+'North Dakota'!B33+Ohio!B33+Oklahoma!B33+Oregon!B33+Pennsylvania!B33+'Puerto Rico'!B33+'Rhode Island'!B33+'South Carolina'!B33+'South Dakota '!B33+Tennessee!B33+Texas!B33+Utah!B33+Vermont!B33+Virginia!B33+Washington!B33+'West Virginia'!B33+Wisconsin!B33+Wyoming!B33</f>
        <v>2918257821</v>
      </c>
      <c r="C33" s="3">
        <f>+Alabama!C33+Alaska!C33+Arizona!C33+Arkansas!C33+California!C33+Colorado!C33+Connecticut!C33+Delaware!C33+'District of Columbia'!C33+Florida!C33+Georgia!C33+Hawaii!C33+Idaho!C33+Illinois!C33+Indiana!C33+Iowa!C33+Kansas!C33+Kentucky!C33+Louisiana!C33+Maine!C33+Maryland!C33+Massachusettes!C33+Michigan!C33+Minnesota!C33+Mississippi!C33+Missouri!C33+Montana!C33+Nebraska!C33+Nevada!C33+'New Hampshire'!C33+'New Jersey'!C33+'New Mexico'!C33+'New York'!C33+'North Carolina'!C33+'North Dakota'!C33+Ohio!C33+Oklahoma!C33+Oregon!C33+Pennsylvania!C33+'Puerto Rico'!C33+'Rhode Island'!C33+'South Carolina'!C33+'South Dakota '!C33+Tennessee!C33+Texas!C33+Utah!C33+Vermont!C33+Virginia!C33+Washington!C33+'West Virginia'!C33+Wisconsin!C33+Wyoming!C33</f>
        <v>3143000</v>
      </c>
      <c r="D33" s="3">
        <f>+Alabama!D33+Alaska!D33+Arizona!D33+Arkansas!D33+California!D33+Colorado!D33+Connecticut!D33+Delaware!D33+'District of Columbia'!D33+Florida!D33+Georgia!D33+Hawaii!D33+Idaho!D33+Illinois!D33+Indiana!D33+Iowa!D33+Kansas!D33+Kentucky!D33+Louisiana!D33+Maine!D33+Maryland!D33+Massachusettes!D33+Michigan!D33+Minnesota!D33+Mississippi!D33+Missouri!D33+Montana!D33+Nebraska!D33+Nevada!D33+'New Hampshire'!D33+'New Jersey'!D33+'New Mexico'!D33+'New York'!D33+'North Carolina'!D33+'North Dakota'!D33+Ohio!D33+Oklahoma!D33+Oregon!D33+Pennsylvania!D33+'Puerto Rico'!D33+'Rhode Island'!D33+'South Carolina'!D33+'South Dakota '!D33+Tennessee!D33+Texas!D33+Utah!D33+Vermont!D33+Virginia!D33+Washington!D33+'West Virginia'!D33+Wisconsin!D33+Wyoming!D33</f>
        <v>0</v>
      </c>
      <c r="E33" s="3">
        <f>+Alabama!E33+Alaska!E33+Arizona!E33+Arkansas!E33+California!E33+Colorado!E33+Connecticut!E33+Delaware!E33+'District of Columbia'!E33+Florida!E33+Georgia!E33+Hawaii!E33+Idaho!E33+Illinois!E33+Indiana!E33+Iowa!E33+Kansas!E33+Kentucky!E33+Louisiana!E33+Maine!E33+Maryland!E33+Massachusettes!E33+Michigan!E33+Minnesota!E33+Mississippi!E33+Missouri!E33+Montana!E33+Nebraska!E33+Nevada!E33+'New Hampshire'!E33+'New Jersey'!E33+'New Mexico'!E33+'New York'!E33+'North Carolina'!E33+'North Dakota'!E33+Ohio!E33+Oklahoma!E33+Oregon!E33+Pennsylvania!E33+'Puerto Rico'!E33+'Rhode Island'!E33+'South Carolina'!E33+'South Dakota '!E33+Tennessee!E33+Texas!E33+Utah!E33+Vermont!E33+Virginia!E33+Washington!E33+'West Virginia'!E33+Wisconsin!E33+Wyoming!E33</f>
        <v>597488887</v>
      </c>
      <c r="F33" s="3">
        <f>+Alabama!F33+Alaska!F33+Arizona!F33+Arkansas!F33+California!F33+Colorado!F33+Connecticut!F33+Delaware!F33+'District of Columbia'!F33+Florida!F33+Georgia!F33+Hawaii!F33+Idaho!F33+Illinois!F33+Indiana!F33+Iowa!F33+Kansas!F33+Kentucky!F33+Louisiana!F33+Maine!F33+Maryland!F33+Massachusettes!F33+Michigan!F33+Minnesota!F33+Mississippi!F33+Missouri!F33+Montana!F33+Nebraska!F33+Nevada!F33+'New Hampshire'!F33+'New Jersey'!F33+'New Mexico'!F33+'New York'!F33+'North Carolina'!F33+'North Dakota'!F33+Ohio!F33+Oklahoma!F33+Oregon!F33+Pennsylvania!F33+'Puerto Rico'!F33+'Rhode Island'!F33+'South Carolina'!F33+'South Dakota '!F33+Tennessee!F33+Texas!F33+Utah!F33+Vermont!F33+Virginia!F33+Washington!F33+'West Virginia'!F33+Wisconsin!F33+Wyoming!F33</f>
        <v>21365506</v>
      </c>
      <c r="G33" s="3">
        <f>+Alabama!G33+Alaska!G33+Arizona!G33+Arkansas!G33+California!G33+Colorado!G33+Connecticut!G33+Delaware!G33+'District of Columbia'!G33+Florida!G33+Georgia!G33+Hawaii!G33+Idaho!G33+Illinois!G33+Indiana!G33+Iowa!G33+Kansas!G33+Kentucky!G33+Louisiana!G33+Maine!G33+Maryland!G33+Massachusettes!G33+Michigan!G33+Minnesota!G33+Mississippi!G33+Missouri!G33+Montana!G33+Nebraska!G33+Nevada!G33+'New Hampshire'!G33+'New Jersey'!G33+'New Mexico'!G33+'New York'!G33+'North Carolina'!G33+'North Dakota'!G33+Ohio!G33+Oklahoma!G33+Oregon!G33+Pennsylvania!G33+'Puerto Rico'!G33+'Rhode Island'!G33+'South Carolina'!G33+'South Dakota '!G33+Tennessee!G33+Texas!G33+Utah!G33+Vermont!G33+Virginia!G33+Washington!G33+'West Virginia'!G33+Wisconsin!G33+Wyoming!G33</f>
        <v>0</v>
      </c>
      <c r="H33" s="3">
        <f>+Alabama!H33+Alaska!H33+Arizona!H33+Arkansas!H33+California!H33+Colorado!H33+Connecticut!H33+Delaware!H33+'District of Columbia'!H33+Florida!H33+Georgia!H33+Hawaii!H33+Idaho!H33+Illinois!H33+Indiana!H33+Iowa!H33+Kansas!H33+Kentucky!H33+Louisiana!H33+Maine!H33+Maryland!H33+Massachusettes!H33+Michigan!H33+Minnesota!H33+Mississippi!H33+Missouri!H33+Montana!H33+Nebraska!H33+Nevada!H33+'New Hampshire'!H33+'New Jersey'!H33+'New Mexico'!H33+'New York'!H33+'North Carolina'!H33+'North Dakota'!H33+Ohio!H33+Oklahoma!H33+Oregon!H33+Pennsylvania!H33+'Puerto Rico'!H33+'Rhode Island'!H33+'South Carolina'!H33+'South Dakota '!H33+Tennessee!H33+Texas!H33+Utah!H33+Vermont!H33+Virginia!H33+Washington!H33+'West Virginia'!H33+Wisconsin!H33+Wyoming!H33</f>
        <v>1089662000</v>
      </c>
      <c r="I33" s="3">
        <f>+Alabama!I33+Alaska!I33+Arizona!I33+Arkansas!I33+California!I33+Colorado!I33+Connecticut!I33+Delaware!I33+'District of Columbia'!I33+Florida!I33+Georgia!I33+Hawaii!I33+Idaho!I33+Illinois!I33+Indiana!I33+Iowa!I33+Kansas!I33+Kentucky!I33+Louisiana!I33+Maine!I33+Maryland!I33+Massachusettes!I33+Michigan!I33+Minnesota!I33+Mississippi!I33+Missouri!I33+Montana!I33+Nebraska!I33+Nevada!I33+'New Hampshire'!I33+'New Jersey'!I33+'New Mexico'!I33+'New York'!I33+'North Carolina'!I33+'North Dakota'!I33+Ohio!I33+Oklahoma!I33+Oregon!I33+Pennsylvania!I33+'Puerto Rico'!I33+'Rhode Island'!I33+'South Carolina'!I33+'South Dakota '!I33+Tennessee!I33+Texas!I33+Utah!I33+Vermont!I33+Virginia!I33+Washington!I33+'West Virginia'!I33+Wisconsin!I33+Wyoming!I33</f>
        <v>50934000</v>
      </c>
      <c r="J33" s="3">
        <f>+Alabama!J33+Alaska!J33+Arizona!J33+Arkansas!J33+California!J33+Colorado!J33+Connecticut!J33+Delaware!J33+'District of Columbia'!J33+Florida!J33+Georgia!J33+Hawaii!J33+Idaho!J33+Illinois!J33+Indiana!J33+Iowa!J33+Kansas!J33+Kentucky!J33+Louisiana!J33+Maine!J33+Maryland!J33+Massachusettes!J33+Michigan!J33+Minnesota!J33+Mississippi!J33+Missouri!J33+Montana!J33+Nebraska!J33+Nevada!J33+'New Hampshire'!J33+'New Jersey'!J33+'New Mexico'!J33+'New York'!J33+'North Carolina'!J33+'North Dakota'!J33+Ohio!J33+Oklahoma!J33+Oregon!J33+Pennsylvania!J33+'Puerto Rico'!J33+'Rhode Island'!J33+'South Carolina'!J33+'South Dakota '!J33+Tennessee!J33+Texas!J33+Utah!J33+Vermont!J33+Virginia!J33+Washington!J33+'West Virginia'!J33+Wisconsin!J33+Wyoming!J33</f>
        <v>0</v>
      </c>
      <c r="K33" s="3">
        <f t="shared" si="5"/>
        <v>4605408708</v>
      </c>
      <c r="L33" s="3">
        <f t="shared" si="5"/>
        <v>75442506</v>
      </c>
      <c r="M33" s="3">
        <f t="shared" si="5"/>
        <v>0</v>
      </c>
      <c r="N33" s="3">
        <f t="shared" si="1"/>
        <v>4680851214</v>
      </c>
      <c r="P33" s="1">
        <v>32</v>
      </c>
    </row>
    <row r="34" spans="1:17" x14ac:dyDescent="0.15">
      <c r="A34" s="1">
        <v>2002</v>
      </c>
      <c r="B34" s="3">
        <f>+Alabama!B34+Alaska!B34+Arizona!B34+Arkansas!B34+California!B34+Colorado!B34+Connecticut!B34+Delaware!B34+'District of Columbia'!B34+Florida!B34+Georgia!B34+Hawaii!B34+Idaho!B34+Illinois!B34+Indiana!B34+Iowa!B34+Kansas!B34+Kentucky!B34+Louisiana!B34+Maine!B34+Maryland!B34+Massachusettes!B34+Michigan!B34+Minnesota!B34+Mississippi!B34+Missouri!B34+Montana!B34+Nebraska!B34+Nevada!B34+'New Hampshire'!B34+'New Jersey'!B34+'New Mexico'!B34+'New York'!B34+'North Carolina'!B34+'North Dakota'!B34+Ohio!B34+Oklahoma!B34+Oregon!B34+Pennsylvania!B34+'Puerto Rico'!B34+'Rhode Island'!B34+'South Carolina'!B34+'South Dakota '!B34+Tennessee!B34+Texas!B34+Utah!B34+Vermont!B34+Virginia!B34+Washington!B34+'West Virginia'!B34+Wisconsin!B34+Wyoming!B34</f>
        <v>3184574937</v>
      </c>
      <c r="C34" s="3">
        <f>+Alabama!C34+Alaska!C34+Arizona!C34+Arkansas!C34+California!C34+Colorado!C34+Connecticut!C34+Delaware!C34+'District of Columbia'!C34+Florida!C34+Georgia!C34+Hawaii!C34+Idaho!C34+Illinois!C34+Indiana!C34+Iowa!C34+Kansas!C34+Kentucky!C34+Louisiana!C34+Maine!C34+Maryland!C34+Massachusettes!C34+Michigan!C34+Minnesota!C34+Mississippi!C34+Missouri!C34+Montana!C34+Nebraska!C34+Nevada!C34+'New Hampshire'!C34+'New Jersey'!C34+'New Mexico'!C34+'New York'!C34+'North Carolina'!C34+'North Dakota'!C34+Ohio!C34+Oklahoma!C34+Oregon!C34+Pennsylvania!C34+'Puerto Rico'!C34+'Rhode Island'!C34+'South Carolina'!C34+'South Dakota '!C34+Tennessee!C34+Texas!C34+Utah!C34+Vermont!C34+Virginia!C34+Washington!C34+'West Virginia'!C34+Wisconsin!C34+Wyoming!C34</f>
        <v>3013000</v>
      </c>
      <c r="D34" s="3">
        <f>+Alabama!D34+Alaska!D34+Arizona!D34+Arkansas!D34+California!D34+Colorado!D34+Connecticut!D34+Delaware!D34+'District of Columbia'!D34+Florida!D34+Georgia!D34+Hawaii!D34+Idaho!D34+Illinois!D34+Indiana!D34+Iowa!D34+Kansas!D34+Kentucky!D34+Louisiana!D34+Maine!D34+Maryland!D34+Massachusettes!D34+Michigan!D34+Minnesota!D34+Mississippi!D34+Missouri!D34+Montana!D34+Nebraska!D34+Nevada!D34+'New Hampshire'!D34+'New Jersey'!D34+'New Mexico'!D34+'New York'!D34+'North Carolina'!D34+'North Dakota'!D34+Ohio!D34+Oklahoma!D34+Oregon!D34+Pennsylvania!D34+'Puerto Rico'!D34+'Rhode Island'!D34+'South Carolina'!D34+'South Dakota '!D34+Tennessee!D34+Texas!D34+Utah!D34+Vermont!D34+Virginia!D34+Washington!D34+'West Virginia'!D34+Wisconsin!D34+Wyoming!D34</f>
        <v>0</v>
      </c>
      <c r="E34" s="3">
        <f>+Alabama!E34+Alaska!E34+Arizona!E34+Arkansas!E34+California!E34+Colorado!E34+Connecticut!E34+Delaware!E34+'District of Columbia'!E34+Florida!E34+Georgia!E34+Hawaii!E34+Idaho!E34+Illinois!E34+Indiana!E34+Iowa!E34+Kansas!E34+Kentucky!E34+Louisiana!E34+Maine!E34+Maryland!E34+Massachusettes!E34+Michigan!E34+Minnesota!E34+Mississippi!E34+Missouri!E34+Montana!E34+Nebraska!E34+Nevada!E34+'New Hampshire'!E34+'New Jersey'!E34+'New Mexico'!E34+'New York'!E34+'North Carolina'!E34+'North Dakota'!E34+Ohio!E34+Oklahoma!E34+Oregon!E34+Pennsylvania!E34+'Puerto Rico'!E34+'Rhode Island'!E34+'South Carolina'!E34+'South Dakota '!E34+Tennessee!E34+Texas!E34+Utah!E34+Vermont!E34+Virginia!E34+Washington!E34+'West Virginia'!E34+Wisconsin!E34+Wyoming!E34</f>
        <v>641566983</v>
      </c>
      <c r="F34" s="3">
        <f>+Alabama!F34+Alaska!F34+Arizona!F34+Arkansas!F34+California!F34+Colorado!F34+Connecticut!F34+Delaware!F34+'District of Columbia'!F34+Florida!F34+Georgia!F34+Hawaii!F34+Idaho!F34+Illinois!F34+Indiana!F34+Iowa!F34+Kansas!F34+Kentucky!F34+Louisiana!F34+Maine!F34+Maryland!F34+Massachusettes!F34+Michigan!F34+Minnesota!F34+Mississippi!F34+Missouri!F34+Montana!F34+Nebraska!F34+Nevada!F34+'New Hampshire'!F34+'New Jersey'!F34+'New Mexico'!F34+'New York'!F34+'North Carolina'!F34+'North Dakota'!F34+Ohio!F34+Oklahoma!F34+Oregon!F34+Pennsylvania!F34+'Puerto Rico'!F34+'Rhode Island'!F34+'South Carolina'!F34+'South Dakota '!F34+Tennessee!F34+Texas!F34+Utah!F34+Vermont!F34+Virginia!F34+Washington!F34+'West Virginia'!F34+Wisconsin!F34+Wyoming!F34</f>
        <v>37174000</v>
      </c>
      <c r="G34" s="3">
        <f>+Alabama!G34+Alaska!G34+Arizona!G34+Arkansas!G34+California!G34+Colorado!G34+Connecticut!G34+Delaware!G34+'District of Columbia'!G34+Florida!G34+Georgia!G34+Hawaii!G34+Idaho!G34+Illinois!G34+Indiana!G34+Iowa!G34+Kansas!G34+Kentucky!G34+Louisiana!G34+Maine!G34+Maryland!G34+Massachusettes!G34+Michigan!G34+Minnesota!G34+Mississippi!G34+Missouri!G34+Montana!G34+Nebraska!G34+Nevada!G34+'New Hampshire'!G34+'New Jersey'!G34+'New Mexico'!G34+'New York'!G34+'North Carolina'!G34+'North Dakota'!G34+Ohio!G34+Oklahoma!G34+Oregon!G34+Pennsylvania!G34+'Puerto Rico'!G34+'Rhode Island'!G34+'South Carolina'!G34+'South Dakota '!G34+Tennessee!G34+Texas!G34+Utah!G34+Vermont!G34+Virginia!G34+Washington!G34+'West Virginia'!G34+Wisconsin!G34+Wyoming!G34</f>
        <v>0</v>
      </c>
      <c r="H34" s="3">
        <f>+Alabama!H34+Alaska!H34+Arizona!H34+Arkansas!H34+California!H34+Colorado!H34+Connecticut!H34+Delaware!H34+'District of Columbia'!H34+Florida!H34+Georgia!H34+Hawaii!H34+Idaho!H34+Illinois!H34+Indiana!H34+Iowa!H34+Kansas!H34+Kentucky!H34+Louisiana!H34+Maine!H34+Maryland!H34+Massachusettes!H34+Michigan!H34+Minnesota!H34+Mississippi!H34+Missouri!H34+Montana!H34+Nebraska!H34+Nevada!H34+'New Hampshire'!H34+'New Jersey'!H34+'New Mexico'!H34+'New York'!H34+'North Carolina'!H34+'North Dakota'!H34+Ohio!H34+Oklahoma!H34+Oregon!H34+Pennsylvania!H34+'Puerto Rico'!H34+'Rhode Island'!H34+'South Carolina'!H34+'South Dakota '!H34+Tennessee!H34+Texas!H34+Utah!H34+Vermont!H34+Virginia!H34+Washington!H34+'West Virginia'!H34+Wisconsin!H34+Wyoming!H34</f>
        <v>1208612000</v>
      </c>
      <c r="I34" s="3">
        <f>+Alabama!I34+Alaska!I34+Arizona!I34+Arkansas!I34+California!I34+Colorado!I34+Connecticut!I34+Delaware!I34+'District of Columbia'!I34+Florida!I34+Georgia!I34+Hawaii!I34+Idaho!I34+Illinois!I34+Indiana!I34+Iowa!I34+Kansas!I34+Kentucky!I34+Louisiana!I34+Maine!I34+Maryland!I34+Massachusettes!I34+Michigan!I34+Minnesota!I34+Mississippi!I34+Missouri!I34+Montana!I34+Nebraska!I34+Nevada!I34+'New Hampshire'!I34+'New Jersey'!I34+'New Mexico'!I34+'New York'!I34+'North Carolina'!I34+'North Dakota'!I34+Ohio!I34+Oklahoma!I34+Oregon!I34+Pennsylvania!I34+'Puerto Rico'!I34+'Rhode Island'!I34+'South Carolina'!I34+'South Dakota '!I34+Tennessee!I34+Texas!I34+Utah!I34+Vermont!I34+Virginia!I34+Washington!I34+'West Virginia'!I34+Wisconsin!I34+Wyoming!I34</f>
        <v>65578000</v>
      </c>
      <c r="J34" s="3">
        <f>+Alabama!J34+Alaska!J34+Arizona!J34+Arkansas!J34+California!J34+Colorado!J34+Connecticut!J34+Delaware!J34+'District of Columbia'!J34+Florida!J34+Georgia!J34+Hawaii!J34+Idaho!J34+Illinois!J34+Indiana!J34+Iowa!J34+Kansas!J34+Kentucky!J34+Louisiana!J34+Maine!J34+Maryland!J34+Massachusettes!J34+Michigan!J34+Minnesota!J34+Mississippi!J34+Missouri!J34+Montana!J34+Nebraska!J34+Nevada!J34+'New Hampshire'!J34+'New Jersey'!J34+'New Mexico'!J34+'New York'!J34+'North Carolina'!J34+'North Dakota'!J34+Ohio!J34+Oklahoma!J34+Oregon!J34+Pennsylvania!J34+'Puerto Rico'!J34+'Rhode Island'!J34+'South Carolina'!J34+'South Dakota '!J34+Tennessee!J34+Texas!J34+Utah!J34+Vermont!J34+Virginia!J34+Washington!J34+'West Virginia'!J34+Wisconsin!J34+Wyoming!J34</f>
        <v>0</v>
      </c>
      <c r="K34" s="3">
        <f t="shared" ref="K34:K48" si="6">+B34+E34+H34</f>
        <v>5034753920</v>
      </c>
      <c r="L34" s="3">
        <f t="shared" ref="L34:L48" si="7">+C34+F34+I34</f>
        <v>105765000</v>
      </c>
      <c r="M34" s="3">
        <f t="shared" ref="M34:M48" si="8">+D34+G34+J34</f>
        <v>0</v>
      </c>
      <c r="N34" s="3">
        <f t="shared" ref="N34:N48" si="9">+M34+L34+K34</f>
        <v>5140518920</v>
      </c>
      <c r="P34" s="1">
        <v>33</v>
      </c>
    </row>
    <row r="35" spans="1:17" x14ac:dyDescent="0.15">
      <c r="A35" s="1">
        <v>2003</v>
      </c>
      <c r="B35" s="3">
        <f>+Alabama!B35+Alaska!B35+Arizona!B35+Arkansas!B35+California!B35+Colorado!B35+Connecticut!B35+Delaware!B35+'District of Columbia'!B35+Florida!B35+Georgia!B35+Hawaii!B35+Idaho!B35+Illinois!B35+Indiana!B35+Iowa!B35+Kansas!B35+Kentucky!B35+Louisiana!B35+Maine!B35+Maryland!B35+Massachusettes!B35+Michigan!B35+Minnesota!B35+Mississippi!B35+Missouri!B35+Montana!B35+Nebraska!B35+Nevada!B35+'New Hampshire'!B35+'New Jersey'!B35+'New Mexico'!B35+'New York'!B35+'North Carolina'!B35+'North Dakota'!B35+Ohio!B35+Oklahoma!B35+Oregon!B35+Pennsylvania!B35+'Puerto Rico'!B35+'Rhode Island'!B35+'South Carolina'!B35+'South Dakota '!B35+Tennessee!B35+Texas!B35+Utah!B35+Vermont!B35+Virginia!B35+Washington!B35+'West Virginia'!B35+Wisconsin!B35+Wyoming!B35</f>
        <v>3348935387</v>
      </c>
      <c r="C35" s="3">
        <f>+Alabama!C35+Alaska!C35+Arizona!C35+Arkansas!C35+California!C35+Colorado!C35+Connecticut!C35+Delaware!C35+'District of Columbia'!C35+Florida!C35+Georgia!C35+Hawaii!C35+Idaho!C35+Illinois!C35+Indiana!C35+Iowa!C35+Kansas!C35+Kentucky!C35+Louisiana!C35+Maine!C35+Maryland!C35+Massachusettes!C35+Michigan!C35+Minnesota!C35+Mississippi!C35+Missouri!C35+Montana!C35+Nebraska!C35+Nevada!C35+'New Hampshire'!C35+'New Jersey'!C35+'New Mexico'!C35+'New York'!C35+'North Carolina'!C35+'North Dakota'!C35+Ohio!C35+Oklahoma!C35+Oregon!C35+Pennsylvania!C35+'Puerto Rico'!C35+'Rhode Island'!C35+'South Carolina'!C35+'South Dakota '!C35+Tennessee!C35+Texas!C35+Utah!C35+Vermont!C35+Virginia!C35+Washington!C35+'West Virginia'!C35+Wisconsin!C35+Wyoming!C35</f>
        <v>8857390</v>
      </c>
      <c r="D35" s="3">
        <f>+Alabama!D35+Alaska!D35+Arizona!D35+Arkansas!D35+California!D35+Colorado!D35+Connecticut!D35+Delaware!D35+'District of Columbia'!D35+Florida!D35+Georgia!D35+Hawaii!D35+Idaho!D35+Illinois!D35+Indiana!D35+Iowa!D35+Kansas!D35+Kentucky!D35+Louisiana!D35+Maine!D35+Maryland!D35+Massachusettes!D35+Michigan!D35+Minnesota!D35+Mississippi!D35+Missouri!D35+Montana!D35+Nebraska!D35+Nevada!D35+'New Hampshire'!D35+'New Jersey'!D35+'New Mexico'!D35+'New York'!D35+'North Carolina'!D35+'North Dakota'!D35+Ohio!D35+Oklahoma!D35+Oregon!D35+Pennsylvania!D35+'Puerto Rico'!D35+'Rhode Island'!D35+'South Carolina'!D35+'South Dakota '!D35+Tennessee!D35+Texas!D35+Utah!D35+Vermont!D35+Virginia!D35+Washington!D35+'West Virginia'!D35+Wisconsin!D35+Wyoming!D35</f>
        <v>41264395</v>
      </c>
      <c r="E35" s="3">
        <f>+Alabama!E35+Alaska!E35+Arizona!E35+Arkansas!E35+California!E35+Colorado!E35+Connecticut!E35+Delaware!E35+'District of Columbia'!E35+Florida!E35+Georgia!E35+Hawaii!E35+Idaho!E35+Illinois!E35+Indiana!E35+Iowa!E35+Kansas!E35+Kentucky!E35+Louisiana!E35+Maine!E35+Maryland!E35+Massachusettes!E35+Michigan!E35+Minnesota!E35+Mississippi!E35+Missouri!E35+Montana!E35+Nebraska!E35+Nevada!E35+'New Hampshire'!E35+'New Jersey'!E35+'New Mexico'!E35+'New York'!E35+'North Carolina'!E35+'North Dakota'!E35+Ohio!E35+Oklahoma!E35+Oregon!E35+Pennsylvania!E35+'Puerto Rico'!E35+'Rhode Island'!E35+'South Carolina'!E35+'South Dakota '!E35+Tennessee!E35+Texas!E35+Utah!E35+Vermont!E35+Virginia!E35+Washington!E35+'West Virginia'!E35+Wisconsin!E35+Wyoming!E35</f>
        <v>617980437</v>
      </c>
      <c r="F35" s="3">
        <f>+Alabama!F35+Alaska!F35+Arizona!F35+Arkansas!F35+California!F35+Colorado!F35+Connecticut!F35+Delaware!F35+'District of Columbia'!F35+Florida!F35+Georgia!F35+Hawaii!F35+Idaho!F35+Illinois!F35+Indiana!F35+Iowa!F35+Kansas!F35+Kentucky!F35+Louisiana!F35+Maine!F35+Maryland!F35+Massachusettes!F35+Michigan!F35+Minnesota!F35+Mississippi!F35+Missouri!F35+Montana!F35+Nebraska!F35+Nevada!F35+'New Hampshire'!F35+'New Jersey'!F35+'New Mexico'!F35+'New York'!F35+'North Carolina'!F35+'North Dakota'!F35+Ohio!F35+Oklahoma!F35+Oregon!F35+Pennsylvania!F35+'Puerto Rico'!F35+'Rhode Island'!F35+'South Carolina'!F35+'South Dakota '!F35+Tennessee!F35+Texas!F35+Utah!F35+Vermont!F35+Virginia!F35+Washington!F35+'West Virginia'!F35+Wisconsin!F35+Wyoming!F35</f>
        <v>39601346</v>
      </c>
      <c r="G35" s="3">
        <f>+Alabama!G35+Alaska!G35+Arizona!G35+Arkansas!G35+California!G35+Colorado!G35+Connecticut!G35+Delaware!G35+'District of Columbia'!G35+Florida!G35+Georgia!G35+Hawaii!G35+Idaho!G35+Illinois!G35+Indiana!G35+Iowa!G35+Kansas!G35+Kentucky!G35+Louisiana!G35+Maine!G35+Maryland!G35+Massachusettes!G35+Michigan!G35+Minnesota!G35+Mississippi!G35+Missouri!G35+Montana!G35+Nebraska!G35+Nevada!G35+'New Hampshire'!G35+'New Jersey'!G35+'New Mexico'!G35+'New York'!G35+'North Carolina'!G35+'North Dakota'!G35+Ohio!G35+Oklahoma!G35+Oregon!G35+Pennsylvania!G35+'Puerto Rico'!G35+'Rhode Island'!G35+'South Carolina'!G35+'South Dakota '!G35+Tennessee!G35+Texas!G35+Utah!G35+Vermont!G35+Virginia!G35+Washington!G35+'West Virginia'!G35+Wisconsin!G35+Wyoming!G35</f>
        <v>173333146</v>
      </c>
      <c r="H35" s="3">
        <f>+Alabama!H35+Alaska!H35+Arizona!H35+Arkansas!H35+California!H35+Colorado!H35+Connecticut!H35+Delaware!H35+'District of Columbia'!H35+Florida!H35+Georgia!H35+Hawaii!H35+Idaho!H35+Illinois!H35+Indiana!H35+Iowa!H35+Kansas!H35+Kentucky!H35+Louisiana!H35+Maine!H35+Maryland!H35+Massachusettes!H35+Michigan!H35+Minnesota!H35+Mississippi!H35+Missouri!H35+Montana!H35+Nebraska!H35+Nevada!H35+'New Hampshire'!H35+'New Jersey'!H35+'New Mexico'!H35+'New York'!H35+'North Carolina'!H35+'North Dakota'!H35+Ohio!H35+Oklahoma!H35+Oregon!H35+Pennsylvania!H35+'Puerto Rico'!H35+'Rhode Island'!H35+'South Carolina'!H35+'South Dakota '!H35+Tennessee!H35+Texas!H35+Utah!H35+Vermont!H35+Virginia!H35+Washington!H35+'West Virginia'!H35+Wisconsin!H35+Wyoming!H35</f>
        <v>1202824391</v>
      </c>
      <c r="I35" s="3">
        <f>+Alabama!I35+Alaska!I35+Arizona!I35+Arkansas!I35+California!I35+Colorado!I35+Connecticut!I35+Delaware!I35+'District of Columbia'!I35+Florida!I35+Georgia!I35+Hawaii!I35+Idaho!I35+Illinois!I35+Indiana!I35+Iowa!I35+Kansas!I35+Kentucky!I35+Louisiana!I35+Maine!I35+Maryland!I35+Massachusettes!I35+Michigan!I35+Minnesota!I35+Mississippi!I35+Missouri!I35+Montana!I35+Nebraska!I35+Nevada!I35+'New Hampshire'!I35+'New Jersey'!I35+'New Mexico'!I35+'New York'!I35+'North Carolina'!I35+'North Dakota'!I35+Ohio!I35+Oklahoma!I35+Oregon!I35+Pennsylvania!I35+'Puerto Rico'!I35+'Rhode Island'!I35+'South Carolina'!I35+'South Dakota '!I35+Tennessee!I35+Texas!I35+Utah!I35+Vermont!I35+Virginia!I35+Washington!I35+'West Virginia'!I35+Wisconsin!I35+Wyoming!I35</f>
        <v>29948004</v>
      </c>
      <c r="J35" s="3">
        <f>+Alabama!J35+Alaska!J35+Arizona!J35+Arkansas!J35+California!J35+Colorado!J35+Connecticut!J35+Delaware!J35+'District of Columbia'!J35+Florida!J35+Georgia!J35+Hawaii!J35+Idaho!J35+Illinois!J35+Indiana!J35+Iowa!J35+Kansas!J35+Kentucky!J35+Louisiana!J35+Maine!J35+Maryland!J35+Massachusettes!J35+Michigan!J35+Minnesota!J35+Mississippi!J35+Missouri!J35+Montana!J35+Nebraska!J35+Nevada!J35+'New Hampshire'!J35+'New Jersey'!J35+'New Mexico'!J35+'New York'!J35+'North Carolina'!J35+'North Dakota'!J35+Ohio!J35+Oklahoma!J35+Oregon!J35+Pennsylvania!J35+'Puerto Rico'!J35+'Rhode Island'!J35+'South Carolina'!J35+'South Dakota '!J35+Tennessee!J35+Texas!J35+Utah!J35+Vermont!J35+Virginia!J35+Washington!J35+'West Virginia'!J35+Wisconsin!J35+Wyoming!J35</f>
        <v>321005019</v>
      </c>
      <c r="K35" s="3">
        <f t="shared" si="6"/>
        <v>5169740215</v>
      </c>
      <c r="L35" s="3">
        <f t="shared" si="7"/>
        <v>78406740</v>
      </c>
      <c r="M35" s="3">
        <f t="shared" si="8"/>
        <v>535602560</v>
      </c>
      <c r="N35" s="3">
        <f t="shared" si="9"/>
        <v>5783749515</v>
      </c>
      <c r="P35" s="1">
        <v>34</v>
      </c>
      <c r="Q35" s="1" t="s">
        <v>157</v>
      </c>
    </row>
    <row r="36" spans="1:17" x14ac:dyDescent="0.15">
      <c r="A36" s="1">
        <v>2004</v>
      </c>
      <c r="B36" s="3">
        <f>+Alabama!B36+Alaska!B36+Arizona!B36+Arkansas!B36+California!B36+Colorado!B36+Connecticut!B36+Delaware!B36+'District of Columbia'!B36+Florida!B36+Georgia!B36+Hawaii!B36+Idaho!B36+Illinois!B36+Indiana!B36+Iowa!B36+Kansas!B36+Kentucky!B36+Louisiana!B36+Maine!B36+Maryland!B36+Massachusettes!B36+Michigan!B36+Minnesota!B36+Mississippi!B36+Missouri!B36+Montana!B36+Nebraska!B36+Nevada!B36+'New Hampshire'!B36+'New Jersey'!B36+'New Mexico'!B36+'New York'!B36+'North Carolina'!B36+'North Dakota'!B36+Ohio!B36+Oklahoma!B36+Oregon!B36+Pennsylvania!B36+'Puerto Rico'!B36+'Rhode Island'!B36+'South Carolina'!B36+'South Dakota '!B36+Tennessee!B36+Texas!B36+Utah!B36+Vermont!B36+Virginia!B36+Washington!B36+'West Virginia'!B36+Wisconsin!B36+Wyoming!B36</f>
        <v>3644173522</v>
      </c>
      <c r="C36" s="3">
        <f>+Alabama!C36+Alaska!C36+Arizona!C36+Arkansas!C36+California!C36+Colorado!C36+Connecticut!C36+Delaware!C36+'District of Columbia'!C36+Florida!C36+Georgia!C36+Hawaii!C36+Idaho!C36+Illinois!C36+Indiana!C36+Iowa!C36+Kansas!C36+Kentucky!C36+Louisiana!C36+Maine!C36+Maryland!C36+Massachusettes!C36+Michigan!C36+Minnesota!C36+Mississippi!C36+Missouri!C36+Montana!C36+Nebraska!C36+Nevada!C36+'New Hampshire'!C36+'New Jersey'!C36+'New Mexico'!C36+'New York'!C36+'North Carolina'!C36+'North Dakota'!C36+Ohio!C36+Oklahoma!C36+Oregon!C36+Pennsylvania!C36+'Puerto Rico'!C36+'Rhode Island'!C36+'South Carolina'!C36+'South Dakota '!C36+Tennessee!C36+Texas!C36+Utah!C36+Vermont!C36+Virginia!C36+Washington!C36+'West Virginia'!C36+Wisconsin!C36+Wyoming!C36</f>
        <v>3575768</v>
      </c>
      <c r="D36" s="3">
        <f>+Alabama!D36+Alaska!D36+Arizona!D36+Arkansas!D36+California!D36+Colorado!D36+Connecticut!D36+Delaware!D36+'District of Columbia'!D36+Florida!D36+Georgia!D36+Hawaii!D36+Idaho!D36+Illinois!D36+Indiana!D36+Iowa!D36+Kansas!D36+Kentucky!D36+Louisiana!D36+Maine!D36+Maryland!D36+Massachusettes!D36+Michigan!D36+Minnesota!D36+Mississippi!D36+Missouri!D36+Montana!D36+Nebraska!D36+Nevada!D36+'New Hampshire'!D36+'New Jersey'!D36+'New Mexico'!D36+'New York'!D36+'North Carolina'!D36+'North Dakota'!D36+Ohio!D36+Oklahoma!D36+Oregon!D36+Pennsylvania!D36+'Puerto Rico'!D36+'Rhode Island'!D36+'South Carolina'!D36+'South Dakota '!D36+Tennessee!D36+Texas!D36+Utah!D36+Vermont!D36+Virginia!D36+Washington!D36+'West Virginia'!D36+Wisconsin!D36+Wyoming!D36</f>
        <v>13143869</v>
      </c>
      <c r="E36" s="3">
        <f>+Alabama!E36+Alaska!E36+Arizona!E36+Arkansas!E36+California!E36+Colorado!E36+Connecticut!E36+Delaware!E36+'District of Columbia'!E36+Florida!E36+Georgia!E36+Hawaii!E36+Idaho!E36+Illinois!E36+Indiana!E36+Iowa!E36+Kansas!E36+Kentucky!E36+Louisiana!E36+Maine!E36+Maryland!E36+Massachusettes!E36+Michigan!E36+Minnesota!E36+Mississippi!E36+Missouri!E36+Montana!E36+Nebraska!E36+Nevada!E36+'New Hampshire'!E36+'New Jersey'!E36+'New Mexico'!E36+'New York'!E36+'North Carolina'!E36+'North Dakota'!E36+Ohio!E36+Oklahoma!E36+Oregon!E36+Pennsylvania!E36+'Puerto Rico'!E36+'Rhode Island'!E36+'South Carolina'!E36+'South Dakota '!E36+Tennessee!E36+Texas!E36+Utah!E36+Vermont!E36+Virginia!E36+Washington!E36+'West Virginia'!E36+Wisconsin!E36+Wyoming!E36</f>
        <v>572972535</v>
      </c>
      <c r="F36" s="3">
        <f>+Alabama!F36+Alaska!F36+Arizona!F36+Arkansas!F36+California!F36+Colorado!F36+Connecticut!F36+Delaware!F36+'District of Columbia'!F36+Florida!F36+Georgia!F36+Hawaii!F36+Idaho!F36+Illinois!F36+Indiana!F36+Iowa!F36+Kansas!F36+Kentucky!F36+Louisiana!F36+Maine!F36+Maryland!F36+Massachusettes!F36+Michigan!F36+Minnesota!F36+Mississippi!F36+Missouri!F36+Montana!F36+Nebraska!F36+Nevada!F36+'New Hampshire'!F36+'New Jersey'!F36+'New Mexico'!F36+'New York'!F36+'North Carolina'!F36+'North Dakota'!F36+Ohio!F36+Oklahoma!F36+Oregon!F36+Pennsylvania!F36+'Puerto Rico'!F36+'Rhode Island'!F36+'South Carolina'!F36+'South Dakota '!F36+Tennessee!F36+Texas!F36+Utah!F36+Vermont!F36+Virginia!F36+Washington!F36+'West Virginia'!F36+Wisconsin!F36+Wyoming!F36</f>
        <v>23398349</v>
      </c>
      <c r="G36" s="3">
        <f>+Alabama!G36+Alaska!G36+Arizona!G36+Arkansas!G36+California!G36+Colorado!G36+Connecticut!G36+Delaware!G36+'District of Columbia'!G36+Florida!G36+Georgia!G36+Hawaii!G36+Idaho!G36+Illinois!G36+Indiana!G36+Iowa!G36+Kansas!G36+Kentucky!G36+Louisiana!G36+Maine!G36+Maryland!G36+Massachusettes!G36+Michigan!G36+Minnesota!G36+Mississippi!G36+Missouri!G36+Montana!G36+Nebraska!G36+Nevada!G36+'New Hampshire'!G36+'New Jersey'!G36+'New Mexico'!G36+'New York'!G36+'North Carolina'!G36+'North Dakota'!G36+Ohio!G36+Oklahoma!G36+Oregon!G36+Pennsylvania!G36+'Puerto Rico'!G36+'Rhode Island'!G36+'South Carolina'!G36+'South Dakota '!G36+Tennessee!G36+Texas!G36+Utah!G36+Vermont!G36+Virginia!G36+Washington!G36+'West Virginia'!G36+Wisconsin!G36+Wyoming!G36</f>
        <v>251333989</v>
      </c>
      <c r="H36" s="3">
        <f>+Alabama!H36+Alaska!H36+Arizona!H36+Arkansas!H36+California!H36+Colorado!H36+Connecticut!H36+Delaware!H36+'District of Columbia'!H36+Florida!H36+Georgia!H36+Hawaii!H36+Idaho!H36+Illinois!H36+Indiana!H36+Iowa!H36+Kansas!H36+Kentucky!H36+Louisiana!H36+Maine!H36+Maryland!H36+Massachusettes!H36+Michigan!H36+Minnesota!H36+Mississippi!H36+Missouri!H36+Montana!H36+Nebraska!H36+Nevada!H36+'New Hampshire'!H36+'New Jersey'!H36+'New Mexico'!H36+'New York'!H36+'North Carolina'!H36+'North Dakota'!H36+Ohio!H36+Oklahoma!H36+Oregon!H36+Pennsylvania!H36+'Puerto Rico'!H36+'Rhode Island'!H36+'South Carolina'!H36+'South Dakota '!H36+Tennessee!H36+Texas!H36+Utah!H36+Vermont!H36+Virginia!H36+Washington!H36+'West Virginia'!H36+Wisconsin!H36+Wyoming!H36</f>
        <v>1502726219</v>
      </c>
      <c r="I36" s="3">
        <f>+Alabama!I36+Alaska!I36+Arizona!I36+Arkansas!I36+California!I36+Colorado!I36+Connecticut!I36+Delaware!I36+'District of Columbia'!I36+Florida!I36+Georgia!I36+Hawaii!I36+Idaho!I36+Illinois!I36+Indiana!I36+Iowa!I36+Kansas!I36+Kentucky!I36+Louisiana!I36+Maine!I36+Maryland!I36+Massachusettes!I36+Michigan!I36+Minnesota!I36+Mississippi!I36+Missouri!I36+Montana!I36+Nebraska!I36+Nevada!I36+'New Hampshire'!I36+'New Jersey'!I36+'New Mexico'!I36+'New York'!I36+'North Carolina'!I36+'North Dakota'!I36+Ohio!I36+Oklahoma!I36+Oregon!I36+Pennsylvania!I36+'Puerto Rico'!I36+'Rhode Island'!I36+'South Carolina'!I36+'South Dakota '!I36+Tennessee!I36+Texas!I36+Utah!I36+Vermont!I36+Virginia!I36+Washington!I36+'West Virginia'!I36+Wisconsin!I36+Wyoming!I36</f>
        <v>19165935</v>
      </c>
      <c r="J36" s="3">
        <f>+Alabama!J36+Alaska!J36+Arizona!J36+Arkansas!J36+California!J36+Colorado!J36+Connecticut!J36+Delaware!J36+'District of Columbia'!J36+Florida!J36+Georgia!J36+Hawaii!J36+Idaho!J36+Illinois!J36+Indiana!J36+Iowa!J36+Kansas!J36+Kentucky!J36+Louisiana!J36+Maine!J36+Maryland!J36+Massachusettes!J36+Michigan!J36+Minnesota!J36+Mississippi!J36+Missouri!J36+Montana!J36+Nebraska!J36+Nevada!J36+'New Hampshire'!J36+'New Jersey'!J36+'New Mexico'!J36+'New York'!J36+'North Carolina'!J36+'North Dakota'!J36+Ohio!J36+Oklahoma!J36+Oregon!J36+Pennsylvania!J36+'Puerto Rico'!J36+'Rhode Island'!J36+'South Carolina'!J36+'South Dakota '!J36+Tennessee!J36+Texas!J36+Utah!J36+Vermont!J36+Virginia!J36+Washington!J36+'West Virginia'!J36+Wisconsin!J36+Wyoming!J36</f>
        <v>135926260</v>
      </c>
      <c r="K36" s="3">
        <f t="shared" si="6"/>
        <v>5719872276</v>
      </c>
      <c r="L36" s="3">
        <f t="shared" si="7"/>
        <v>46140052</v>
      </c>
      <c r="M36" s="3">
        <f t="shared" si="8"/>
        <v>400404118</v>
      </c>
      <c r="N36" s="3">
        <f t="shared" si="9"/>
        <v>6166416446</v>
      </c>
      <c r="P36" s="1">
        <v>35</v>
      </c>
    </row>
    <row r="37" spans="1:17" x14ac:dyDescent="0.15">
      <c r="A37" s="1">
        <v>2005</v>
      </c>
      <c r="B37" s="3">
        <f>+Alabama!B37+Alaska!B37+Arizona!B37+Arkansas!B37+California!B37+Colorado!B37+Connecticut!B37+Delaware!B37+'District of Columbia'!B37+Florida!B37+Georgia!B37+Hawaii!B37+Idaho!B37+Illinois!B37+Indiana!B37+Iowa!B37+Kansas!B37+Kentucky!B37+Louisiana!B37+Maine!B37+Maryland!B37+Massachusettes!B37+Michigan!B37+Minnesota!B37+Mississippi!B37+Missouri!B37+Montana!B37+Nebraska!B37+Nevada!B37+'New Hampshire'!B37+'New Jersey'!B37+'New Mexico'!B37+'New York'!B37+'North Carolina'!B37+'North Dakota'!B37+Ohio!B37+Oklahoma!B37+Oregon!B37+Pennsylvania!B37+'Puerto Rico'!B37+'Rhode Island'!B37+'South Carolina'!B37+'South Dakota '!B37+Tennessee!B37+Texas!B37+Utah!B37+Vermont!B37+Virginia!B37+Washington!B37+'West Virginia'!B37+Wisconsin!B37+Wyoming!B37</f>
        <v>4006419728</v>
      </c>
      <c r="C37" s="3">
        <f>+Alabama!C37+Alaska!C37+Arizona!C37+Arkansas!C37+California!C37+Colorado!C37+Connecticut!C37+Delaware!C37+'District of Columbia'!C37+Florida!C37+Georgia!C37+Hawaii!C37+Idaho!C37+Illinois!C37+Indiana!C37+Iowa!C37+Kansas!C37+Kentucky!C37+Louisiana!C37+Maine!C37+Maryland!C37+Massachusettes!C37+Michigan!C37+Minnesota!C37+Mississippi!C37+Missouri!C37+Montana!C37+Nebraska!C37+Nevada!C37+'New Hampshire'!C37+'New Jersey'!C37+'New Mexico'!C37+'New York'!C37+'North Carolina'!C37+'North Dakota'!C37+Ohio!C37+Oklahoma!C37+Oregon!C37+Pennsylvania!C37+'Puerto Rico'!C37+'Rhode Island'!C37+'South Carolina'!C37+'South Dakota '!C37+Tennessee!C37+Texas!C37+Utah!C37+Vermont!C37+Virginia!C37+Washington!C37+'West Virginia'!C37+Wisconsin!C37+Wyoming!C37</f>
        <v>3812297</v>
      </c>
      <c r="D37" s="3">
        <f>+Alabama!D37+Alaska!D37+Arizona!D37+Arkansas!D37+California!D37+Colorado!D37+Connecticut!D37+Delaware!D37+'District of Columbia'!D37+Florida!D37+Georgia!D37+Hawaii!D37+Idaho!D37+Illinois!D37+Indiana!D37+Iowa!D37+Kansas!D37+Kentucky!D37+Louisiana!D37+Maine!D37+Maryland!D37+Massachusettes!D37+Michigan!D37+Minnesota!D37+Mississippi!D37+Missouri!D37+Montana!D37+Nebraska!D37+Nevada!D37+'New Hampshire'!D37+'New Jersey'!D37+'New Mexico'!D37+'New York'!D37+'North Carolina'!D37+'North Dakota'!D37+Ohio!D37+Oklahoma!D37+Oregon!D37+Pennsylvania!D37+'Puerto Rico'!D37+'Rhode Island'!D37+'South Carolina'!D37+'South Dakota '!D37+Tennessee!D37+Texas!D37+Utah!D37+Vermont!D37+Virginia!D37+Washington!D37+'West Virginia'!D37+Wisconsin!D37+Wyoming!D37</f>
        <v>0</v>
      </c>
      <c r="E37" s="3">
        <f>+Alabama!E37+Alaska!E37+Arizona!E37+Arkansas!E37+California!E37+Colorado!E37+Connecticut!E37+Delaware!E37+'District of Columbia'!E37+Florida!E37+Georgia!E37+Hawaii!E37+Idaho!E37+Illinois!E37+Indiana!E37+Iowa!E37+Kansas!E37+Kentucky!E37+Louisiana!E37+Maine!E37+Maryland!E37+Massachusettes!E37+Michigan!E37+Minnesota!E37+Mississippi!E37+Missouri!E37+Montana!E37+Nebraska!E37+Nevada!E37+'New Hampshire'!E37+'New Jersey'!E37+'New Mexico'!E37+'New York'!E37+'North Carolina'!E37+'North Dakota'!E37+Ohio!E37+Oklahoma!E37+Oregon!E37+Pennsylvania!E37+'Puerto Rico'!E37+'Rhode Island'!E37+'South Carolina'!E37+'South Dakota '!E37+Tennessee!E37+Texas!E37+Utah!E37+Vermont!E37+Virginia!E37+Washington!E37+'West Virginia'!E37+Wisconsin!E37+Wyoming!E37</f>
        <v>696912294</v>
      </c>
      <c r="F37" s="3">
        <f>+Alabama!F37+Alaska!F37+Arizona!F37+Arkansas!F37+California!F37+Colorado!F37+Connecticut!F37+Delaware!F37+'District of Columbia'!F37+Florida!F37+Georgia!F37+Hawaii!F37+Idaho!F37+Illinois!F37+Indiana!F37+Iowa!F37+Kansas!F37+Kentucky!F37+Louisiana!F37+Maine!F37+Maryland!F37+Massachusettes!F37+Michigan!F37+Minnesota!F37+Mississippi!F37+Missouri!F37+Montana!F37+Nebraska!F37+Nevada!F37+'New Hampshire'!F37+'New Jersey'!F37+'New Mexico'!F37+'New York'!F37+'North Carolina'!F37+'North Dakota'!F37+Ohio!F37+Oklahoma!F37+Oregon!F37+Pennsylvania!F37+'Puerto Rico'!F37+'Rhode Island'!F37+'South Carolina'!F37+'South Dakota '!F37+Tennessee!F37+Texas!F37+Utah!F37+Vermont!F37+Virginia!F37+Washington!F37+'West Virginia'!F37+Wisconsin!F37+Wyoming!F37</f>
        <v>43677526</v>
      </c>
      <c r="G37" s="3">
        <f>+Alabama!G37+Alaska!G37+Arizona!G37+Arkansas!G37+California!G37+Colorado!G37+Connecticut!G37+Delaware!G37+'District of Columbia'!G37+Florida!G37+Georgia!G37+Hawaii!G37+Idaho!G37+Illinois!G37+Indiana!G37+Iowa!G37+Kansas!G37+Kentucky!G37+Louisiana!G37+Maine!G37+Maryland!G37+Massachusettes!G37+Michigan!G37+Minnesota!G37+Mississippi!G37+Missouri!G37+Montana!G37+Nebraska!G37+Nevada!G37+'New Hampshire'!G37+'New Jersey'!G37+'New Mexico'!G37+'New York'!G37+'North Carolina'!G37+'North Dakota'!G37+Ohio!G37+Oklahoma!G37+Oregon!G37+Pennsylvania!G37+'Puerto Rico'!G37+'Rhode Island'!G37+'South Carolina'!G37+'South Dakota '!G37+Tennessee!G37+Texas!G37+Utah!G37+Vermont!G37+Virginia!G37+Washington!G37+'West Virginia'!G37+Wisconsin!G37+Wyoming!G37</f>
        <v>155920853</v>
      </c>
      <c r="H37" s="3">
        <f>+Alabama!H37+Alaska!H37+Arizona!H37+Arkansas!H37+California!H37+Colorado!H37+Connecticut!H37+Delaware!H37+'District of Columbia'!H37+Florida!H37+Georgia!H37+Hawaii!H37+Idaho!H37+Illinois!H37+Indiana!H37+Iowa!H37+Kansas!H37+Kentucky!H37+Louisiana!H37+Maine!H37+Maryland!H37+Massachusettes!H37+Michigan!H37+Minnesota!H37+Mississippi!H37+Missouri!H37+Montana!H37+Nebraska!H37+Nevada!H37+'New Hampshire'!H37+'New Jersey'!H37+'New Mexico'!H37+'New York'!H37+'North Carolina'!H37+'North Dakota'!H37+Ohio!H37+Oklahoma!H37+Oregon!H37+Pennsylvania!H37+'Puerto Rico'!H37+'Rhode Island'!H37+'South Carolina'!H37+'South Dakota '!H37+Tennessee!H37+Texas!H37+Utah!H37+Vermont!H37+Virginia!H37+Washington!H37+'West Virginia'!H37+Wisconsin!H37+Wyoming!H37</f>
        <v>1738390639</v>
      </c>
      <c r="I37" s="3">
        <f>+Alabama!I37+Alaska!I37+Arizona!I37+Arkansas!I37+California!I37+Colorado!I37+Connecticut!I37+Delaware!I37+'District of Columbia'!I37+Florida!I37+Georgia!I37+Hawaii!I37+Idaho!I37+Illinois!I37+Indiana!I37+Iowa!I37+Kansas!I37+Kentucky!I37+Louisiana!I37+Maine!I37+Maryland!I37+Massachusettes!I37+Michigan!I37+Minnesota!I37+Mississippi!I37+Missouri!I37+Montana!I37+Nebraska!I37+Nevada!I37+'New Hampshire'!I37+'New Jersey'!I37+'New Mexico'!I37+'New York'!I37+'North Carolina'!I37+'North Dakota'!I37+Ohio!I37+Oklahoma!I37+Oregon!I37+Pennsylvania!I37+'Puerto Rico'!I37+'Rhode Island'!I37+'South Carolina'!I37+'South Dakota '!I37+Tennessee!I37+Texas!I37+Utah!I37+Vermont!I37+Virginia!I37+Washington!I37+'West Virginia'!I37+Wisconsin!I37+Wyoming!I37</f>
        <v>27551121</v>
      </c>
      <c r="J37" s="3">
        <f>+Alabama!J37+Alaska!J37+Arizona!J37+Arkansas!J37+California!J37+Colorado!J37+Connecticut!J37+Delaware!J37+'District of Columbia'!J37+Florida!J37+Georgia!J37+Hawaii!J37+Idaho!J37+Illinois!J37+Indiana!J37+Iowa!J37+Kansas!J37+Kentucky!J37+Louisiana!J37+Maine!J37+Maryland!J37+Massachusettes!J37+Michigan!J37+Minnesota!J37+Mississippi!J37+Missouri!J37+Montana!J37+Nebraska!J37+Nevada!J37+'New Hampshire'!J37+'New Jersey'!J37+'New Mexico'!J37+'New York'!J37+'North Carolina'!J37+'North Dakota'!J37+Ohio!J37+Oklahoma!J37+Oregon!J37+Pennsylvania!J37+'Puerto Rico'!J37+'Rhode Island'!J37+'South Carolina'!J37+'South Dakota '!J37+Tennessee!J37+Texas!J37+Utah!J37+Vermont!J37+Virginia!J37+Washington!J37+'West Virginia'!J37+Wisconsin!J37+Wyoming!J37</f>
        <v>11364876</v>
      </c>
      <c r="K37" s="3">
        <f t="shared" si="6"/>
        <v>6441722661</v>
      </c>
      <c r="L37" s="3">
        <f t="shared" si="7"/>
        <v>75040944</v>
      </c>
      <c r="M37" s="3">
        <f t="shared" si="8"/>
        <v>167285729</v>
      </c>
      <c r="N37" s="3">
        <f t="shared" si="9"/>
        <v>6684049334</v>
      </c>
      <c r="P37" s="1">
        <v>36</v>
      </c>
    </row>
    <row r="38" spans="1:17" x14ac:dyDescent="0.15">
      <c r="A38" s="1">
        <v>2006</v>
      </c>
      <c r="B38" s="3">
        <f>+Alabama!B38+Alaska!B38+Arizona!B38+Arkansas!B38+California!B38+Colorado!B38+Connecticut!B38+Delaware!B38+'District of Columbia'!B38+Florida!B38+Georgia!B38+Hawaii!B38+Idaho!B38+Illinois!B38+Indiana!B38+Iowa!B38+Kansas!B38+Kentucky!B38+Louisiana!B38+Maine!B38+Maryland!B38+Massachusettes!B38+Michigan!B38+Minnesota!B38+Mississippi!B38+Missouri!B38+Montana!B38+Nebraska!B38+Nevada!B38+'New Hampshire'!B38+'New Jersey'!B38+'New Mexico'!B38+'New York'!B38+'North Carolina'!B38+'North Dakota'!B38+Ohio!B38+Oklahoma!B38+Oregon!B38+Pennsylvania!B38+'Puerto Rico'!B38+'Rhode Island'!B38+'South Carolina'!B38+'South Dakota '!B38+Tennessee!B38+Texas!B38+Utah!B38+Vermont!B38+Virginia!B38+Washington!B38+'West Virginia'!B38+Wisconsin!B38+Wyoming!B38</f>
        <v>4218285900</v>
      </c>
      <c r="C38" s="3">
        <f>+Alabama!C38+Alaska!C38+Arizona!C38+Arkansas!C38+California!C38+Colorado!C38+Connecticut!C38+Delaware!C38+'District of Columbia'!C38+Florida!C38+Georgia!C38+Hawaii!C38+Idaho!C38+Illinois!C38+Indiana!C38+Iowa!C38+Kansas!C38+Kentucky!C38+Louisiana!C38+Maine!C38+Maryland!C38+Massachusettes!C38+Michigan!C38+Minnesota!C38+Mississippi!C38+Missouri!C38+Montana!C38+Nebraska!C38+Nevada!C38+'New Hampshire'!C38+'New Jersey'!C38+'New Mexico'!C38+'New York'!C38+'North Carolina'!C38+'North Dakota'!C38+Ohio!C38+Oklahoma!C38+Oregon!C38+Pennsylvania!C38+'Puerto Rico'!C38+'Rhode Island'!C38+'South Carolina'!C38+'South Dakota '!C38+Tennessee!C38+Texas!C38+Utah!C38+Vermont!C38+Virginia!C38+Washington!C38+'West Virginia'!C38+Wisconsin!C38+Wyoming!C38</f>
        <v>5809976</v>
      </c>
      <c r="D38" s="3">
        <f>+Alabama!D38+Alaska!D38+Arizona!D38+Arkansas!D38+California!D38+Colorado!D38+Connecticut!D38+Delaware!D38+'District of Columbia'!D38+Florida!D38+Georgia!D38+Hawaii!D38+Idaho!D38+Illinois!D38+Indiana!D38+Iowa!D38+Kansas!D38+Kentucky!D38+Louisiana!D38+Maine!D38+Maryland!D38+Massachusettes!D38+Michigan!D38+Minnesota!D38+Mississippi!D38+Missouri!D38+Montana!D38+Nebraska!D38+Nevada!D38+'New Hampshire'!D38+'New Jersey'!D38+'New Mexico'!D38+'New York'!D38+'North Carolina'!D38+'North Dakota'!D38+Ohio!D38+Oklahoma!D38+Oregon!D38+Pennsylvania!D38+'Puerto Rico'!D38+'Rhode Island'!D38+'South Carolina'!D38+'South Dakota '!D38+Tennessee!D38+Texas!D38+Utah!D38+Vermont!D38+Virginia!D38+Washington!D38+'West Virginia'!D38+Wisconsin!D38+Wyoming!D38</f>
        <v>0</v>
      </c>
      <c r="E38" s="3">
        <f>+Alabama!E38+Alaska!E38+Arizona!E38+Arkansas!E38+California!E38+Colorado!E38+Connecticut!E38+Delaware!E38+'District of Columbia'!E38+Florida!E38+Georgia!E38+Hawaii!E38+Idaho!E38+Illinois!E38+Indiana!E38+Iowa!E38+Kansas!E38+Kentucky!E38+Louisiana!E38+Maine!E38+Maryland!E38+Massachusettes!E38+Michigan!E38+Minnesota!E38+Mississippi!E38+Missouri!E38+Montana!E38+Nebraska!E38+Nevada!E38+'New Hampshire'!E38+'New Jersey'!E38+'New Mexico'!E38+'New York'!E38+'North Carolina'!E38+'North Dakota'!E38+Ohio!E38+Oklahoma!E38+Oregon!E38+Pennsylvania!E38+'Puerto Rico'!E38+'Rhode Island'!E38+'South Carolina'!E38+'South Dakota '!E38+Tennessee!E38+Texas!E38+Utah!E38+Vermont!E38+Virginia!E38+Washington!E38+'West Virginia'!E38+Wisconsin!E38+Wyoming!E38</f>
        <v>708316755</v>
      </c>
      <c r="F38" s="3">
        <f>+Alabama!F38+Alaska!F38+Arizona!F38+Arkansas!F38+California!F38+Colorado!F38+Connecticut!F38+Delaware!F38+'District of Columbia'!F38+Florida!F38+Georgia!F38+Hawaii!F38+Idaho!F38+Illinois!F38+Indiana!F38+Iowa!F38+Kansas!F38+Kentucky!F38+Louisiana!F38+Maine!F38+Maryland!F38+Massachusettes!F38+Michigan!F38+Minnesota!F38+Mississippi!F38+Missouri!F38+Montana!F38+Nebraska!F38+Nevada!F38+'New Hampshire'!F38+'New Jersey'!F38+'New Mexico'!F38+'New York'!F38+'North Carolina'!F38+'North Dakota'!F38+Ohio!F38+Oklahoma!F38+Oregon!F38+Pennsylvania!F38+'Puerto Rico'!F38+'Rhode Island'!F38+'South Carolina'!F38+'South Dakota '!F38+Tennessee!F38+Texas!F38+Utah!F38+Vermont!F38+Virginia!F38+Washington!F38+'West Virginia'!F38+Wisconsin!F38+Wyoming!F38</f>
        <v>46882166</v>
      </c>
      <c r="G38" s="3">
        <f>+Alabama!G38+Alaska!G38+Arizona!G38+Arkansas!G38+California!G38+Colorado!G38+Connecticut!G38+Delaware!G38+'District of Columbia'!G38+Florida!G38+Georgia!G38+Hawaii!G38+Idaho!G38+Illinois!G38+Indiana!G38+Iowa!G38+Kansas!G38+Kentucky!G38+Louisiana!G38+Maine!G38+Maryland!G38+Massachusettes!G38+Michigan!G38+Minnesota!G38+Mississippi!G38+Missouri!G38+Montana!G38+Nebraska!G38+Nevada!G38+'New Hampshire'!G38+'New Jersey'!G38+'New Mexico'!G38+'New York'!G38+'North Carolina'!G38+'North Dakota'!G38+Ohio!G38+Oklahoma!G38+Oregon!G38+Pennsylvania!G38+'Puerto Rico'!G38+'Rhode Island'!G38+'South Carolina'!G38+'South Dakota '!G38+Tennessee!G38+Texas!G38+Utah!G38+Vermont!G38+Virginia!G38+Washington!G38+'West Virginia'!G38+Wisconsin!G38+Wyoming!G38</f>
        <v>132629375</v>
      </c>
      <c r="H38" s="3">
        <f>+Alabama!H38+Alaska!H38+Arizona!H38+Arkansas!H38+California!H38+Colorado!H38+Connecticut!H38+Delaware!H38+'District of Columbia'!H38+Florida!H38+Georgia!H38+Hawaii!H38+Idaho!H38+Illinois!H38+Indiana!H38+Iowa!H38+Kansas!H38+Kentucky!H38+Louisiana!H38+Maine!H38+Maryland!H38+Massachusettes!H38+Michigan!H38+Minnesota!H38+Mississippi!H38+Missouri!H38+Montana!H38+Nebraska!H38+Nevada!H38+'New Hampshire'!H38+'New Jersey'!H38+'New Mexico'!H38+'New York'!H38+'North Carolina'!H38+'North Dakota'!H38+Ohio!H38+Oklahoma!H38+Oregon!H38+Pennsylvania!H38+'Puerto Rico'!H38+'Rhode Island'!H38+'South Carolina'!H38+'South Dakota '!H38+Tennessee!H38+Texas!H38+Utah!H38+Vermont!H38+Virginia!H38+Washington!H38+'West Virginia'!H38+Wisconsin!H38+Wyoming!H38</f>
        <v>1896054188</v>
      </c>
      <c r="I38" s="3">
        <f>+Alabama!I38+Alaska!I38+Arizona!I38+Arkansas!I38+California!I38+Colorado!I38+Connecticut!I38+Delaware!I38+'District of Columbia'!I38+Florida!I38+Georgia!I38+Hawaii!I38+Idaho!I38+Illinois!I38+Indiana!I38+Iowa!I38+Kansas!I38+Kentucky!I38+Louisiana!I38+Maine!I38+Maryland!I38+Massachusettes!I38+Michigan!I38+Minnesota!I38+Mississippi!I38+Missouri!I38+Montana!I38+Nebraska!I38+Nevada!I38+'New Hampshire'!I38+'New Jersey'!I38+'New Mexico'!I38+'New York'!I38+'North Carolina'!I38+'North Dakota'!I38+Ohio!I38+Oklahoma!I38+Oregon!I38+Pennsylvania!I38+'Puerto Rico'!I38+'Rhode Island'!I38+'South Carolina'!I38+'South Dakota '!I38+Tennessee!I38+Texas!I38+Utah!I38+Vermont!I38+Virginia!I38+Washington!I38+'West Virginia'!I38+Wisconsin!I38+Wyoming!I38</f>
        <v>25452714</v>
      </c>
      <c r="J38" s="3">
        <f>+Alabama!J38+Alaska!J38+Arizona!J38+Arkansas!J38+California!J38+Colorado!J38+Connecticut!J38+Delaware!J38+'District of Columbia'!J38+Florida!J38+Georgia!J38+Hawaii!J38+Idaho!J38+Illinois!J38+Indiana!J38+Iowa!J38+Kansas!J38+Kentucky!J38+Louisiana!J38+Maine!J38+Maryland!J38+Massachusettes!J38+Michigan!J38+Minnesota!J38+Mississippi!J38+Missouri!J38+Montana!J38+Nebraska!J38+Nevada!J38+'New Hampshire'!J38+'New Jersey'!J38+'New Mexico'!J38+'New York'!J38+'North Carolina'!J38+'North Dakota'!J38+Ohio!J38+Oklahoma!J38+Oregon!J38+Pennsylvania!J38+'Puerto Rico'!J38+'Rhode Island'!J38+'South Carolina'!J38+'South Dakota '!J38+Tennessee!J38+Texas!J38+Utah!J38+Vermont!J38+Virginia!J38+Washington!J38+'West Virginia'!J38+Wisconsin!J38+Wyoming!J38</f>
        <v>9299109</v>
      </c>
      <c r="K38" s="3">
        <f t="shared" si="6"/>
        <v>6822656843</v>
      </c>
      <c r="L38" s="3">
        <f t="shared" si="7"/>
        <v>78144856</v>
      </c>
      <c r="M38" s="3">
        <f t="shared" si="8"/>
        <v>141928484</v>
      </c>
      <c r="N38" s="3">
        <f t="shared" si="9"/>
        <v>7042730183</v>
      </c>
      <c r="P38" s="1">
        <v>37</v>
      </c>
    </row>
    <row r="39" spans="1:17" x14ac:dyDescent="0.15">
      <c r="A39" s="1">
        <v>2007</v>
      </c>
      <c r="B39" s="3">
        <f>+Alabama!B39+Alaska!B39+Arizona!B39+Arkansas!B39+California!B39+Colorado!B39+Connecticut!B39+Delaware!B39+'District of Columbia'!B39+Florida!B39+Georgia!B39+Hawaii!B39+Idaho!B39+Illinois!B39+Indiana!B39+Iowa!B39+Kansas!B39+Kentucky!B39+Louisiana!B39+Maine!B39+Maryland!B39+Massachusettes!B39+Michigan!B39+Minnesota!B39+Mississippi!B39+Missouri!B39+Montana!B39+Nebraska!B39+Nevada!B39+'New Hampshire'!B39+'New Jersey'!B39+'New Mexico'!B39+'New York'!B39+'North Carolina'!B39+'North Dakota'!B39+Ohio!B39+Oklahoma!B39+Oregon!B39+Pennsylvania!B39+'Puerto Rico'!B39+'Rhode Island'!B39+'South Carolina'!B39+'South Dakota '!B39+Tennessee!B39+Texas!B39+Utah!B39+Vermont!B39+Virginia!B39+Washington!B39+'West Virginia'!B39+Wisconsin!B39+Wyoming!B39</f>
        <v>4367795773</v>
      </c>
      <c r="C39" s="3">
        <f>+Alabama!C39+Alaska!C39+Arizona!C39+Arkansas!C39+California!C39+Colorado!C39+Connecticut!C39+Delaware!C39+'District of Columbia'!C39+Florida!C39+Georgia!C39+Hawaii!C39+Idaho!C39+Illinois!C39+Indiana!C39+Iowa!C39+Kansas!C39+Kentucky!C39+Louisiana!C39+Maine!C39+Maryland!C39+Massachusettes!C39+Michigan!C39+Minnesota!C39+Mississippi!C39+Missouri!C39+Montana!C39+Nebraska!C39+Nevada!C39+'New Hampshire'!C39+'New Jersey'!C39+'New Mexico'!C39+'New York'!C39+'North Carolina'!C39+'North Dakota'!C39+Ohio!C39+Oklahoma!C39+Oregon!C39+Pennsylvania!C39+'Puerto Rico'!C39+'Rhode Island'!C39+'South Carolina'!C39+'South Dakota '!C39+Tennessee!C39+Texas!C39+Utah!C39+Vermont!C39+Virginia!C39+Washington!C39+'West Virginia'!C39+Wisconsin!C39+Wyoming!C39</f>
        <v>6410196</v>
      </c>
      <c r="D39" s="3">
        <f>+Alabama!D39+Alaska!D39+Arizona!D39+Arkansas!D39+California!D39+Colorado!D39+Connecticut!D39+Delaware!D39+'District of Columbia'!D39+Florida!D39+Georgia!D39+Hawaii!D39+Idaho!D39+Illinois!D39+Indiana!D39+Iowa!D39+Kansas!D39+Kentucky!D39+Louisiana!D39+Maine!D39+Maryland!D39+Massachusettes!D39+Michigan!D39+Minnesota!D39+Mississippi!D39+Missouri!D39+Montana!D39+Nebraska!D39+Nevada!D39+'New Hampshire'!D39+'New Jersey'!D39+'New Mexico'!D39+'New York'!D39+'North Carolina'!D39+'North Dakota'!D39+Ohio!D39+Oklahoma!D39+Oregon!D39+Pennsylvania!D39+'Puerto Rico'!D39+'Rhode Island'!D39+'South Carolina'!D39+'South Dakota '!D39+Tennessee!D39+Texas!D39+Utah!D39+Vermont!D39+Virginia!D39+Washington!D39+'West Virginia'!D39+Wisconsin!D39+Wyoming!D39</f>
        <v>0</v>
      </c>
      <c r="E39" s="3">
        <f>+Alabama!E39+Alaska!E39+Arizona!E39+Arkansas!E39+California!E39+Colorado!E39+Connecticut!E39+Delaware!E39+'District of Columbia'!E39+Florida!E39+Georgia!E39+Hawaii!E39+Idaho!E39+Illinois!E39+Indiana!E39+Iowa!E39+Kansas!E39+Kentucky!E39+Louisiana!E39+Maine!E39+Maryland!E39+Massachusettes!E39+Michigan!E39+Minnesota!E39+Mississippi!E39+Missouri!E39+Montana!E39+Nebraska!E39+Nevada!E39+'New Hampshire'!E39+'New Jersey'!E39+'New Mexico'!E39+'New York'!E39+'North Carolina'!E39+'North Dakota'!E39+Ohio!E39+Oklahoma!E39+Oregon!E39+Pennsylvania!E39+'Puerto Rico'!E39+'Rhode Island'!E39+'South Carolina'!E39+'South Dakota '!E39+Tennessee!E39+Texas!E39+Utah!E39+Vermont!E39+Virginia!E39+Washington!E39+'West Virginia'!E39+Wisconsin!E39+Wyoming!E39</f>
        <v>925316447</v>
      </c>
      <c r="F39" s="3">
        <f>+Alabama!F39+Alaska!F39+Arizona!F39+Arkansas!F39+California!F39+Colorado!F39+Connecticut!F39+Delaware!F39+'District of Columbia'!F39+Florida!F39+Georgia!F39+Hawaii!F39+Idaho!F39+Illinois!F39+Indiana!F39+Iowa!F39+Kansas!F39+Kentucky!F39+Louisiana!F39+Maine!F39+Maryland!F39+Massachusettes!F39+Michigan!F39+Minnesota!F39+Mississippi!F39+Missouri!F39+Montana!F39+Nebraska!F39+Nevada!F39+'New Hampshire'!F39+'New Jersey'!F39+'New Mexico'!F39+'New York'!F39+'North Carolina'!F39+'North Dakota'!F39+Ohio!F39+Oklahoma!F39+Oregon!F39+Pennsylvania!F39+'Puerto Rico'!F39+'Rhode Island'!F39+'South Carolina'!F39+'South Dakota '!F39+Tennessee!F39+Texas!F39+Utah!F39+Vermont!F39+Virginia!F39+Washington!F39+'West Virginia'!F39+Wisconsin!F39+Wyoming!F39</f>
        <v>53557577</v>
      </c>
      <c r="G39" s="3">
        <f>+Alabama!G39+Alaska!G39+Arizona!G39+Arkansas!G39+California!G39+Colorado!G39+Connecticut!G39+Delaware!G39+'District of Columbia'!G39+Florida!G39+Georgia!G39+Hawaii!G39+Idaho!G39+Illinois!G39+Indiana!G39+Iowa!G39+Kansas!G39+Kentucky!G39+Louisiana!G39+Maine!G39+Maryland!G39+Massachusettes!G39+Michigan!G39+Minnesota!G39+Mississippi!G39+Missouri!G39+Montana!G39+Nebraska!G39+Nevada!G39+'New Hampshire'!G39+'New Jersey'!G39+'New Mexico'!G39+'New York'!G39+'North Carolina'!G39+'North Dakota'!G39+Ohio!G39+Oklahoma!G39+Oregon!G39+Pennsylvania!G39+'Puerto Rico'!G39+'Rhode Island'!G39+'South Carolina'!G39+'South Dakota '!G39+Tennessee!G39+Texas!G39+Utah!G39+Vermont!G39+Virginia!G39+Washington!G39+'West Virginia'!G39+Wisconsin!G39+Wyoming!G39</f>
        <v>161050844</v>
      </c>
      <c r="H39" s="3">
        <f>+Alabama!H39+Alaska!H39+Arizona!H39+Arkansas!H39+California!H39+Colorado!H39+Connecticut!H39+Delaware!H39+'District of Columbia'!H39+Florida!H39+Georgia!H39+Hawaii!H39+Idaho!H39+Illinois!H39+Indiana!H39+Iowa!H39+Kansas!H39+Kentucky!H39+Louisiana!H39+Maine!H39+Maryland!H39+Massachusettes!H39+Michigan!H39+Minnesota!H39+Mississippi!H39+Missouri!H39+Montana!H39+Nebraska!H39+Nevada!H39+'New Hampshire'!H39+'New Jersey'!H39+'New Mexico'!H39+'New York'!H39+'North Carolina'!H39+'North Dakota'!H39+Ohio!H39+Oklahoma!H39+Oregon!H39+Pennsylvania!H39+'Puerto Rico'!H39+'Rhode Island'!H39+'South Carolina'!H39+'South Dakota '!H39+Tennessee!H39+Texas!H39+Utah!H39+Vermont!H39+Virginia!H39+Washington!H39+'West Virginia'!H39+Wisconsin!H39+Wyoming!H39</f>
        <v>2079218622</v>
      </c>
      <c r="I39" s="3">
        <f>+Alabama!I39+Alaska!I39+Arizona!I39+Arkansas!I39+California!I39+Colorado!I39+Connecticut!I39+Delaware!I39+'District of Columbia'!I39+Florida!I39+Georgia!I39+Hawaii!I39+Idaho!I39+Illinois!I39+Indiana!I39+Iowa!I39+Kansas!I39+Kentucky!I39+Louisiana!I39+Maine!I39+Maryland!I39+Massachusettes!I39+Michigan!I39+Minnesota!I39+Mississippi!I39+Missouri!I39+Montana!I39+Nebraska!I39+Nevada!I39+'New Hampshire'!I39+'New Jersey'!I39+'New Mexico'!I39+'New York'!I39+'North Carolina'!I39+'North Dakota'!I39+Ohio!I39+Oklahoma!I39+Oregon!I39+Pennsylvania!I39+'Puerto Rico'!I39+'Rhode Island'!I39+'South Carolina'!I39+'South Dakota '!I39+Tennessee!I39+Texas!I39+Utah!I39+Vermont!I39+Virginia!I39+Washington!I39+'West Virginia'!I39+Wisconsin!I39+Wyoming!I39</f>
        <v>32901707</v>
      </c>
      <c r="J39" s="3">
        <f>+Alabama!J39+Alaska!J39+Arizona!J39+Arkansas!J39+California!J39+Colorado!J39+Connecticut!J39+Delaware!J39+'District of Columbia'!J39+Florida!J39+Georgia!J39+Hawaii!J39+Idaho!J39+Illinois!J39+Indiana!J39+Iowa!J39+Kansas!J39+Kentucky!J39+Louisiana!J39+Maine!J39+Maryland!J39+Massachusettes!J39+Michigan!J39+Minnesota!J39+Mississippi!J39+Missouri!J39+Montana!J39+Nebraska!J39+Nevada!J39+'New Hampshire'!J39+'New Jersey'!J39+'New Mexico'!J39+'New York'!J39+'North Carolina'!J39+'North Dakota'!J39+Ohio!J39+Oklahoma!J39+Oregon!J39+Pennsylvania!J39+'Puerto Rico'!J39+'Rhode Island'!J39+'South Carolina'!J39+'South Dakota '!J39+Tennessee!J39+Texas!J39+Utah!J39+Vermont!J39+Virginia!J39+Washington!J39+'West Virginia'!J39+Wisconsin!J39+Wyoming!J39</f>
        <v>16044561</v>
      </c>
      <c r="K39" s="3">
        <f t="shared" si="6"/>
        <v>7372330842</v>
      </c>
      <c r="L39" s="3">
        <f t="shared" si="7"/>
        <v>92869480</v>
      </c>
      <c r="M39" s="3">
        <f t="shared" si="8"/>
        <v>177095405</v>
      </c>
      <c r="N39" s="3">
        <f t="shared" si="9"/>
        <v>7642295727</v>
      </c>
      <c r="P39" s="1">
        <v>38</v>
      </c>
    </row>
    <row r="40" spans="1:17" x14ac:dyDescent="0.15">
      <c r="A40" s="1">
        <v>2008</v>
      </c>
      <c r="B40" s="3">
        <f>+Alabama!B40+Alaska!B40+Arizona!B40+Arkansas!B40+California!B40+Colorado!B40+Connecticut!B40+Delaware!B40+'District of Columbia'!B40+Florida!B40+Georgia!B40+Hawaii!B40+Idaho!B40+Illinois!B40+Indiana!B40+Iowa!B40+Kansas!B40+Kentucky!B40+Louisiana!B40+Maine!B40+Maryland!B40+Massachusettes!B40+Michigan!B40+Minnesota!B40+Mississippi!B40+Missouri!B40+Montana!B40+Nebraska!B40+Nevada!B40+'New Hampshire'!B40+'New Jersey'!B40+'New Mexico'!B40+'New York'!B40+'North Carolina'!B40+'North Dakota'!B40+Ohio!B40+Oklahoma!B40+Oregon!B40+Pennsylvania!B40+'Puerto Rico'!B40+'Rhode Island'!B40+'South Carolina'!B40+'South Dakota '!B40+Tennessee!B40+Texas!B40+Utah!B40+Vermont!B40+Virginia!B40+Washington!B40+'West Virginia'!B40+Wisconsin!B40+Wyoming!B40</f>
        <v>4687839442</v>
      </c>
      <c r="C40" s="3">
        <f>+Alabama!C40+Alaska!C40+Arizona!C40+Arkansas!C40+California!C40+Colorado!C40+Connecticut!C40+Delaware!C40+'District of Columbia'!C40+Florida!C40+Georgia!C40+Hawaii!C40+Idaho!C40+Illinois!C40+Indiana!C40+Iowa!C40+Kansas!C40+Kentucky!C40+Louisiana!C40+Maine!C40+Maryland!C40+Massachusettes!C40+Michigan!C40+Minnesota!C40+Mississippi!C40+Missouri!C40+Montana!C40+Nebraska!C40+Nevada!C40+'New Hampshire'!C40+'New Jersey'!C40+'New Mexico'!C40+'New York'!C40+'North Carolina'!C40+'North Dakota'!C40+Ohio!C40+Oklahoma!C40+Oregon!C40+Pennsylvania!C40+'Puerto Rico'!C40+'Rhode Island'!C40+'South Carolina'!C40+'South Dakota '!C40+Tennessee!C40+Texas!C40+Utah!C40+Vermont!C40+Virginia!C40+Washington!C40+'West Virginia'!C40+Wisconsin!C40+Wyoming!C40</f>
        <v>6548729</v>
      </c>
      <c r="D40" s="3">
        <f>+Alabama!D40+Alaska!D40+Arizona!D40+Arkansas!D40+California!D40+Colorado!D40+Connecticut!D40+Delaware!D40+'District of Columbia'!D40+Florida!D40+Georgia!D40+Hawaii!D40+Idaho!D40+Illinois!D40+Indiana!D40+Iowa!D40+Kansas!D40+Kentucky!D40+Louisiana!D40+Maine!D40+Maryland!D40+Massachusettes!D40+Michigan!D40+Minnesota!D40+Mississippi!D40+Missouri!D40+Montana!D40+Nebraska!D40+Nevada!D40+'New Hampshire'!D40+'New Jersey'!D40+'New Mexico'!D40+'New York'!D40+'North Carolina'!D40+'North Dakota'!D40+Ohio!D40+Oklahoma!D40+Oregon!D40+Pennsylvania!D40+'Puerto Rico'!D40+'Rhode Island'!D40+'South Carolina'!D40+'South Dakota '!D40+Tennessee!D40+Texas!D40+Utah!D40+Vermont!D40+Virginia!D40+Washington!D40+'West Virginia'!D40+Wisconsin!D40+Wyoming!D40</f>
        <v>0</v>
      </c>
      <c r="E40" s="3">
        <f>+Alabama!E40+Alaska!E40+Arizona!E40+Arkansas!E40+California!E40+Colorado!E40+Connecticut!E40+Delaware!E40+'District of Columbia'!E40+Florida!E40+Georgia!E40+Hawaii!E40+Idaho!E40+Illinois!E40+Indiana!E40+Iowa!E40+Kansas!E40+Kentucky!E40+Louisiana!E40+Maine!E40+Maryland!E40+Massachusettes!E40+Michigan!E40+Minnesota!E40+Mississippi!E40+Missouri!E40+Montana!E40+Nebraska!E40+Nevada!E40+'New Hampshire'!E40+'New Jersey'!E40+'New Mexico'!E40+'New York'!E40+'North Carolina'!E40+'North Dakota'!E40+Ohio!E40+Oklahoma!E40+Oregon!E40+Pennsylvania!E40+'Puerto Rico'!E40+'Rhode Island'!E40+'South Carolina'!E40+'South Dakota '!E40+Tennessee!E40+Texas!E40+Utah!E40+Vermont!E40+Virginia!E40+Washington!E40+'West Virginia'!E40+Wisconsin!E40+Wyoming!E40</f>
        <v>1041392980</v>
      </c>
      <c r="F40" s="3">
        <f>+Alabama!F40+Alaska!F40+Arizona!F40+Arkansas!F40+California!F40+Colorado!F40+Connecticut!F40+Delaware!F40+'District of Columbia'!F40+Florida!F40+Georgia!F40+Hawaii!F40+Idaho!F40+Illinois!F40+Indiana!F40+Iowa!F40+Kansas!F40+Kentucky!F40+Louisiana!F40+Maine!F40+Maryland!F40+Massachusettes!F40+Michigan!F40+Minnesota!F40+Mississippi!F40+Missouri!F40+Montana!F40+Nebraska!F40+Nevada!F40+'New Hampshire'!F40+'New Jersey'!F40+'New Mexico'!F40+'New York'!F40+'North Carolina'!F40+'North Dakota'!F40+Ohio!F40+Oklahoma!F40+Oregon!F40+Pennsylvania!F40+'Puerto Rico'!F40+'Rhode Island'!F40+'South Carolina'!F40+'South Dakota '!F40+Tennessee!F40+Texas!F40+Utah!F40+Vermont!F40+Virginia!F40+Washington!F40+'West Virginia'!F40+Wisconsin!F40+Wyoming!F40</f>
        <v>72140072</v>
      </c>
      <c r="G40" s="3">
        <f>+Alabama!G40+Alaska!G40+Arizona!G40+Arkansas!G40+California!G40+Colorado!G40+Connecticut!G40+Delaware!G40+'District of Columbia'!G40+Florida!G40+Georgia!G40+Hawaii!G40+Idaho!G40+Illinois!G40+Indiana!G40+Iowa!G40+Kansas!G40+Kentucky!G40+Louisiana!G40+Maine!G40+Maryland!G40+Massachusettes!G40+Michigan!G40+Minnesota!G40+Mississippi!G40+Missouri!G40+Montana!G40+Nebraska!G40+Nevada!G40+'New Hampshire'!G40+'New Jersey'!G40+'New Mexico'!G40+'New York'!G40+'North Carolina'!G40+'North Dakota'!G40+Ohio!G40+Oklahoma!G40+Oregon!G40+Pennsylvania!G40+'Puerto Rico'!G40+'Rhode Island'!G40+'South Carolina'!G40+'South Dakota '!G40+Tennessee!G40+Texas!G40+Utah!G40+Vermont!G40+Virginia!G40+Washington!G40+'West Virginia'!G40+Wisconsin!G40+Wyoming!G40</f>
        <v>27917297</v>
      </c>
      <c r="H40" s="3">
        <f>+Alabama!H40+Alaska!H40+Arizona!H40+Arkansas!H40+California!H40+Colorado!H40+Connecticut!H40+Delaware!H40+'District of Columbia'!H40+Florida!H40+Georgia!H40+Hawaii!H40+Idaho!H40+Illinois!H40+Indiana!H40+Iowa!H40+Kansas!H40+Kentucky!H40+Louisiana!H40+Maine!H40+Maryland!H40+Massachusettes!H40+Michigan!H40+Minnesota!H40+Mississippi!H40+Missouri!H40+Montana!H40+Nebraska!H40+Nevada!H40+'New Hampshire'!H40+'New Jersey'!H40+'New Mexico'!H40+'New York'!H40+'North Carolina'!H40+'North Dakota'!H40+Ohio!H40+Oklahoma!H40+Oregon!H40+Pennsylvania!H40+'Puerto Rico'!H40+'Rhode Island'!H40+'South Carolina'!H40+'South Dakota '!H40+Tennessee!H40+Texas!H40+Utah!H40+Vermont!H40+Virginia!H40+Washington!H40+'West Virginia'!H40+Wisconsin!H40+Wyoming!H40</f>
        <v>2166732004</v>
      </c>
      <c r="I40" s="3">
        <f>+Alabama!I40+Alaska!I40+Arizona!I40+Arkansas!I40+California!I40+Colorado!I40+Connecticut!I40+Delaware!I40+'District of Columbia'!I40+Florida!I40+Georgia!I40+Hawaii!I40+Idaho!I40+Illinois!I40+Indiana!I40+Iowa!I40+Kansas!I40+Kentucky!I40+Louisiana!I40+Maine!I40+Maryland!I40+Massachusettes!I40+Michigan!I40+Minnesota!I40+Mississippi!I40+Missouri!I40+Montana!I40+Nebraska!I40+Nevada!I40+'New Hampshire'!I40+'New Jersey'!I40+'New Mexico'!I40+'New York'!I40+'North Carolina'!I40+'North Dakota'!I40+Ohio!I40+Oklahoma!I40+Oregon!I40+Pennsylvania!I40+'Puerto Rico'!I40+'Rhode Island'!I40+'South Carolina'!I40+'South Dakota '!I40+Tennessee!I40+Texas!I40+Utah!I40+Vermont!I40+Virginia!I40+Washington!I40+'West Virginia'!I40+Wisconsin!I40+Wyoming!I40</f>
        <v>34853494</v>
      </c>
      <c r="J40" s="3">
        <f>+Alabama!J40+Alaska!J40+Arizona!J40+Arkansas!J40+California!J40+Colorado!J40+Connecticut!J40+Delaware!J40+'District of Columbia'!J40+Florida!J40+Georgia!J40+Hawaii!J40+Idaho!J40+Illinois!J40+Indiana!J40+Iowa!J40+Kansas!J40+Kentucky!J40+Louisiana!J40+Maine!J40+Maryland!J40+Massachusettes!J40+Michigan!J40+Minnesota!J40+Mississippi!J40+Missouri!J40+Montana!J40+Nebraska!J40+Nevada!J40+'New Hampshire'!J40+'New Jersey'!J40+'New Mexico'!J40+'New York'!J40+'North Carolina'!J40+'North Dakota'!J40+Ohio!J40+Oklahoma!J40+Oregon!J40+Pennsylvania!J40+'Puerto Rico'!J40+'Rhode Island'!J40+'South Carolina'!J40+'South Dakota '!J40+Tennessee!J40+Texas!J40+Utah!J40+Vermont!J40+Virginia!J40+Washington!J40+'West Virginia'!J40+Wisconsin!J40+Wyoming!J40</f>
        <v>10776537</v>
      </c>
      <c r="K40" s="3">
        <f t="shared" si="6"/>
        <v>7895964426</v>
      </c>
      <c r="L40" s="3">
        <f t="shared" si="7"/>
        <v>113542295</v>
      </c>
      <c r="M40" s="3">
        <f t="shared" si="8"/>
        <v>38693834</v>
      </c>
      <c r="N40" s="3">
        <f t="shared" si="9"/>
        <v>8048200555</v>
      </c>
      <c r="P40" s="1">
        <v>39</v>
      </c>
    </row>
    <row r="41" spans="1:17" x14ac:dyDescent="0.15">
      <c r="A41" s="1">
        <v>2009</v>
      </c>
      <c r="B41" s="3">
        <f>+Alabama!B41+Alaska!B41+Arizona!B41+Arkansas!B41+California!B41+Colorado!B41+Connecticut!B41+Delaware!B41+'District of Columbia'!B41+Florida!B41+Georgia!B41+Hawaii!B41+Idaho!B41+Illinois!B41+Indiana!B41+Iowa!B41+Kansas!B41+Kentucky!B41+Louisiana!B41+Maine!B41+Maryland!B41+Massachusettes!B41+Michigan!B41+Minnesota!B41+Mississippi!B41+Missouri!B41+Montana!B41+Nebraska!B41+Nevada!B41+'New Hampshire'!B41+'New Jersey'!B41+'New Mexico'!B41+'New York'!B41+'North Carolina'!B41+'North Dakota'!B41+Ohio!B41+Oklahoma!B41+Oregon!B41+Pennsylvania!B41+'Puerto Rico'!B41+'Rhode Island'!B41+'South Carolina'!B41+'South Dakota '!B41+Tennessee!B41+Texas!B41+Utah!B41+Vermont!B41+Virginia!B41+Washington!B41+'West Virginia'!B41+Wisconsin!B41+Wyoming!B41</f>
        <v>4944957851</v>
      </c>
      <c r="C41" s="3">
        <f>+Alabama!C41+Alaska!C41+Arizona!C41+Arkansas!C41+California!C41+Colorado!C41+Connecticut!C41+Delaware!C41+'District of Columbia'!C41+Florida!C41+Georgia!C41+Hawaii!C41+Idaho!C41+Illinois!C41+Indiana!C41+Iowa!C41+Kansas!C41+Kentucky!C41+Louisiana!C41+Maine!C41+Maryland!C41+Massachusettes!C41+Michigan!C41+Minnesota!C41+Mississippi!C41+Missouri!C41+Montana!C41+Nebraska!C41+Nevada!C41+'New Hampshire'!C41+'New Jersey'!C41+'New Mexico'!C41+'New York'!C41+'North Carolina'!C41+'North Dakota'!C41+Ohio!C41+Oklahoma!C41+Oregon!C41+Pennsylvania!C41+'Puerto Rico'!C41+'Rhode Island'!C41+'South Carolina'!C41+'South Dakota '!C41+Tennessee!C41+Texas!C41+Utah!C41+Vermont!C41+Virginia!C41+Washington!C41+'West Virginia'!C41+Wisconsin!C41+Wyoming!C41</f>
        <v>7196612</v>
      </c>
      <c r="D41" s="3">
        <f>+Alabama!D41+Alaska!D41+Arizona!D41+Arkansas!D41+California!D41+Colorado!D41+Connecticut!D41+Delaware!D41+'District of Columbia'!D41+Florida!D41+Georgia!D41+Hawaii!D41+Idaho!D41+Illinois!D41+Indiana!D41+Iowa!D41+Kansas!D41+Kentucky!D41+Louisiana!D41+Maine!D41+Maryland!D41+Massachusettes!D41+Michigan!D41+Minnesota!D41+Mississippi!D41+Missouri!D41+Montana!D41+Nebraska!D41+Nevada!D41+'New Hampshire'!D41+'New Jersey'!D41+'New Mexico'!D41+'New York'!D41+'North Carolina'!D41+'North Dakota'!D41+Ohio!D41+Oklahoma!D41+Oregon!D41+Pennsylvania!D41+'Puerto Rico'!D41+'Rhode Island'!D41+'South Carolina'!D41+'South Dakota '!D41+Tennessee!D41+Texas!D41+Utah!D41+Vermont!D41+Virginia!D41+Washington!D41+'West Virginia'!D41+Wisconsin!D41+Wyoming!D41</f>
        <v>0</v>
      </c>
      <c r="E41" s="3">
        <f>+Alabama!E41+Alaska!E41+Arizona!E41+Arkansas!E41+California!E41+Colorado!E41+Connecticut!E41+Delaware!E41+'District of Columbia'!E41+Florida!E41+Georgia!E41+Hawaii!E41+Idaho!E41+Illinois!E41+Indiana!E41+Iowa!E41+Kansas!E41+Kentucky!E41+Louisiana!E41+Maine!E41+Maryland!E41+Massachusettes!E41+Michigan!E41+Minnesota!E41+Mississippi!E41+Missouri!E41+Montana!E41+Nebraska!E41+Nevada!E41+'New Hampshire'!E41+'New Jersey'!E41+'New Mexico'!E41+'New York'!E41+'North Carolina'!E41+'North Dakota'!E41+Ohio!E41+Oklahoma!E41+Oregon!E41+Pennsylvania!E41+'Puerto Rico'!E41+'Rhode Island'!E41+'South Carolina'!E41+'South Dakota '!E41+Tennessee!E41+Texas!E41+Utah!E41+Vermont!E41+Virginia!E41+Washington!E41+'West Virginia'!E41+Wisconsin!E41+Wyoming!E41</f>
        <v>1117747503</v>
      </c>
      <c r="F41" s="3">
        <f>+Alabama!F41+Alaska!F41+Arizona!F41+Arkansas!F41+California!F41+Colorado!F41+Connecticut!F41+Delaware!F41+'District of Columbia'!F41+Florida!F41+Georgia!F41+Hawaii!F41+Idaho!F41+Illinois!F41+Indiana!F41+Iowa!F41+Kansas!F41+Kentucky!F41+Louisiana!F41+Maine!F41+Maryland!F41+Massachusettes!F41+Michigan!F41+Minnesota!F41+Mississippi!F41+Missouri!F41+Montana!F41+Nebraska!F41+Nevada!F41+'New Hampshire'!F41+'New Jersey'!F41+'New Mexico'!F41+'New York'!F41+'North Carolina'!F41+'North Dakota'!F41+Ohio!F41+Oklahoma!F41+Oregon!F41+Pennsylvania!F41+'Puerto Rico'!F41+'Rhode Island'!F41+'South Carolina'!F41+'South Dakota '!F41+Tennessee!F41+Texas!F41+Utah!F41+Vermont!F41+Virginia!F41+Washington!F41+'West Virginia'!F41+Wisconsin!F41+Wyoming!F41</f>
        <v>73154703</v>
      </c>
      <c r="G41" s="3">
        <f>+Alabama!G41+Alaska!G41+Arizona!G41+Arkansas!G41+California!G41+Colorado!G41+Connecticut!G41+Delaware!G41+'District of Columbia'!G41+Florida!G41+Georgia!G41+Hawaii!G41+Idaho!G41+Illinois!G41+Indiana!G41+Iowa!G41+Kansas!G41+Kentucky!G41+Louisiana!G41+Maine!G41+Maryland!G41+Massachusettes!G41+Michigan!G41+Minnesota!G41+Mississippi!G41+Missouri!G41+Montana!G41+Nebraska!G41+Nevada!G41+'New Hampshire'!G41+'New Jersey'!G41+'New Mexico'!G41+'New York'!G41+'North Carolina'!G41+'North Dakota'!G41+Ohio!G41+Oklahoma!G41+Oregon!G41+Pennsylvania!G41+'Puerto Rico'!G41+'Rhode Island'!G41+'South Carolina'!G41+'South Dakota '!G41+Tennessee!G41+Texas!G41+Utah!G41+Vermont!G41+Virginia!G41+Washington!G41+'West Virginia'!G41+Wisconsin!G41+Wyoming!G41</f>
        <v>17100111</v>
      </c>
      <c r="H41" s="3">
        <f>+Alabama!H41+Alaska!H41+Arizona!H41+Arkansas!H41+California!H41+Colorado!H41+Connecticut!H41+Delaware!H41+'District of Columbia'!H41+Florida!H41+Georgia!H41+Hawaii!H41+Idaho!H41+Illinois!H41+Indiana!H41+Iowa!H41+Kansas!H41+Kentucky!H41+Louisiana!H41+Maine!H41+Maryland!H41+Massachusettes!H41+Michigan!H41+Minnesota!H41+Mississippi!H41+Missouri!H41+Montana!H41+Nebraska!H41+Nevada!H41+'New Hampshire'!H41+'New Jersey'!H41+'New Mexico'!H41+'New York'!H41+'North Carolina'!H41+'North Dakota'!H41+Ohio!H41+Oklahoma!H41+Oregon!H41+Pennsylvania!H41+'Puerto Rico'!H41+'Rhode Island'!H41+'South Carolina'!H41+'South Dakota '!H41+Tennessee!H41+Texas!H41+Utah!H41+Vermont!H41+Virginia!H41+Washington!H41+'West Virginia'!H41+Wisconsin!H41+Wyoming!H41</f>
        <v>2356172714</v>
      </c>
      <c r="I41" s="3">
        <f>+Alabama!I41+Alaska!I41+Arizona!I41+Arkansas!I41+California!I41+Colorado!I41+Connecticut!I41+Delaware!I41+'District of Columbia'!I41+Florida!I41+Georgia!I41+Hawaii!I41+Idaho!I41+Illinois!I41+Indiana!I41+Iowa!I41+Kansas!I41+Kentucky!I41+Louisiana!I41+Maine!I41+Maryland!I41+Massachusettes!I41+Michigan!I41+Minnesota!I41+Mississippi!I41+Missouri!I41+Montana!I41+Nebraska!I41+Nevada!I41+'New Hampshire'!I41+'New Jersey'!I41+'New Mexico'!I41+'New York'!I41+'North Carolina'!I41+'North Dakota'!I41+Ohio!I41+Oklahoma!I41+Oregon!I41+Pennsylvania!I41+'Puerto Rico'!I41+'Rhode Island'!I41+'South Carolina'!I41+'South Dakota '!I41+Tennessee!I41+Texas!I41+Utah!I41+Vermont!I41+Virginia!I41+Washington!I41+'West Virginia'!I41+Wisconsin!I41+Wyoming!I41</f>
        <v>36310502</v>
      </c>
      <c r="J41" s="3">
        <f>+Alabama!J41+Alaska!J41+Arizona!J41+Arkansas!J41+California!J41+Colorado!J41+Connecticut!J41+Delaware!J41+'District of Columbia'!J41+Florida!J41+Georgia!J41+Hawaii!J41+Idaho!J41+Illinois!J41+Indiana!J41+Iowa!J41+Kansas!J41+Kentucky!J41+Louisiana!J41+Maine!J41+Maryland!J41+Massachusettes!J41+Michigan!J41+Minnesota!J41+Mississippi!J41+Missouri!J41+Montana!J41+Nebraska!J41+Nevada!J41+'New Hampshire'!J41+'New Jersey'!J41+'New Mexico'!J41+'New York'!J41+'North Carolina'!J41+'North Dakota'!J41+Ohio!J41+Oklahoma!J41+Oregon!J41+Pennsylvania!J41+'Puerto Rico'!J41+'Rhode Island'!J41+'South Carolina'!J41+'South Dakota '!J41+Tennessee!J41+Texas!J41+Utah!J41+Vermont!J41+Virginia!J41+Washington!J41+'West Virginia'!J41+Wisconsin!J41+Wyoming!J41</f>
        <v>10712251</v>
      </c>
      <c r="K41" s="3">
        <f t="shared" si="6"/>
        <v>8418878068</v>
      </c>
      <c r="L41" s="3">
        <f t="shared" si="7"/>
        <v>116661817</v>
      </c>
      <c r="M41" s="3">
        <f t="shared" si="8"/>
        <v>27812362</v>
      </c>
      <c r="N41" s="3">
        <f t="shared" si="9"/>
        <v>8563352247</v>
      </c>
      <c r="P41" s="1">
        <v>40</v>
      </c>
    </row>
    <row r="42" spans="1:17" x14ac:dyDescent="0.15">
      <c r="A42" s="1">
        <v>2010</v>
      </c>
      <c r="B42" s="3">
        <f>+Alabama!B42+Alaska!B42+Arizona!B42+Arkansas!B42+California!B42+Colorado!B42+Connecticut!B42+Delaware!B42+'District of Columbia'!B42+Florida!B42+Georgia!B42+Hawaii!B42+Idaho!B42+Illinois!B42+Indiana!B42+Iowa!B42+Kansas!B42+Kentucky!B42+Louisiana!B42+Maine!B42+Maryland!B42+Massachusettes!B42+Michigan!B42+Minnesota!B42+Mississippi!B42+Missouri!B42+Montana!B42+Nebraska!B42+Nevada!B42+'New Hampshire'!B42+'New Jersey'!B42+'New Mexico'!B42+'New York'!B42+'North Carolina'!B42+'North Dakota'!B42+Ohio!B42+Oklahoma!B42+Oregon!B42+Pennsylvania!B42+'Puerto Rico'!B42+'Rhode Island'!B42+'South Carolina'!B42+'South Dakota '!B42+Tennessee!B42+Texas!B42+Utah!B42+Vermont!B42+Virginia!B42+Washington!B42+'West Virginia'!B42+Wisconsin!B42+Wyoming!B42</f>
        <v>5266081026</v>
      </c>
      <c r="C42" s="3">
        <f>+Alabama!C42+Alaska!C42+Arizona!C42+Arkansas!C42+California!C42+Colorado!C42+Connecticut!C42+Delaware!C42+'District of Columbia'!C42+Florida!C42+Georgia!C42+Hawaii!C42+Idaho!C42+Illinois!C42+Indiana!C42+Iowa!C42+Kansas!C42+Kentucky!C42+Louisiana!C42+Maine!C42+Maryland!C42+Massachusettes!C42+Michigan!C42+Minnesota!C42+Mississippi!C42+Missouri!C42+Montana!C42+Nebraska!C42+Nevada!C42+'New Hampshire'!C42+'New Jersey'!C42+'New Mexico'!C42+'New York'!C42+'North Carolina'!C42+'North Dakota'!C42+Ohio!C42+Oklahoma!C42+Oregon!C42+Pennsylvania!C42+'Puerto Rico'!C42+'Rhode Island'!C42+'South Carolina'!C42+'South Dakota '!C42+Tennessee!C42+Texas!C42+Utah!C42+Vermont!C42+Virginia!C42+Washington!C42+'West Virginia'!C42+Wisconsin!C42+Wyoming!C42</f>
        <v>7878898</v>
      </c>
      <c r="D42" s="3">
        <f>+Alabama!D42+Alaska!D42+Arizona!D42+Arkansas!D42+California!D42+Colorado!D42+Connecticut!D42+Delaware!D42+'District of Columbia'!D42+Florida!D42+Georgia!D42+Hawaii!D42+Idaho!D42+Illinois!D42+Indiana!D42+Iowa!D42+Kansas!D42+Kentucky!D42+Louisiana!D42+Maine!D42+Maryland!D42+Massachusettes!D42+Michigan!D42+Minnesota!D42+Mississippi!D42+Missouri!D42+Montana!D42+Nebraska!D42+Nevada!D42+'New Hampshire'!D42+'New Jersey'!D42+'New Mexico'!D42+'New York'!D42+'North Carolina'!D42+'North Dakota'!D42+Ohio!D42+Oklahoma!D42+Oregon!D42+Pennsylvania!D42+'Puerto Rico'!D42+'Rhode Island'!D42+'South Carolina'!D42+'South Dakota '!D42+Tennessee!D42+Texas!D42+Utah!D42+Vermont!D42+Virginia!D42+Washington!D42+'West Virginia'!D42+Wisconsin!D42+Wyoming!D42</f>
        <v>0</v>
      </c>
      <c r="E42" s="3">
        <f>+Alabama!E42+Alaska!E42+Arizona!E42+Arkansas!E42+California!E42+Colorado!E42+Connecticut!E42+Delaware!E42+'District of Columbia'!E42+Florida!E42+Georgia!E42+Hawaii!E42+Idaho!E42+Illinois!E42+Indiana!E42+Iowa!E42+Kansas!E42+Kentucky!E42+Louisiana!E42+Maine!E42+Maryland!E42+Massachusettes!E42+Michigan!E42+Minnesota!E42+Mississippi!E42+Missouri!E42+Montana!E42+Nebraska!E42+Nevada!E42+'New Hampshire'!E42+'New Jersey'!E42+'New Mexico'!E42+'New York'!E42+'North Carolina'!E42+'North Dakota'!E42+Ohio!E42+Oklahoma!E42+Oregon!E42+Pennsylvania!E42+'Puerto Rico'!E42+'Rhode Island'!E42+'South Carolina'!E42+'South Dakota '!E42+Tennessee!E42+Texas!E42+Utah!E42+Vermont!E42+Virginia!E42+Washington!E42+'West Virginia'!E42+Wisconsin!E42+Wyoming!E42</f>
        <v>1071875563</v>
      </c>
      <c r="F42" s="3">
        <f>+Alabama!F42+Alaska!F42+Arizona!F42+Arkansas!F42+California!F42+Colorado!F42+Connecticut!F42+Delaware!F42+'District of Columbia'!F42+Florida!F42+Georgia!F42+Hawaii!F42+Idaho!F42+Illinois!F42+Indiana!F42+Iowa!F42+Kansas!F42+Kentucky!F42+Louisiana!F42+Maine!F42+Maryland!F42+Massachusettes!F42+Michigan!F42+Minnesota!F42+Mississippi!F42+Missouri!F42+Montana!F42+Nebraska!F42+Nevada!F42+'New Hampshire'!F42+'New Jersey'!F42+'New Mexico'!F42+'New York'!F42+'North Carolina'!F42+'North Dakota'!F42+Ohio!F42+Oklahoma!F42+Oregon!F42+Pennsylvania!F42+'Puerto Rico'!F42+'Rhode Island'!F42+'South Carolina'!F42+'South Dakota '!F42+Tennessee!F42+Texas!F42+Utah!F42+Vermont!F42+Virginia!F42+Washington!F42+'West Virginia'!F42+Wisconsin!F42+Wyoming!F42</f>
        <v>77115230</v>
      </c>
      <c r="G42" s="3">
        <f>+Alabama!G42+Alaska!G42+Arizona!G42+Arkansas!G42+California!G42+Colorado!G42+Connecticut!G42+Delaware!G42+'District of Columbia'!G42+Florida!G42+Georgia!G42+Hawaii!G42+Idaho!G42+Illinois!G42+Indiana!G42+Iowa!G42+Kansas!G42+Kentucky!G42+Louisiana!G42+Maine!G42+Maryland!G42+Massachusettes!G42+Michigan!G42+Minnesota!G42+Mississippi!G42+Missouri!G42+Montana!G42+Nebraska!G42+Nevada!G42+'New Hampshire'!G42+'New Jersey'!G42+'New Mexico'!G42+'New York'!G42+'North Carolina'!G42+'North Dakota'!G42+Ohio!G42+Oklahoma!G42+Oregon!G42+Pennsylvania!G42+'Puerto Rico'!G42+'Rhode Island'!G42+'South Carolina'!G42+'South Dakota '!G42+Tennessee!G42+Texas!G42+Utah!G42+Vermont!G42+Virginia!G42+Washington!G42+'West Virginia'!G42+Wisconsin!G42+Wyoming!G42</f>
        <v>20481437</v>
      </c>
      <c r="H42" s="3">
        <f>+Alabama!H42+Alaska!H42+Arizona!H42+Arkansas!H42+California!H42+Colorado!H42+Connecticut!H42+Delaware!H42+'District of Columbia'!H42+Florida!H42+Georgia!H42+Hawaii!H42+Idaho!H42+Illinois!H42+Indiana!H42+Iowa!H42+Kansas!H42+Kentucky!H42+Louisiana!H42+Maine!H42+Maryland!H42+Massachusettes!H42+Michigan!H42+Minnesota!H42+Mississippi!H42+Missouri!H42+Montana!H42+Nebraska!H42+Nevada!H42+'New Hampshire'!H42+'New Jersey'!H42+'New Mexico'!H42+'New York'!H42+'North Carolina'!H42+'North Dakota'!H42+Ohio!H42+Oklahoma!H42+Oregon!H42+Pennsylvania!H42+'Puerto Rico'!H42+'Rhode Island'!H42+'South Carolina'!H42+'South Dakota '!H42+Tennessee!H42+Texas!H42+Utah!H42+Vermont!H42+Virginia!H42+Washington!H42+'West Virginia'!H42+Wisconsin!H42+Wyoming!H42</f>
        <v>2392816827</v>
      </c>
      <c r="I42" s="3">
        <f>+Alabama!I42+Alaska!I42+Arizona!I42+Arkansas!I42+California!I42+Colorado!I42+Connecticut!I42+Delaware!I42+'District of Columbia'!I42+Florida!I42+Georgia!I42+Hawaii!I42+Idaho!I42+Illinois!I42+Indiana!I42+Iowa!I42+Kansas!I42+Kentucky!I42+Louisiana!I42+Maine!I42+Maryland!I42+Massachusettes!I42+Michigan!I42+Minnesota!I42+Mississippi!I42+Missouri!I42+Montana!I42+Nebraska!I42+Nevada!I42+'New Hampshire'!I42+'New Jersey'!I42+'New Mexico'!I42+'New York'!I42+'North Carolina'!I42+'North Dakota'!I42+Ohio!I42+Oklahoma!I42+Oregon!I42+Pennsylvania!I42+'Puerto Rico'!I42+'Rhode Island'!I42+'South Carolina'!I42+'South Dakota '!I42+Tennessee!I42+Texas!I42+Utah!I42+Vermont!I42+Virginia!I42+Washington!I42+'West Virginia'!I42+Wisconsin!I42+Wyoming!I42</f>
        <v>34291090</v>
      </c>
      <c r="J42" s="3">
        <f>+Alabama!J42+Alaska!J42+Arizona!J42+Arkansas!J42+California!J42+Colorado!J42+Connecticut!J42+Delaware!J42+'District of Columbia'!J42+Florida!J42+Georgia!J42+Hawaii!J42+Idaho!J42+Illinois!J42+Indiana!J42+Iowa!J42+Kansas!J42+Kentucky!J42+Louisiana!J42+Maine!J42+Maryland!J42+Massachusettes!J42+Michigan!J42+Minnesota!J42+Mississippi!J42+Missouri!J42+Montana!J42+Nebraska!J42+Nevada!J42+'New Hampshire'!J42+'New Jersey'!J42+'New Mexico'!J42+'New York'!J42+'North Carolina'!J42+'North Dakota'!J42+Ohio!J42+Oklahoma!J42+Oregon!J42+Pennsylvania!J42+'Puerto Rico'!J42+'Rhode Island'!J42+'South Carolina'!J42+'South Dakota '!J42+Tennessee!J42+Texas!J42+Utah!J42+Vermont!J42+Virginia!J42+Washington!J42+'West Virginia'!J42+Wisconsin!J42+Wyoming!J42</f>
        <v>4372487</v>
      </c>
      <c r="K42" s="3">
        <f t="shared" si="6"/>
        <v>8730773416</v>
      </c>
      <c r="L42" s="3">
        <f t="shared" si="7"/>
        <v>119285218</v>
      </c>
      <c r="M42" s="3">
        <f t="shared" si="8"/>
        <v>24853924</v>
      </c>
      <c r="N42" s="3">
        <f t="shared" si="9"/>
        <v>8874912558</v>
      </c>
      <c r="P42" s="1">
        <v>41</v>
      </c>
    </row>
    <row r="43" spans="1:17" x14ac:dyDescent="0.15">
      <c r="A43" s="1">
        <v>2011</v>
      </c>
      <c r="B43" s="3">
        <f>+Alabama!B43+Alaska!B43+Arizona!B43+Arkansas!B43+California!B43+Colorado!B43+Connecticut!B43+Delaware!B43+'District of Columbia'!B43+Florida!B43+Georgia!B43+Hawaii!B43+Idaho!B43+Illinois!B43+Indiana!B43+Iowa!B43+Kansas!B43+Kentucky!B43+Louisiana!B43+Maine!B43+Maryland!B43+Massachusettes!B43+Michigan!B43+Minnesota!B43+Mississippi!B43+Missouri!B43+Montana!B43+Nebraska!B43+Nevada!B43+'New Hampshire'!B43+'New Jersey'!B43+'New Mexico'!B43+'New York'!B43+'North Carolina'!B43+'North Dakota'!B43+Ohio!B43+Oklahoma!B43+Oregon!B43+Pennsylvania!B43+'Puerto Rico'!B43+'Rhode Island'!B43+'South Carolina'!B43+'South Dakota '!B43+Tennessee!B43+Texas!B43+Utah!B43+Vermont!B43+Virginia!B43+Washington!B43+'West Virginia'!B43+Wisconsin!B43+Wyoming!B43</f>
        <v>5380505751</v>
      </c>
      <c r="C43" s="3">
        <f>+Alabama!C43+Alaska!C43+Arizona!C43+Arkansas!C43+California!C43+Colorado!C43+Connecticut!C43+Delaware!C43+'District of Columbia'!C43+Florida!C43+Georgia!C43+Hawaii!C43+Idaho!C43+Illinois!C43+Indiana!C43+Iowa!C43+Kansas!C43+Kentucky!C43+Louisiana!C43+Maine!C43+Maryland!C43+Massachusettes!C43+Michigan!C43+Minnesota!C43+Mississippi!C43+Missouri!C43+Montana!C43+Nebraska!C43+Nevada!C43+'New Hampshire'!C43+'New Jersey'!C43+'New Mexico'!C43+'New York'!C43+'North Carolina'!C43+'North Dakota'!C43+Ohio!C43+Oklahoma!C43+Oregon!C43+Pennsylvania!C43+'Puerto Rico'!C43+'Rhode Island'!C43+'South Carolina'!C43+'South Dakota '!C43+Tennessee!C43+Texas!C43+Utah!C43+Vermont!C43+Virginia!C43+Washington!C43+'West Virginia'!C43+Wisconsin!C43+Wyoming!C43</f>
        <v>5703748</v>
      </c>
      <c r="D43" s="3">
        <f>+Alabama!D43+Alaska!D43+Arizona!D43+Arkansas!D43+California!D43+Colorado!D43+Connecticut!D43+Delaware!D43+'District of Columbia'!D43+Florida!D43+Georgia!D43+Hawaii!D43+Idaho!D43+Illinois!D43+Indiana!D43+Iowa!D43+Kansas!D43+Kentucky!D43+Louisiana!D43+Maine!D43+Maryland!D43+Massachusettes!D43+Michigan!D43+Minnesota!D43+Mississippi!D43+Missouri!D43+Montana!D43+Nebraska!D43+Nevada!D43+'New Hampshire'!D43+'New Jersey'!D43+'New Mexico'!D43+'New York'!D43+'North Carolina'!D43+'North Dakota'!D43+Ohio!D43+Oklahoma!D43+Oregon!D43+Pennsylvania!D43+'Puerto Rico'!D43+'Rhode Island'!D43+'South Carolina'!D43+'South Dakota '!D43+Tennessee!D43+Texas!D43+Utah!D43+Vermont!D43+Virginia!D43+Washington!D43+'West Virginia'!D43+Wisconsin!D43+Wyoming!D43</f>
        <v>0</v>
      </c>
      <c r="E43" s="3">
        <f>+Alabama!E43+Alaska!E43+Arizona!E43+Arkansas!E43+California!E43+Colorado!E43+Connecticut!E43+Delaware!E43+'District of Columbia'!E43+Florida!E43+Georgia!E43+Hawaii!E43+Idaho!E43+Illinois!E43+Indiana!E43+Iowa!E43+Kansas!E43+Kentucky!E43+Louisiana!E43+Maine!E43+Maryland!E43+Massachusettes!E43+Michigan!E43+Minnesota!E43+Mississippi!E43+Missouri!E43+Montana!E43+Nebraska!E43+Nevada!E43+'New Hampshire'!E43+'New Jersey'!E43+'New Mexico'!E43+'New York'!E43+'North Carolina'!E43+'North Dakota'!E43+Ohio!E43+Oklahoma!E43+Oregon!E43+Pennsylvania!E43+'Puerto Rico'!E43+'Rhode Island'!E43+'South Carolina'!E43+'South Dakota '!E43+Tennessee!E43+Texas!E43+Utah!E43+Vermont!E43+Virginia!E43+Washington!E43+'West Virginia'!E43+Wisconsin!E43+Wyoming!E43</f>
        <v>1064738695</v>
      </c>
      <c r="F43" s="3">
        <f>+Alabama!F43+Alaska!F43+Arizona!F43+Arkansas!F43+California!F43+Colorado!F43+Connecticut!F43+Delaware!F43+'District of Columbia'!F43+Florida!F43+Georgia!F43+Hawaii!F43+Idaho!F43+Illinois!F43+Indiana!F43+Iowa!F43+Kansas!F43+Kentucky!F43+Louisiana!F43+Maine!F43+Maryland!F43+Massachusettes!F43+Michigan!F43+Minnesota!F43+Mississippi!F43+Missouri!F43+Montana!F43+Nebraska!F43+Nevada!F43+'New Hampshire'!F43+'New Jersey'!F43+'New Mexico'!F43+'New York'!F43+'North Carolina'!F43+'North Dakota'!F43+Ohio!F43+Oklahoma!F43+Oregon!F43+Pennsylvania!F43+'Puerto Rico'!F43+'Rhode Island'!F43+'South Carolina'!F43+'South Dakota '!F43+Tennessee!F43+Texas!F43+Utah!F43+Vermont!F43+Virginia!F43+Washington!F43+'West Virginia'!F43+Wisconsin!F43+Wyoming!F43</f>
        <v>67996626</v>
      </c>
      <c r="G43" s="3">
        <f>+Alabama!G43+Alaska!G43+Arizona!G43+Arkansas!G43+California!G43+Colorado!G43+Connecticut!G43+Delaware!G43+'District of Columbia'!G43+Florida!G43+Georgia!G43+Hawaii!G43+Idaho!G43+Illinois!G43+Indiana!G43+Iowa!G43+Kansas!G43+Kentucky!G43+Louisiana!G43+Maine!G43+Maryland!G43+Massachusettes!G43+Michigan!G43+Minnesota!G43+Mississippi!G43+Missouri!G43+Montana!G43+Nebraska!G43+Nevada!G43+'New Hampshire'!G43+'New Jersey'!G43+'New Mexico'!G43+'New York'!G43+'North Carolina'!G43+'North Dakota'!G43+Ohio!G43+Oklahoma!G43+Oregon!G43+Pennsylvania!G43+'Puerto Rico'!G43+'Rhode Island'!G43+'South Carolina'!G43+'South Dakota '!G43+Tennessee!G43+Texas!G43+Utah!G43+Vermont!G43+Virginia!G43+Washington!G43+'West Virginia'!G43+Wisconsin!G43+Wyoming!G43</f>
        <v>24376767</v>
      </c>
      <c r="H43" s="3">
        <f>+Alabama!H43+Alaska!H43+Arizona!H43+Arkansas!H43+California!H43+Colorado!H43+Connecticut!H43+Delaware!H43+'District of Columbia'!H43+Florida!H43+Georgia!H43+Hawaii!H43+Idaho!H43+Illinois!H43+Indiana!H43+Iowa!H43+Kansas!H43+Kentucky!H43+Louisiana!H43+Maine!H43+Maryland!H43+Massachusettes!H43+Michigan!H43+Minnesota!H43+Mississippi!H43+Missouri!H43+Montana!H43+Nebraska!H43+Nevada!H43+'New Hampshire'!H43+'New Jersey'!H43+'New Mexico'!H43+'New York'!H43+'North Carolina'!H43+'North Dakota'!H43+Ohio!H43+Oklahoma!H43+Oregon!H43+Pennsylvania!H43+'Puerto Rico'!H43+'Rhode Island'!H43+'South Carolina'!H43+'South Dakota '!H43+Tennessee!H43+Texas!H43+Utah!H43+Vermont!H43+Virginia!H43+Washington!H43+'West Virginia'!H43+Wisconsin!H43+Wyoming!H43</f>
        <v>2660243839</v>
      </c>
      <c r="I43" s="3">
        <f>+Alabama!I43+Alaska!I43+Arizona!I43+Arkansas!I43+California!I43+Colorado!I43+Connecticut!I43+Delaware!I43+'District of Columbia'!I43+Florida!I43+Georgia!I43+Hawaii!I43+Idaho!I43+Illinois!I43+Indiana!I43+Iowa!I43+Kansas!I43+Kentucky!I43+Louisiana!I43+Maine!I43+Maryland!I43+Massachusettes!I43+Michigan!I43+Minnesota!I43+Mississippi!I43+Missouri!I43+Montana!I43+Nebraska!I43+Nevada!I43+'New Hampshire'!I43+'New Jersey'!I43+'New Mexico'!I43+'New York'!I43+'North Carolina'!I43+'North Dakota'!I43+Ohio!I43+Oklahoma!I43+Oregon!I43+Pennsylvania!I43+'Puerto Rico'!I43+'Rhode Island'!I43+'South Carolina'!I43+'South Dakota '!I43+Tennessee!I43+Texas!I43+Utah!I43+Vermont!I43+Virginia!I43+Washington!I43+'West Virginia'!I43+Wisconsin!I43+Wyoming!I43</f>
        <v>32057102</v>
      </c>
      <c r="J43" s="3">
        <f>+Alabama!J43+Alaska!J43+Arizona!J43+Arkansas!J43+California!J43+Colorado!J43+Connecticut!J43+Delaware!J43+'District of Columbia'!J43+Florida!J43+Georgia!J43+Hawaii!J43+Idaho!J43+Illinois!J43+Indiana!J43+Iowa!J43+Kansas!J43+Kentucky!J43+Louisiana!J43+Maine!J43+Maryland!J43+Massachusettes!J43+Michigan!J43+Minnesota!J43+Mississippi!J43+Missouri!J43+Montana!J43+Nebraska!J43+Nevada!J43+'New Hampshire'!J43+'New Jersey'!J43+'New Mexico'!J43+'New York'!J43+'North Carolina'!J43+'North Dakota'!J43+Ohio!J43+Oklahoma!J43+Oregon!J43+Pennsylvania!J43+'Puerto Rico'!J43+'Rhode Island'!J43+'South Carolina'!J43+'South Dakota '!J43+Tennessee!J43+Texas!J43+Utah!J43+Vermont!J43+Virginia!J43+Washington!J43+'West Virginia'!J43+Wisconsin!J43+Wyoming!J43</f>
        <v>7151215</v>
      </c>
      <c r="K43" s="3">
        <f t="shared" si="6"/>
        <v>9105488285</v>
      </c>
      <c r="L43" s="3">
        <f t="shared" si="7"/>
        <v>105757476</v>
      </c>
      <c r="M43" s="3">
        <f t="shared" si="8"/>
        <v>31527982</v>
      </c>
      <c r="N43" s="3">
        <f t="shared" si="9"/>
        <v>9242773743</v>
      </c>
      <c r="P43" s="1">
        <v>42</v>
      </c>
    </row>
    <row r="44" spans="1:17" x14ac:dyDescent="0.15">
      <c r="A44" s="1">
        <v>2012</v>
      </c>
      <c r="B44" s="3">
        <f>+Alabama!B44+Alaska!B44+Arizona!B44+Arkansas!B44+California!B44+Colorado!B44+Connecticut!B44+Delaware!B44+'District of Columbia'!B44+Florida!B44+Georgia!B44+Hawaii!B44+Idaho!B44+Illinois!B44+Indiana!B44+Iowa!B44+Kansas!B44+Kentucky!B44+Louisiana!B44+Maine!B44+Maryland!B44+Massachusettes!B44+Michigan!B44+Minnesota!B44+Mississippi!B44+Missouri!B44+Montana!B44+Nebraska!B44+Nevada!B44+'New Hampshire'!B44+'New Jersey'!B44+'New Mexico'!B44+'New York'!B44+'North Carolina'!B44+'North Dakota'!B44+Ohio!B44+Oklahoma!B44+Oregon!B44+Pennsylvania!B44+'Puerto Rico'!B44+'Rhode Island'!B44+'South Carolina'!B44+'South Dakota '!B44+Tennessee!B44+Texas!B44+Utah!B44+Vermont!B44+Virginia!B44+Washington!B44+'West Virginia'!B44+Wisconsin!B44+Wyoming!B44</f>
        <v>5781494044</v>
      </c>
      <c r="C44" s="3">
        <f>+Alabama!C44+Alaska!C44+Arizona!C44+Arkansas!C44+California!C44+Colorado!C44+Connecticut!C44+Delaware!C44+'District of Columbia'!C44+Florida!C44+Georgia!C44+Hawaii!C44+Idaho!C44+Illinois!C44+Indiana!C44+Iowa!C44+Kansas!C44+Kentucky!C44+Louisiana!C44+Maine!C44+Maryland!C44+Massachusettes!C44+Michigan!C44+Minnesota!C44+Mississippi!C44+Missouri!C44+Montana!C44+Nebraska!C44+Nevada!C44+'New Hampshire'!C44+'New Jersey'!C44+'New Mexico'!C44+'New York'!C44+'North Carolina'!C44+'North Dakota'!C44+Ohio!C44+Oklahoma!C44+Oregon!C44+Pennsylvania!C44+'Puerto Rico'!C44+'Rhode Island'!C44+'South Carolina'!C44+'South Dakota '!C44+Tennessee!C44+Texas!C44+Utah!C44+Vermont!C44+Virginia!C44+Washington!C44+'West Virginia'!C44+Wisconsin!C44+Wyoming!C44</f>
        <v>6647192</v>
      </c>
      <c r="D44" s="3">
        <f>+Alabama!D44+Alaska!D44+Arizona!D44+Arkansas!D44+California!D44+Colorado!D44+Connecticut!D44+Delaware!D44+'District of Columbia'!D44+Florida!D44+Georgia!D44+Hawaii!D44+Idaho!D44+Illinois!D44+Indiana!D44+Iowa!D44+Kansas!D44+Kentucky!D44+Louisiana!D44+Maine!D44+Maryland!D44+Massachusettes!D44+Michigan!D44+Minnesota!D44+Mississippi!D44+Missouri!D44+Montana!D44+Nebraska!D44+Nevada!D44+'New Hampshire'!D44+'New Jersey'!D44+'New Mexico'!D44+'New York'!D44+'North Carolina'!D44+'North Dakota'!D44+Ohio!D44+Oklahoma!D44+Oregon!D44+Pennsylvania!D44+'Puerto Rico'!D44+'Rhode Island'!D44+'South Carolina'!D44+'South Dakota '!D44+Tennessee!D44+Texas!D44+Utah!D44+Vermont!D44+Virginia!D44+Washington!D44+'West Virginia'!D44+Wisconsin!D44+Wyoming!D44</f>
        <v>0</v>
      </c>
      <c r="E44" s="3">
        <f>+Alabama!E44+Alaska!E44+Arizona!E44+Arkansas!E44+California!E44+Colorado!E44+Connecticut!E44+Delaware!E44+'District of Columbia'!E44+Florida!E44+Georgia!E44+Hawaii!E44+Idaho!E44+Illinois!E44+Indiana!E44+Iowa!E44+Kansas!E44+Kentucky!E44+Louisiana!E44+Maine!E44+Maryland!E44+Massachusettes!E44+Michigan!E44+Minnesota!E44+Mississippi!E44+Missouri!E44+Montana!E44+Nebraska!E44+Nevada!E44+'New Hampshire'!E44+'New Jersey'!E44+'New Mexico'!E44+'New York'!E44+'North Carolina'!E44+'North Dakota'!E44+Ohio!E44+Oklahoma!E44+Oregon!E44+Pennsylvania!E44+'Puerto Rico'!E44+'Rhode Island'!E44+'South Carolina'!E44+'South Dakota '!E44+Tennessee!E44+Texas!E44+Utah!E44+Vermont!E44+Virginia!E44+Washington!E44+'West Virginia'!E44+Wisconsin!E44+Wyoming!E44</f>
        <v>1077732616</v>
      </c>
      <c r="F44" s="3">
        <f>+Alabama!F44+Alaska!F44+Arizona!F44+Arkansas!F44+California!F44+Colorado!F44+Connecticut!F44+Delaware!F44+'District of Columbia'!F44+Florida!F44+Georgia!F44+Hawaii!F44+Idaho!F44+Illinois!F44+Indiana!F44+Iowa!F44+Kansas!F44+Kentucky!F44+Louisiana!F44+Maine!F44+Maryland!F44+Massachusettes!F44+Michigan!F44+Minnesota!F44+Mississippi!F44+Missouri!F44+Montana!F44+Nebraska!F44+Nevada!F44+'New Hampshire'!F44+'New Jersey'!F44+'New Mexico'!F44+'New York'!F44+'North Carolina'!F44+'North Dakota'!F44+Ohio!F44+Oklahoma!F44+Oregon!F44+Pennsylvania!F44+'Puerto Rico'!F44+'Rhode Island'!F44+'South Carolina'!F44+'South Dakota '!F44+Tennessee!F44+Texas!F44+Utah!F44+Vermont!F44+Virginia!F44+Washington!F44+'West Virginia'!F44+Wisconsin!F44+Wyoming!F44</f>
        <v>65522036</v>
      </c>
      <c r="G44" s="3">
        <f>+Alabama!G44+Alaska!G44+Arizona!G44+Arkansas!G44+California!G44+Colorado!G44+Connecticut!G44+Delaware!G44+'District of Columbia'!G44+Florida!G44+Georgia!G44+Hawaii!G44+Idaho!G44+Illinois!G44+Indiana!G44+Iowa!G44+Kansas!G44+Kentucky!G44+Louisiana!G44+Maine!G44+Maryland!G44+Massachusettes!G44+Michigan!G44+Minnesota!G44+Mississippi!G44+Missouri!G44+Montana!G44+Nebraska!G44+Nevada!G44+'New Hampshire'!G44+'New Jersey'!G44+'New Mexico'!G44+'New York'!G44+'North Carolina'!G44+'North Dakota'!G44+Ohio!G44+Oklahoma!G44+Oregon!G44+Pennsylvania!G44+'Puerto Rico'!G44+'Rhode Island'!G44+'South Carolina'!G44+'South Dakota '!G44+Tennessee!G44+Texas!G44+Utah!G44+Vermont!G44+Virginia!G44+Washington!G44+'West Virginia'!G44+Wisconsin!G44+Wyoming!G44</f>
        <v>22911202</v>
      </c>
      <c r="H44" s="3">
        <f>+Alabama!H44+Alaska!H44+Arizona!H44+Arkansas!H44+California!H44+Colorado!H44+Connecticut!H44+Delaware!H44+'District of Columbia'!H44+Florida!H44+Georgia!H44+Hawaii!H44+Idaho!H44+Illinois!H44+Indiana!H44+Iowa!H44+Kansas!H44+Kentucky!H44+Louisiana!H44+Maine!H44+Maryland!H44+Massachusettes!H44+Michigan!H44+Minnesota!H44+Mississippi!H44+Missouri!H44+Montana!H44+Nebraska!H44+Nevada!H44+'New Hampshire'!H44+'New Jersey'!H44+'New Mexico'!H44+'New York'!H44+'North Carolina'!H44+'North Dakota'!H44+Ohio!H44+Oklahoma!H44+Oregon!H44+Pennsylvania!H44+'Puerto Rico'!H44+'Rhode Island'!H44+'South Carolina'!H44+'South Dakota '!H44+Tennessee!H44+Texas!H44+Utah!H44+Vermont!H44+Virginia!H44+Washington!H44+'West Virginia'!H44+Wisconsin!H44+Wyoming!H44</f>
        <v>2392400346</v>
      </c>
      <c r="I44" s="3">
        <f>+Alabama!I44+Alaska!I44+Arizona!I44+Arkansas!I44+California!I44+Colorado!I44+Connecticut!I44+Delaware!I44+'District of Columbia'!I44+Florida!I44+Georgia!I44+Hawaii!I44+Idaho!I44+Illinois!I44+Indiana!I44+Iowa!I44+Kansas!I44+Kentucky!I44+Louisiana!I44+Maine!I44+Maryland!I44+Massachusettes!I44+Michigan!I44+Minnesota!I44+Mississippi!I44+Missouri!I44+Montana!I44+Nebraska!I44+Nevada!I44+'New Hampshire'!I44+'New Jersey'!I44+'New Mexico'!I44+'New York'!I44+'North Carolina'!I44+'North Dakota'!I44+Ohio!I44+Oklahoma!I44+Oregon!I44+Pennsylvania!I44+'Puerto Rico'!I44+'Rhode Island'!I44+'South Carolina'!I44+'South Dakota '!I44+Tennessee!I44+Texas!I44+Utah!I44+Vermont!I44+Virginia!I44+Washington!I44+'West Virginia'!I44+Wisconsin!I44+Wyoming!I44</f>
        <v>35339242</v>
      </c>
      <c r="J44" s="3">
        <f>+Alabama!J44+Alaska!J44+Arizona!J44+Arkansas!J44+California!J44+Colorado!J44+Connecticut!J44+Delaware!J44+'District of Columbia'!J44+Florida!J44+Georgia!J44+Hawaii!J44+Idaho!J44+Illinois!J44+Indiana!J44+Iowa!J44+Kansas!J44+Kentucky!J44+Louisiana!J44+Maine!J44+Maryland!J44+Massachusettes!J44+Michigan!J44+Minnesota!J44+Mississippi!J44+Missouri!J44+Montana!J44+Nebraska!J44+Nevada!J44+'New Hampshire'!J44+'New Jersey'!J44+'New Mexico'!J44+'New York'!J44+'North Carolina'!J44+'North Dakota'!J44+Ohio!J44+Oklahoma!J44+Oregon!J44+Pennsylvania!J44+'Puerto Rico'!J44+'Rhode Island'!J44+'South Carolina'!J44+'South Dakota '!J44+Tennessee!J44+Texas!J44+Utah!J44+Vermont!J44+Virginia!J44+Washington!J44+'West Virginia'!J44+Wisconsin!J44+Wyoming!J44</f>
        <v>15208973</v>
      </c>
      <c r="K44" s="3">
        <f t="shared" si="6"/>
        <v>9251627006</v>
      </c>
      <c r="L44" s="3">
        <f t="shared" si="7"/>
        <v>107508470</v>
      </c>
      <c r="M44" s="3">
        <f t="shared" si="8"/>
        <v>38120175</v>
      </c>
      <c r="N44" s="3">
        <f t="shared" si="9"/>
        <v>9397255651</v>
      </c>
      <c r="P44" s="1">
        <v>43</v>
      </c>
    </row>
    <row r="45" spans="1:17" x14ac:dyDescent="0.15">
      <c r="A45" s="1">
        <v>2013</v>
      </c>
      <c r="B45" s="3">
        <f>+Alabama!B45+Alaska!B45+Arizona!B45+Arkansas!B45+California!B45+Colorado!B45+Connecticut!B45+Delaware!B45+'District of Columbia'!B45+Florida!B45+Georgia!B45+Hawaii!B45+Idaho!B45+Illinois!B45+Indiana!B45+Iowa!B45+Kansas!B45+Kentucky!B45+Louisiana!B45+Maine!B45+Maryland!B45+Massachusettes!B45+Michigan!B45+Minnesota!B45+Mississippi!B45+Missouri!B45+Montana!B45+Nebraska!B45+Nevada!B45+'New Hampshire'!B45+'New Jersey'!B45+'New Mexico'!B45+'New York'!B45+'North Carolina'!B45+'North Dakota'!B45+Ohio!B45+Oklahoma!B45+Oregon!B45+Pennsylvania!B45+'Puerto Rico'!B45+'Rhode Island'!B45+'South Carolina'!B45+'South Dakota '!B45+Tennessee!B45+Texas!B45+Utah!B45+Vermont!B45+Virginia!B45+Washington!B45+'West Virginia'!B45+Wisconsin!B45+Wyoming!B45</f>
        <v>5960766980</v>
      </c>
      <c r="C45" s="3">
        <f>+Alabama!C45+Alaska!C45+Arizona!C45+Arkansas!C45+California!C45+Colorado!C45+Connecticut!C45+Delaware!C45+'District of Columbia'!C45+Florida!C45+Georgia!C45+Hawaii!C45+Idaho!C45+Illinois!C45+Indiana!C45+Iowa!C45+Kansas!C45+Kentucky!C45+Louisiana!C45+Maine!C45+Maryland!C45+Massachusettes!C45+Michigan!C45+Minnesota!C45+Mississippi!C45+Missouri!C45+Montana!C45+Nebraska!C45+Nevada!C45+'New Hampshire'!C45+'New Jersey'!C45+'New Mexico'!C45+'New York'!C45+'North Carolina'!C45+'North Dakota'!C45+Ohio!C45+Oklahoma!C45+Oregon!C45+Pennsylvania!C45+'Puerto Rico'!C45+'Rhode Island'!C45+'South Carolina'!C45+'South Dakota '!C45+Tennessee!C45+Texas!C45+Utah!C45+Vermont!C45+Virginia!C45+Washington!C45+'West Virginia'!C45+Wisconsin!C45+Wyoming!C45</f>
        <v>7281687</v>
      </c>
      <c r="D45" s="3">
        <f>+Alabama!D45+Alaska!D45+Arizona!D45+Arkansas!D45+California!D45+Colorado!D45+Connecticut!D45+Delaware!D45+'District of Columbia'!D45+Florida!D45+Georgia!D45+Hawaii!D45+Idaho!D45+Illinois!D45+Indiana!D45+Iowa!D45+Kansas!D45+Kentucky!D45+Louisiana!D45+Maine!D45+Maryland!D45+Massachusettes!D45+Michigan!D45+Minnesota!D45+Mississippi!D45+Missouri!D45+Montana!D45+Nebraska!D45+Nevada!D45+'New Hampshire'!D45+'New Jersey'!D45+'New Mexico'!D45+'New York'!D45+'North Carolina'!D45+'North Dakota'!D45+Ohio!D45+Oklahoma!D45+Oregon!D45+Pennsylvania!D45+'Puerto Rico'!D45+'Rhode Island'!D45+'South Carolina'!D45+'South Dakota '!D45+Tennessee!D45+Texas!D45+Utah!D45+Vermont!D45+Virginia!D45+Washington!D45+'West Virginia'!D45+Wisconsin!D45+Wyoming!D45</f>
        <v>0</v>
      </c>
      <c r="E45" s="3">
        <f>+Alabama!E45+Alaska!E45+Arizona!E45+Arkansas!E45+California!E45+Colorado!E45+Connecticut!E45+Delaware!E45+'District of Columbia'!E45+Florida!E45+Georgia!E45+Hawaii!E45+Idaho!E45+Illinois!E45+Indiana!E45+Iowa!E45+Kansas!E45+Kentucky!E45+Louisiana!E45+Maine!E45+Maryland!E45+Massachusettes!E45+Michigan!E45+Minnesota!E45+Mississippi!E45+Missouri!E45+Montana!E45+Nebraska!E45+Nevada!E45+'New Hampshire'!E45+'New Jersey'!E45+'New Mexico'!E45+'New York'!E45+'North Carolina'!E45+'North Dakota'!E45+Ohio!E45+Oklahoma!E45+Oregon!E45+Pennsylvania!E45+'Puerto Rico'!E45+'Rhode Island'!E45+'South Carolina'!E45+'South Dakota '!E45+Tennessee!E45+Texas!E45+Utah!E45+Vermont!E45+Virginia!E45+Washington!E45+'West Virginia'!E45+Wisconsin!E45+Wyoming!E45</f>
        <v>1095621667</v>
      </c>
      <c r="F45" s="3">
        <f>+Alabama!F45+Alaska!F45+Arizona!F45+Arkansas!F45+California!F45+Colorado!F45+Connecticut!F45+Delaware!F45+'District of Columbia'!F45+Florida!F45+Georgia!F45+Hawaii!F45+Idaho!F45+Illinois!F45+Indiana!F45+Iowa!F45+Kansas!F45+Kentucky!F45+Louisiana!F45+Maine!F45+Maryland!F45+Massachusettes!F45+Michigan!F45+Minnesota!F45+Mississippi!F45+Missouri!F45+Montana!F45+Nebraska!F45+Nevada!F45+'New Hampshire'!F45+'New Jersey'!F45+'New Mexico'!F45+'New York'!F45+'North Carolina'!F45+'North Dakota'!F45+Ohio!F45+Oklahoma!F45+Oregon!F45+Pennsylvania!F45+'Puerto Rico'!F45+'Rhode Island'!F45+'South Carolina'!F45+'South Dakota '!F45+Tennessee!F45+Texas!F45+Utah!F45+Vermont!F45+Virginia!F45+Washington!F45+'West Virginia'!F45+Wisconsin!F45+Wyoming!F45</f>
        <v>75385398</v>
      </c>
      <c r="G45" s="3">
        <f>+Alabama!G45+Alaska!G45+Arizona!G45+Arkansas!G45+California!G45+Colorado!G45+Connecticut!G45+Delaware!G45+'District of Columbia'!G45+Florida!G45+Georgia!G45+Hawaii!G45+Idaho!G45+Illinois!G45+Indiana!G45+Iowa!G45+Kansas!G45+Kentucky!G45+Louisiana!G45+Maine!G45+Maryland!G45+Massachusettes!G45+Michigan!G45+Minnesota!G45+Mississippi!G45+Missouri!G45+Montana!G45+Nebraska!G45+Nevada!G45+'New Hampshire'!G45+'New Jersey'!G45+'New Mexico'!G45+'New York'!G45+'North Carolina'!G45+'North Dakota'!G45+Ohio!G45+Oklahoma!G45+Oregon!G45+Pennsylvania!G45+'Puerto Rico'!G45+'Rhode Island'!G45+'South Carolina'!G45+'South Dakota '!G45+Tennessee!G45+Texas!G45+Utah!G45+Vermont!G45+Virginia!G45+Washington!G45+'West Virginia'!G45+Wisconsin!G45+Wyoming!G45</f>
        <v>61718470</v>
      </c>
      <c r="H45" s="3">
        <f>+Alabama!H45+Alaska!H45+Arizona!H45+Arkansas!H45+California!H45+Colorado!H45+Connecticut!H45+Delaware!H45+'District of Columbia'!H45+Florida!H45+Georgia!H45+Hawaii!H45+Idaho!H45+Illinois!H45+Indiana!H45+Iowa!H45+Kansas!H45+Kentucky!H45+Louisiana!H45+Maine!H45+Maryland!H45+Massachusettes!H45+Michigan!H45+Minnesota!H45+Mississippi!H45+Missouri!H45+Montana!H45+Nebraska!H45+Nevada!H45+'New Hampshire'!H45+'New Jersey'!H45+'New Mexico'!H45+'New York'!H45+'North Carolina'!H45+'North Dakota'!H45+Ohio!H45+Oklahoma!H45+Oregon!H45+Pennsylvania!H45+'Puerto Rico'!H45+'Rhode Island'!H45+'South Carolina'!H45+'South Dakota '!H45+Tennessee!H45+Texas!H45+Utah!H45+Vermont!H45+Virginia!H45+Washington!H45+'West Virginia'!H45+Wisconsin!H45+Wyoming!H45</f>
        <v>2335523405</v>
      </c>
      <c r="I45" s="3">
        <f>+Alabama!I45+Alaska!I45+Arizona!I45+Arkansas!I45+California!I45+Colorado!I45+Connecticut!I45+Delaware!I45+'District of Columbia'!I45+Florida!I45+Georgia!I45+Hawaii!I45+Idaho!I45+Illinois!I45+Indiana!I45+Iowa!I45+Kansas!I45+Kentucky!I45+Louisiana!I45+Maine!I45+Maryland!I45+Massachusettes!I45+Michigan!I45+Minnesota!I45+Mississippi!I45+Missouri!I45+Montana!I45+Nebraska!I45+Nevada!I45+'New Hampshire'!I45+'New Jersey'!I45+'New Mexico'!I45+'New York'!I45+'North Carolina'!I45+'North Dakota'!I45+Ohio!I45+Oklahoma!I45+Oregon!I45+Pennsylvania!I45+'Puerto Rico'!I45+'Rhode Island'!I45+'South Carolina'!I45+'South Dakota '!I45+Tennessee!I45+Texas!I45+Utah!I45+Vermont!I45+Virginia!I45+Washington!I45+'West Virginia'!I45+Wisconsin!I45+Wyoming!I45</f>
        <v>29091474</v>
      </c>
      <c r="J45" s="3">
        <f>+Alabama!J45+Alaska!J45+Arizona!J45+Arkansas!J45+California!J45+Colorado!J45+Connecticut!J45+Delaware!J45+'District of Columbia'!J45+Florida!J45+Georgia!J45+Hawaii!J45+Idaho!J45+Illinois!J45+Indiana!J45+Iowa!J45+Kansas!J45+Kentucky!J45+Louisiana!J45+Maine!J45+Maryland!J45+Massachusettes!J45+Michigan!J45+Minnesota!J45+Mississippi!J45+Missouri!J45+Montana!J45+Nebraska!J45+Nevada!J45+'New Hampshire'!J45+'New Jersey'!J45+'New Mexico'!J45+'New York'!J45+'North Carolina'!J45+'North Dakota'!J45+Ohio!J45+Oklahoma!J45+Oregon!J45+Pennsylvania!J45+'Puerto Rico'!J45+'Rhode Island'!J45+'South Carolina'!J45+'South Dakota '!J45+Tennessee!J45+Texas!J45+Utah!J45+Vermont!J45+Virginia!J45+Washington!J45+'West Virginia'!J45+Wisconsin!J45+Wyoming!J45</f>
        <v>25987460</v>
      </c>
      <c r="K45" s="3">
        <f t="shared" si="6"/>
        <v>9391912052</v>
      </c>
      <c r="L45" s="3">
        <f t="shared" si="7"/>
        <v>111758559</v>
      </c>
      <c r="M45" s="3">
        <f t="shared" si="8"/>
        <v>87705930</v>
      </c>
      <c r="N45" s="3">
        <f t="shared" si="9"/>
        <v>9591376541</v>
      </c>
      <c r="P45" s="1">
        <v>44</v>
      </c>
    </row>
    <row r="46" spans="1:17" x14ac:dyDescent="0.15">
      <c r="A46" s="1">
        <v>2014</v>
      </c>
      <c r="B46" s="3">
        <f>+Alabama!B46+Alaska!B46+Arizona!B46+Arkansas!B46+California!B46+Colorado!B46+Connecticut!B46+Delaware!B46+'District of Columbia'!B46+Florida!B46+Georgia!B46+Hawaii!B46+Idaho!B46+Illinois!B46+Indiana!B46+Iowa!B46+Kansas!B46+Kentucky!B46+Louisiana!B46+Maine!B46+Maryland!B46+Massachusettes!B46+Michigan!B46+Minnesota!B46+Mississippi!B46+Missouri!B46+Montana!B46+Nebraska!B46+Nevada!B46+'New Hampshire'!B46+'New Jersey'!B46+'New Mexico'!B46+'New York'!B46+'North Carolina'!B46+'North Dakota'!B46+Ohio!B46+Oklahoma!B46+Oregon!B46+Pennsylvania!B46+'Puerto Rico'!B46+'Rhode Island'!B46+'South Carolina'!B46+'South Dakota '!B46+Tennessee!B46+Texas!B46+Utah!B46+Vermont!B46+Virginia!B46+Washington!B46+'West Virginia'!B46+Wisconsin!B46+Wyoming!B46</f>
        <v>6184365293</v>
      </c>
      <c r="C46" s="3">
        <f>+Alabama!C46+Alaska!C46+Arizona!C46+Arkansas!C46+California!C46+Colorado!C46+Connecticut!C46+Delaware!C46+'District of Columbia'!C46+Florida!C46+Georgia!C46+Hawaii!C46+Idaho!C46+Illinois!C46+Indiana!C46+Iowa!C46+Kansas!C46+Kentucky!C46+Louisiana!C46+Maine!C46+Maryland!C46+Massachusettes!C46+Michigan!C46+Minnesota!C46+Mississippi!C46+Missouri!C46+Montana!C46+Nebraska!C46+Nevada!C46+'New Hampshire'!C46+'New Jersey'!C46+'New Mexico'!C46+'New York'!C46+'North Carolina'!C46+'North Dakota'!C46+Ohio!C46+Oklahoma!C46+Oregon!C46+Pennsylvania!C46+'Puerto Rico'!C46+'Rhode Island'!C46+'South Carolina'!C46+'South Dakota '!C46+Tennessee!C46+Texas!C46+Utah!C46+Vermont!C46+Virginia!C46+Washington!C46+'West Virginia'!C46+Wisconsin!C46+Wyoming!C46</f>
        <v>1468315</v>
      </c>
      <c r="D46" s="3">
        <f>+Alabama!D46+Alaska!D46+Arizona!D46+Arkansas!D46+California!D46+Colorado!D46+Connecticut!D46+Delaware!D46+'District of Columbia'!D46+Florida!D46+Georgia!D46+Hawaii!D46+Idaho!D46+Illinois!D46+Indiana!D46+Iowa!D46+Kansas!D46+Kentucky!D46+Louisiana!D46+Maine!D46+Maryland!D46+Massachusettes!D46+Michigan!D46+Minnesota!D46+Mississippi!D46+Missouri!D46+Montana!D46+Nebraska!D46+Nevada!D46+'New Hampshire'!D46+'New Jersey'!D46+'New Mexico'!D46+'New York'!D46+'North Carolina'!D46+'North Dakota'!D46+Ohio!D46+Oklahoma!D46+Oregon!D46+Pennsylvania!D46+'Puerto Rico'!D46+'Rhode Island'!D46+'South Carolina'!D46+'South Dakota '!D46+Tennessee!D46+Texas!D46+Utah!D46+Vermont!D46+Virginia!D46+Washington!D46+'West Virginia'!D46+Wisconsin!D46+Wyoming!D46</f>
        <v>0</v>
      </c>
      <c r="E46" s="3">
        <f>+Alabama!E46+Alaska!E46+Arizona!E46+Arkansas!E46+California!E46+Colorado!E46+Connecticut!E46+Delaware!E46+'District of Columbia'!E46+Florida!E46+Georgia!E46+Hawaii!E46+Idaho!E46+Illinois!E46+Indiana!E46+Iowa!E46+Kansas!E46+Kentucky!E46+Louisiana!E46+Maine!E46+Maryland!E46+Massachusettes!E46+Michigan!E46+Minnesota!E46+Mississippi!E46+Missouri!E46+Montana!E46+Nebraska!E46+Nevada!E46+'New Hampshire'!E46+'New Jersey'!E46+'New Mexico'!E46+'New York'!E46+'North Carolina'!E46+'North Dakota'!E46+Ohio!E46+Oklahoma!E46+Oregon!E46+Pennsylvania!E46+'Puerto Rico'!E46+'Rhode Island'!E46+'South Carolina'!E46+'South Dakota '!E46+Tennessee!E46+Texas!E46+Utah!E46+Vermont!E46+Virginia!E46+Washington!E46+'West Virginia'!E46+Wisconsin!E46+Wyoming!E46</f>
        <v>1219382375</v>
      </c>
      <c r="F46" s="3">
        <f>+Alabama!F46+Alaska!F46+Arizona!F46+Arkansas!F46+California!F46+Colorado!F46+Connecticut!F46+Delaware!F46+'District of Columbia'!F46+Florida!F46+Georgia!F46+Hawaii!F46+Idaho!F46+Illinois!F46+Indiana!F46+Iowa!F46+Kansas!F46+Kentucky!F46+Louisiana!F46+Maine!F46+Maryland!F46+Massachusettes!F46+Michigan!F46+Minnesota!F46+Mississippi!F46+Missouri!F46+Montana!F46+Nebraska!F46+Nevada!F46+'New Hampshire'!F46+'New Jersey'!F46+'New Mexico'!F46+'New York'!F46+'North Carolina'!F46+'North Dakota'!F46+Ohio!F46+Oklahoma!F46+Oregon!F46+Pennsylvania!F46+'Puerto Rico'!F46+'Rhode Island'!F46+'South Carolina'!F46+'South Dakota '!F46+Tennessee!F46+Texas!F46+Utah!F46+Vermont!F46+Virginia!F46+Washington!F46+'West Virginia'!F46+Wisconsin!F46+Wyoming!F46</f>
        <v>76423681</v>
      </c>
      <c r="G46" s="3">
        <f>+Alabama!G46+Alaska!G46+Arizona!G46+Arkansas!G46+California!G46+Colorado!G46+Connecticut!G46+Delaware!G46+'District of Columbia'!G46+Florida!G46+Georgia!G46+Hawaii!G46+Idaho!G46+Illinois!G46+Indiana!G46+Iowa!G46+Kansas!G46+Kentucky!G46+Louisiana!G46+Maine!G46+Maryland!G46+Massachusettes!G46+Michigan!G46+Minnesota!G46+Mississippi!G46+Missouri!G46+Montana!G46+Nebraska!G46+Nevada!G46+'New Hampshire'!G46+'New Jersey'!G46+'New Mexico'!G46+'New York'!G46+'North Carolina'!G46+'North Dakota'!G46+Ohio!G46+Oklahoma!G46+Oregon!G46+Pennsylvania!G46+'Puerto Rico'!G46+'Rhode Island'!G46+'South Carolina'!G46+'South Dakota '!G46+Tennessee!G46+Texas!G46+Utah!G46+Vermont!G46+Virginia!G46+Washington!G46+'West Virginia'!G46+Wisconsin!G46+Wyoming!G46</f>
        <v>9633126</v>
      </c>
      <c r="H46" s="3">
        <f>+Alabama!H46+Alaska!H46+Arizona!H46+Arkansas!H46+California!H46+Colorado!H46+Connecticut!H46+Delaware!H46+'District of Columbia'!H46+Florida!H46+Georgia!H46+Hawaii!H46+Idaho!H46+Illinois!H46+Indiana!H46+Iowa!H46+Kansas!H46+Kentucky!H46+Louisiana!H46+Maine!H46+Maryland!H46+Massachusettes!H46+Michigan!H46+Minnesota!H46+Mississippi!H46+Missouri!H46+Montana!H46+Nebraska!H46+Nevada!H46+'New Hampshire'!H46+'New Jersey'!H46+'New Mexico'!H46+'New York'!H46+'North Carolina'!H46+'North Dakota'!H46+Ohio!H46+Oklahoma!H46+Oregon!H46+Pennsylvania!H46+'Puerto Rico'!H46+'Rhode Island'!H46+'South Carolina'!H46+'South Dakota '!H46+Tennessee!H46+Texas!H46+Utah!H46+Vermont!H46+Virginia!H46+Washington!H46+'West Virginia'!H46+Wisconsin!H46+Wyoming!H46</f>
        <v>2396357251</v>
      </c>
      <c r="I46" s="3">
        <f>+Alabama!I46+Alaska!I46+Arizona!I46+Arkansas!I46+California!I46+Colorado!I46+Connecticut!I46+Delaware!I46+'District of Columbia'!I46+Florida!I46+Georgia!I46+Hawaii!I46+Idaho!I46+Illinois!I46+Indiana!I46+Iowa!I46+Kansas!I46+Kentucky!I46+Louisiana!I46+Maine!I46+Maryland!I46+Massachusettes!I46+Michigan!I46+Minnesota!I46+Mississippi!I46+Missouri!I46+Montana!I46+Nebraska!I46+Nevada!I46+'New Hampshire'!I46+'New Jersey'!I46+'New Mexico'!I46+'New York'!I46+'North Carolina'!I46+'North Dakota'!I46+Ohio!I46+Oklahoma!I46+Oregon!I46+Pennsylvania!I46+'Puerto Rico'!I46+'Rhode Island'!I46+'South Carolina'!I46+'South Dakota '!I46+Tennessee!I46+Texas!I46+Utah!I46+Vermont!I46+Virginia!I46+Washington!I46+'West Virginia'!I46+Wisconsin!I46+Wyoming!I46</f>
        <v>32727813</v>
      </c>
      <c r="J46" s="3">
        <f>+Alabama!J46+Alaska!J46+Arizona!J46+Arkansas!J46+California!J46+Colorado!J46+Connecticut!J46+Delaware!J46+'District of Columbia'!J46+Florida!J46+Georgia!J46+Hawaii!J46+Idaho!J46+Illinois!J46+Indiana!J46+Iowa!J46+Kansas!J46+Kentucky!J46+Louisiana!J46+Maine!J46+Maryland!J46+Massachusettes!J46+Michigan!J46+Minnesota!J46+Mississippi!J46+Missouri!J46+Montana!J46+Nebraska!J46+Nevada!J46+'New Hampshire'!J46+'New Jersey'!J46+'New Mexico'!J46+'New York'!J46+'North Carolina'!J46+'North Dakota'!J46+Ohio!J46+Oklahoma!J46+Oregon!J46+Pennsylvania!J46+'Puerto Rico'!J46+'Rhode Island'!J46+'South Carolina'!J46+'South Dakota '!J46+Tennessee!J46+Texas!J46+Utah!J46+Vermont!J46+Virginia!J46+Washington!J46+'West Virginia'!J46+Wisconsin!J46+Wyoming!J46</f>
        <v>17862000</v>
      </c>
      <c r="K46" s="3">
        <f t="shared" si="6"/>
        <v>9800104919</v>
      </c>
      <c r="L46" s="3">
        <f t="shared" si="7"/>
        <v>110619809</v>
      </c>
      <c r="M46" s="3">
        <f t="shared" si="8"/>
        <v>27495126</v>
      </c>
      <c r="N46" s="3">
        <f t="shared" si="9"/>
        <v>9938219854</v>
      </c>
      <c r="P46" s="1">
        <v>45</v>
      </c>
    </row>
    <row r="47" spans="1:17" x14ac:dyDescent="0.15">
      <c r="A47" s="1">
        <v>2015</v>
      </c>
      <c r="B47" s="3">
        <f>+Alabama!B47+Alaska!B47+Arizona!B47+Arkansas!B47+California!B47+Colorado!B47+Connecticut!B47+Delaware!B47+'District of Columbia'!B47+Florida!B47+Georgia!B47+Hawaii!B47+Idaho!B47+Illinois!B47+Indiana!B47+Iowa!B47+Kansas!B47+Kentucky!B47+Louisiana!B47+Maine!B47+Maryland!B47+Massachusettes!B47+Michigan!B47+Minnesota!B47+Mississippi!B47+Missouri!B47+Montana!B47+Nebraska!B47+Nevada!B47+'New Hampshire'!B47+'New Jersey'!B47+'New Mexico'!B47+'New York'!B47+'North Carolina'!B47+'North Dakota'!B47+Ohio!B47+Oklahoma!B47+Oregon!B47+Pennsylvania!B47+'Puerto Rico'!B47+'Rhode Island'!B47+'South Carolina'!B47+'South Dakota '!B47+Tennessee!B47+Texas!B47+Utah!B47+Vermont!B47+Virginia!B47+Washington!B47+'West Virginia'!B47+Wisconsin!B47+Wyoming!B47</f>
        <v>6396948187</v>
      </c>
      <c r="C47" s="3">
        <f>+Alabama!C47+Alaska!C47+Arizona!C47+Arkansas!C47+California!C47+Colorado!C47+Connecticut!C47+Delaware!C47+'District of Columbia'!C47+Florida!C47+Georgia!C47+Hawaii!C47+Idaho!C47+Illinois!C47+Indiana!C47+Iowa!C47+Kansas!C47+Kentucky!C47+Louisiana!C47+Maine!C47+Maryland!C47+Massachusettes!C47+Michigan!C47+Minnesota!C47+Mississippi!C47+Missouri!C47+Montana!C47+Nebraska!C47+Nevada!C47+'New Hampshire'!C47+'New Jersey'!C47+'New Mexico'!C47+'New York'!C47+'North Carolina'!C47+'North Dakota'!C47+Ohio!C47+Oklahoma!C47+Oregon!C47+Pennsylvania!C47+'Puerto Rico'!C47+'Rhode Island'!C47+'South Carolina'!C47+'South Dakota '!C47+Tennessee!C47+Texas!C47+Utah!C47+Vermont!C47+Virginia!C47+Washington!C47+'West Virginia'!C47+Wisconsin!C47+Wyoming!C47</f>
        <v>1503498</v>
      </c>
      <c r="D47" s="3">
        <f>+Alabama!D47+Alaska!D47+Arizona!D47+Arkansas!D47+California!D47+Colorado!D47+Connecticut!D47+Delaware!D47+'District of Columbia'!D47+Florida!D47+Georgia!D47+Hawaii!D47+Idaho!D47+Illinois!D47+Indiana!D47+Iowa!D47+Kansas!D47+Kentucky!D47+Louisiana!D47+Maine!D47+Maryland!D47+Massachusettes!D47+Michigan!D47+Minnesota!D47+Mississippi!D47+Missouri!D47+Montana!D47+Nebraska!D47+Nevada!D47+'New Hampshire'!D47+'New Jersey'!D47+'New Mexico'!D47+'New York'!D47+'North Carolina'!D47+'North Dakota'!D47+Ohio!D47+Oklahoma!D47+Oregon!D47+Pennsylvania!D47+'Puerto Rico'!D47+'Rhode Island'!D47+'South Carolina'!D47+'South Dakota '!D47+Tennessee!D47+Texas!D47+Utah!D47+Vermont!D47+Virginia!D47+Washington!D47+'West Virginia'!D47+Wisconsin!D47+Wyoming!D47</f>
        <v>0</v>
      </c>
      <c r="E47" s="3">
        <f>+Alabama!E47+Alaska!E47+Arizona!E47+Arkansas!E47+California!E47+Colorado!E47+Connecticut!E47+Delaware!E47+'District of Columbia'!E47+Florida!E47+Georgia!E47+Hawaii!E47+Idaho!E47+Illinois!E47+Indiana!E47+Iowa!E47+Kansas!E47+Kentucky!E47+Louisiana!E47+Maine!E47+Maryland!E47+Massachusettes!E47+Michigan!E47+Minnesota!E47+Mississippi!E47+Missouri!E47+Montana!E47+Nebraska!E47+Nevada!E47+'New Hampshire'!E47+'New Jersey'!E47+'New Mexico'!E47+'New York'!E47+'North Carolina'!E47+'North Dakota'!E47+Ohio!E47+Oklahoma!E47+Oregon!E47+Pennsylvania!E47+'Puerto Rico'!E47+'Rhode Island'!E47+'South Carolina'!E47+'South Dakota '!E47+Tennessee!E47+Texas!E47+Utah!E47+Vermont!E47+Virginia!E47+Washington!E47+'West Virginia'!E47+Wisconsin!E47+Wyoming!E47</f>
        <v>1464111807</v>
      </c>
      <c r="F47" s="3">
        <f>+Alabama!F47+Alaska!F47+Arizona!F47+Arkansas!F47+California!F47+Colorado!F47+Connecticut!F47+Delaware!F47+'District of Columbia'!F47+Florida!F47+Georgia!F47+Hawaii!F47+Idaho!F47+Illinois!F47+Indiana!F47+Iowa!F47+Kansas!F47+Kentucky!F47+Louisiana!F47+Maine!F47+Maryland!F47+Massachusettes!F47+Michigan!F47+Minnesota!F47+Mississippi!F47+Missouri!F47+Montana!F47+Nebraska!F47+Nevada!F47+'New Hampshire'!F47+'New Jersey'!F47+'New Mexico'!F47+'New York'!F47+'North Carolina'!F47+'North Dakota'!F47+Ohio!F47+Oklahoma!F47+Oregon!F47+Pennsylvania!F47+'Puerto Rico'!F47+'Rhode Island'!F47+'South Carolina'!F47+'South Dakota '!F47+Tennessee!F47+Texas!F47+Utah!F47+Vermont!F47+Virginia!F47+Washington!F47+'West Virginia'!F47+Wisconsin!F47+Wyoming!F47</f>
        <v>136775343</v>
      </c>
      <c r="G47" s="3">
        <f>+Alabama!G47+Alaska!G47+Arizona!G47+Arkansas!G47+California!G47+Colorado!G47+Connecticut!G47+Delaware!G47+'District of Columbia'!G47+Florida!G47+Georgia!G47+Hawaii!G47+Idaho!G47+Illinois!G47+Indiana!G47+Iowa!G47+Kansas!G47+Kentucky!G47+Louisiana!G47+Maine!G47+Maryland!G47+Massachusettes!G47+Michigan!G47+Minnesota!G47+Mississippi!G47+Missouri!G47+Montana!G47+Nebraska!G47+Nevada!G47+'New Hampshire'!G47+'New Jersey'!G47+'New Mexico'!G47+'New York'!G47+'North Carolina'!G47+'North Dakota'!G47+Ohio!G47+Oklahoma!G47+Oregon!G47+Pennsylvania!G47+'Puerto Rico'!G47+'Rhode Island'!G47+'South Carolina'!G47+'South Dakota '!G47+Tennessee!G47+Texas!G47+Utah!G47+Vermont!G47+Virginia!G47+Washington!G47+'West Virginia'!G47+Wisconsin!G47+Wyoming!G47</f>
        <v>12572523</v>
      </c>
      <c r="H47" s="3">
        <f>+Alabama!H47+Alaska!H47+Arizona!H47+Arkansas!H47+California!H47+Colorado!H47+Connecticut!H47+Delaware!H47+'District of Columbia'!H47+Florida!H47+Georgia!H47+Hawaii!H47+Idaho!H47+Illinois!H47+Indiana!H47+Iowa!H47+Kansas!H47+Kentucky!H47+Louisiana!H47+Maine!H47+Maryland!H47+Massachusettes!H47+Michigan!H47+Minnesota!H47+Mississippi!H47+Missouri!H47+Montana!H47+Nebraska!H47+Nevada!H47+'New Hampshire'!H47+'New Jersey'!H47+'New Mexico'!H47+'New York'!H47+'North Carolina'!H47+'North Dakota'!H47+Ohio!H47+Oklahoma!H47+Oregon!H47+Pennsylvania!H47+'Puerto Rico'!H47+'Rhode Island'!H47+'South Carolina'!H47+'South Dakota '!H47+Tennessee!H47+Texas!H47+Utah!H47+Vermont!H47+Virginia!H47+Washington!H47+'West Virginia'!H47+Wisconsin!H47+Wyoming!H47</f>
        <v>2454512421</v>
      </c>
      <c r="I47" s="3">
        <f>+Alabama!I47+Alaska!I47+Arizona!I47+Arkansas!I47+California!I47+Colorado!I47+Connecticut!I47+Delaware!I47+'District of Columbia'!I47+Florida!I47+Georgia!I47+Hawaii!I47+Idaho!I47+Illinois!I47+Indiana!I47+Iowa!I47+Kansas!I47+Kentucky!I47+Louisiana!I47+Maine!I47+Maryland!I47+Massachusettes!I47+Michigan!I47+Minnesota!I47+Mississippi!I47+Missouri!I47+Montana!I47+Nebraska!I47+Nevada!I47+'New Hampshire'!I47+'New Jersey'!I47+'New Mexico'!I47+'New York'!I47+'North Carolina'!I47+'North Dakota'!I47+Ohio!I47+Oklahoma!I47+Oregon!I47+Pennsylvania!I47+'Puerto Rico'!I47+'Rhode Island'!I47+'South Carolina'!I47+'South Dakota '!I47+Tennessee!I47+Texas!I47+Utah!I47+Vermont!I47+Virginia!I47+Washington!I47+'West Virginia'!I47+Wisconsin!I47+Wyoming!I47</f>
        <v>25383492</v>
      </c>
      <c r="J47" s="3">
        <f>+Alabama!J47+Alaska!J47+Arizona!J47+Arkansas!J47+California!J47+Colorado!J47+Connecticut!J47+Delaware!J47+'District of Columbia'!J47+Florida!J47+Georgia!J47+Hawaii!J47+Idaho!J47+Illinois!J47+Indiana!J47+Iowa!J47+Kansas!J47+Kentucky!J47+Louisiana!J47+Maine!J47+Maryland!J47+Massachusettes!J47+Michigan!J47+Minnesota!J47+Mississippi!J47+Missouri!J47+Montana!J47+Nebraska!J47+Nevada!J47+'New Hampshire'!J47+'New Jersey'!J47+'New Mexico'!J47+'New York'!J47+'North Carolina'!J47+'North Dakota'!J47+Ohio!J47+Oklahoma!J47+Oregon!J47+Pennsylvania!J47+'Puerto Rico'!J47+'Rhode Island'!J47+'South Carolina'!J47+'South Dakota '!J47+Tennessee!J47+Texas!J47+Utah!J47+Vermont!J47+Virginia!J47+Washington!J47+'West Virginia'!J47+Wisconsin!J47+Wyoming!J47</f>
        <v>16122593</v>
      </c>
      <c r="K47" s="3">
        <f t="shared" si="6"/>
        <v>10315572415</v>
      </c>
      <c r="L47" s="3">
        <f t="shared" si="7"/>
        <v>163662333</v>
      </c>
      <c r="M47" s="3">
        <f t="shared" si="8"/>
        <v>28695116</v>
      </c>
      <c r="N47" s="3">
        <f t="shared" si="9"/>
        <v>10507929864</v>
      </c>
      <c r="P47" s="1">
        <v>46</v>
      </c>
    </row>
    <row r="48" spans="1:17" x14ac:dyDescent="0.15">
      <c r="A48" s="1">
        <v>2016</v>
      </c>
      <c r="B48" s="3">
        <f>+Alabama!B48+Alaska!B48+Arizona!B48+Arkansas!B48+California!B48+Colorado!B48+Connecticut!B48+Delaware!B48+'District of Columbia'!B48+Florida!B48+Georgia!B48+Hawaii!B48+Idaho!B48+Illinois!B48+Indiana!B48+Iowa!B48+Kansas!B48+Kentucky!B48+Louisiana!B48+Maine!B48+Maryland!B48+Massachusettes!B48+Michigan!B48+Minnesota!B48+Mississippi!B48+Missouri!B48+Montana!B48+Nebraska!B48+Nevada!B48+'New Hampshire'!B48+'New Jersey'!B48+'New Mexico'!B48+'New York'!B48+'North Carolina'!B48+'North Dakota'!B48+Ohio!B48+Oklahoma!B48+Oregon!B48+Pennsylvania!B48+'Puerto Rico'!B48+'Rhode Island'!B48+'South Carolina'!B48+'South Dakota '!B48+Tennessee!B48+Texas!B48+Utah!B48+Vermont!B48+Virginia!B48+Washington!B48+'West Virginia'!B48+Wisconsin!B48+Wyoming!B48</f>
        <v>6441509970</v>
      </c>
      <c r="C48" s="3">
        <f>+Alabama!C48+Alaska!C48+Arizona!C48+Arkansas!C48+California!C48+Colorado!C48+Connecticut!C48+Delaware!C48+'District of Columbia'!C48+Florida!C48+Georgia!C48+Hawaii!C48+Idaho!C48+Illinois!C48+Indiana!C48+Iowa!C48+Kansas!C48+Kentucky!C48+Louisiana!C48+Maine!C48+Maryland!C48+Massachusettes!C48+Michigan!C48+Minnesota!C48+Mississippi!C48+Missouri!C48+Montana!C48+Nebraska!C48+Nevada!C48+'New Hampshire'!C48+'New Jersey'!C48+'New Mexico'!C48+'New York'!C48+'North Carolina'!C48+'North Dakota'!C48+Ohio!C48+Oklahoma!C48+Oregon!C48+Pennsylvania!C48+'Puerto Rico'!C48+'Rhode Island'!C48+'South Carolina'!C48+'South Dakota '!C48+Tennessee!C48+Texas!C48+Utah!C48+Vermont!C48+Virginia!C48+Washington!C48+'West Virginia'!C48+Wisconsin!C48+Wyoming!C48</f>
        <v>884733</v>
      </c>
      <c r="D48" s="3">
        <f>+Alabama!D48+Alaska!D48+Arizona!D48+Arkansas!D48+California!D48+Colorado!D48+Connecticut!D48+Delaware!D48+'District of Columbia'!D48+Florida!D48+Georgia!D48+Hawaii!D48+Idaho!D48+Illinois!D48+Indiana!D48+Iowa!D48+Kansas!D48+Kentucky!D48+Louisiana!D48+Maine!D48+Maryland!D48+Massachusettes!D48+Michigan!D48+Minnesota!D48+Mississippi!D48+Missouri!D48+Montana!D48+Nebraska!D48+Nevada!D48+'New Hampshire'!D48+'New Jersey'!D48+'New Mexico'!D48+'New York'!D48+'North Carolina'!D48+'North Dakota'!D48+Ohio!D48+Oklahoma!D48+Oregon!D48+Pennsylvania!D48+'Puerto Rico'!D48+'Rhode Island'!D48+'South Carolina'!D48+'South Dakota '!D48+Tennessee!D48+Texas!D48+Utah!D48+Vermont!D48+Virginia!D48+Washington!D48+'West Virginia'!D48+Wisconsin!D48+Wyoming!D48</f>
        <v>0</v>
      </c>
      <c r="E48" s="3">
        <f>+Alabama!E48+Alaska!E48+Arizona!E48+Arkansas!E48+California!E48+Colorado!E48+Connecticut!E48+Delaware!E48+'District of Columbia'!E48+Florida!E48+Georgia!E48+Hawaii!E48+Idaho!E48+Illinois!E48+Indiana!E48+Iowa!E48+Kansas!E48+Kentucky!E48+Louisiana!E48+Maine!E48+Maryland!E48+Massachusettes!E48+Michigan!E48+Minnesota!E48+Mississippi!E48+Missouri!E48+Montana!E48+Nebraska!E48+Nevada!E48+'New Hampshire'!E48+'New Jersey'!E48+'New Mexico'!E48+'New York'!E48+'North Carolina'!E48+'North Dakota'!E48+Ohio!E48+Oklahoma!E48+Oregon!E48+Pennsylvania!E48+'Puerto Rico'!E48+'Rhode Island'!E48+'South Carolina'!E48+'South Dakota '!E48+Tennessee!E48+Texas!E48+Utah!E48+Vermont!E48+Virginia!E48+Washington!E48+'West Virginia'!E48+Wisconsin!E48+Wyoming!E48</f>
        <v>1543683404</v>
      </c>
      <c r="F48" s="3">
        <f>+Alabama!F48+Alaska!F48+Arizona!F48+Arkansas!F48+California!F48+Colorado!F48+Connecticut!F48+Delaware!F48+'District of Columbia'!F48+Florida!F48+Georgia!F48+Hawaii!F48+Idaho!F48+Illinois!F48+Indiana!F48+Iowa!F48+Kansas!F48+Kentucky!F48+Louisiana!F48+Maine!F48+Maryland!F48+Massachusettes!F48+Michigan!F48+Minnesota!F48+Mississippi!F48+Missouri!F48+Montana!F48+Nebraska!F48+Nevada!F48+'New Hampshire'!F48+'New Jersey'!F48+'New Mexico'!F48+'New York'!F48+'North Carolina'!F48+'North Dakota'!F48+Ohio!F48+Oklahoma!F48+Oregon!F48+Pennsylvania!F48+'Puerto Rico'!F48+'Rhode Island'!F48+'South Carolina'!F48+'South Dakota '!F48+Tennessee!F48+Texas!F48+Utah!F48+Vermont!F48+Virginia!F48+Washington!F48+'West Virginia'!F48+Wisconsin!F48+Wyoming!F48</f>
        <v>149384089</v>
      </c>
      <c r="G48" s="3">
        <f>+Alabama!G48+Alaska!G48+Arizona!G48+Arkansas!G48+California!G48+Colorado!G48+Connecticut!G48+Delaware!G48+'District of Columbia'!G48+Florida!G48+Georgia!G48+Hawaii!G48+Idaho!G48+Illinois!G48+Indiana!G48+Iowa!G48+Kansas!G48+Kentucky!G48+Louisiana!G48+Maine!G48+Maryland!G48+Massachusettes!G48+Michigan!G48+Minnesota!G48+Mississippi!G48+Missouri!G48+Montana!G48+Nebraska!G48+Nevada!G48+'New Hampshire'!G48+'New Jersey'!G48+'New Mexico'!G48+'New York'!G48+'North Carolina'!G48+'North Dakota'!G48+Ohio!G48+Oklahoma!G48+Oregon!G48+Pennsylvania!G48+'Puerto Rico'!G48+'Rhode Island'!G48+'South Carolina'!G48+'South Dakota '!G48+Tennessee!G48+Texas!G48+Utah!G48+Vermont!G48+Virginia!G48+Washington!G48+'West Virginia'!G48+Wisconsin!G48+Wyoming!G48</f>
        <v>26577785</v>
      </c>
      <c r="H48" s="3">
        <f>+Alabama!H48+Alaska!H48+Arizona!H48+Arkansas!H48+California!H48+Colorado!H48+Connecticut!H48+Delaware!H48+'District of Columbia'!H48+Florida!H48+Georgia!H48+Hawaii!H48+Idaho!H48+Illinois!H48+Indiana!H48+Iowa!H48+Kansas!H48+Kentucky!H48+Louisiana!H48+Maine!H48+Maryland!H48+Massachusettes!H48+Michigan!H48+Minnesota!H48+Mississippi!H48+Missouri!H48+Montana!H48+Nebraska!H48+Nevada!H48+'New Hampshire'!H48+'New Jersey'!H48+'New Mexico'!H48+'New York'!H48+'North Carolina'!H48+'North Dakota'!H48+Ohio!H48+Oklahoma!H48+Oregon!H48+Pennsylvania!H48+'Puerto Rico'!H48+'Rhode Island'!H48+'South Carolina'!H48+'South Dakota '!H48+Tennessee!H48+Texas!H48+Utah!H48+Vermont!H48+Virginia!H48+Washington!H48+'West Virginia'!H48+Wisconsin!H48+Wyoming!H48</f>
        <v>2522762921</v>
      </c>
      <c r="I48" s="3">
        <f>+Alabama!I48+Alaska!I48+Arizona!I48+Arkansas!I48+California!I48+Colorado!I48+Connecticut!I48+Delaware!I48+'District of Columbia'!I48+Florida!I48+Georgia!I48+Hawaii!I48+Idaho!I48+Illinois!I48+Indiana!I48+Iowa!I48+Kansas!I48+Kentucky!I48+Louisiana!I48+Maine!I48+Maryland!I48+Massachusettes!I48+Michigan!I48+Minnesota!I48+Mississippi!I48+Missouri!I48+Montana!I48+Nebraska!I48+Nevada!I48+'New Hampshire'!I48+'New Jersey'!I48+'New Mexico'!I48+'New York'!I48+'North Carolina'!I48+'North Dakota'!I48+Ohio!I48+Oklahoma!I48+Oregon!I48+Pennsylvania!I48+'Puerto Rico'!I48+'Rhode Island'!I48+'South Carolina'!I48+'South Dakota '!I48+Tennessee!I48+Texas!I48+Utah!I48+Vermont!I48+Virginia!I48+Washington!I48+'West Virginia'!I48+Wisconsin!I48+Wyoming!I48</f>
        <v>36529694</v>
      </c>
      <c r="J48" s="3">
        <f>+Alabama!J48+Alaska!J48+Arizona!J48+Arkansas!J48+California!J48+Colorado!J48+Connecticut!J48+Delaware!J48+'District of Columbia'!J48+Florida!J48+Georgia!J48+Hawaii!J48+Idaho!J48+Illinois!J48+Indiana!J48+Iowa!J48+Kansas!J48+Kentucky!J48+Louisiana!J48+Maine!J48+Maryland!J48+Massachusettes!J48+Michigan!J48+Minnesota!J48+Mississippi!J48+Missouri!J48+Montana!J48+Nebraska!J48+Nevada!J48+'New Hampshire'!J48+'New Jersey'!J48+'New Mexico'!J48+'New York'!J48+'North Carolina'!J48+'North Dakota'!J48+Ohio!J48+Oklahoma!J48+Oregon!J48+Pennsylvania!J48+'Puerto Rico'!J48+'Rhode Island'!J48+'South Carolina'!J48+'South Dakota '!J48+Tennessee!J48+Texas!J48+Utah!J48+Vermont!J48+Virginia!J48+Washington!J48+'West Virginia'!J48+Wisconsin!J48+Wyoming!J48</f>
        <v>17012705</v>
      </c>
      <c r="K48" s="3">
        <f t="shared" si="6"/>
        <v>10507956295</v>
      </c>
      <c r="L48" s="3">
        <f t="shared" si="7"/>
        <v>186798516</v>
      </c>
      <c r="M48" s="3">
        <f t="shared" si="8"/>
        <v>43590490</v>
      </c>
      <c r="N48" s="3">
        <f t="shared" si="9"/>
        <v>10738345301</v>
      </c>
      <c r="P48" s="1">
        <v>47</v>
      </c>
    </row>
    <row r="49" spans="2:14" x14ac:dyDescent="0.15">
      <c r="B49" s="3"/>
      <c r="C49" s="3"/>
      <c r="D49" s="3"/>
      <c r="E49" s="3"/>
      <c r="F49" s="3"/>
      <c r="G49" s="3"/>
      <c r="H49" s="3"/>
      <c r="I49" s="3"/>
      <c r="J49" s="3"/>
      <c r="K49" s="3"/>
      <c r="L49" s="3"/>
      <c r="M49" s="3"/>
      <c r="N49" s="3"/>
    </row>
    <row r="50" spans="2:14" x14ac:dyDescent="0.15">
      <c r="B50" s="3"/>
      <c r="C50" s="3"/>
      <c r="D50" s="3"/>
      <c r="E50" s="3"/>
      <c r="F50" s="3"/>
      <c r="G50" s="3"/>
      <c r="H50" s="3"/>
      <c r="I50" s="3"/>
      <c r="J50" s="3"/>
      <c r="K50" s="3"/>
      <c r="L50" s="3"/>
      <c r="M50" s="3"/>
      <c r="N50" s="3"/>
    </row>
    <row r="52" spans="2:14" x14ac:dyDescent="0.15">
      <c r="D52" s="9"/>
      <c r="E52" s="6"/>
      <c r="F52" s="10"/>
      <c r="H52" s="9"/>
      <c r="I52" s="6"/>
      <c r="J52" s="10"/>
    </row>
    <row r="53" spans="2:14" x14ac:dyDescent="0.15">
      <c r="D53" s="9"/>
      <c r="E53" s="6"/>
      <c r="F53" s="10"/>
      <c r="H53" s="9"/>
      <c r="I53" s="6"/>
      <c r="J53" s="10"/>
    </row>
    <row r="54" spans="2:14" x14ac:dyDescent="0.15">
      <c r="E54" s="6"/>
      <c r="I54" s="6"/>
    </row>
  </sheetData>
  <phoneticPr fontId="0" type="noConversion"/>
  <pageMargins left="0.75" right="0.75" top="1" bottom="1" header="0.5" footer="0.5"/>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5"/>
  <sheetViews>
    <sheetView workbookViewId="0"/>
  </sheetViews>
  <sheetFormatPr defaultRowHeight="12.75" x14ac:dyDescent="0.2"/>
  <cols>
    <col min="1" max="1" width="5.375" customWidth="1"/>
    <col min="2" max="2" width="78.625" customWidth="1"/>
  </cols>
  <sheetData>
    <row r="3" spans="2:9" ht="63.75" x14ac:dyDescent="0.2">
      <c r="B3" s="5" t="s">
        <v>39</v>
      </c>
      <c r="C3" s="4"/>
      <c r="D3" s="4"/>
      <c r="E3" s="4"/>
      <c r="F3" s="4"/>
      <c r="G3" s="4"/>
      <c r="H3" s="4"/>
      <c r="I3" s="4"/>
    </row>
    <row r="4" spans="2:9" ht="38.25" x14ac:dyDescent="0.2">
      <c r="B4" s="5" t="s">
        <v>51</v>
      </c>
      <c r="C4" s="4"/>
      <c r="D4" s="4"/>
      <c r="E4" s="4"/>
      <c r="F4" s="4"/>
      <c r="G4" s="4"/>
      <c r="H4" s="4"/>
      <c r="I4" s="4"/>
    </row>
    <row r="5" spans="2:9" x14ac:dyDescent="0.2">
      <c r="B5" s="5" t="s">
        <v>251</v>
      </c>
      <c r="C5" s="4"/>
      <c r="D5" s="4"/>
      <c r="E5" s="4"/>
      <c r="F5" s="4"/>
      <c r="G5" s="4"/>
      <c r="H5" s="4"/>
      <c r="I5" s="4"/>
    </row>
    <row r="6" spans="2:9" ht="38.25" x14ac:dyDescent="0.2">
      <c r="B6" s="5" t="s">
        <v>77</v>
      </c>
      <c r="C6" s="4"/>
      <c r="D6" s="4"/>
      <c r="E6" s="4"/>
      <c r="F6" s="4"/>
      <c r="G6" s="4"/>
      <c r="H6" s="4"/>
      <c r="I6" s="4"/>
    </row>
    <row r="7" spans="2:9" ht="63.75" x14ac:dyDescent="0.2">
      <c r="B7" s="5" t="s">
        <v>98</v>
      </c>
      <c r="C7" s="4"/>
      <c r="D7" s="4"/>
      <c r="E7" s="4"/>
      <c r="F7" s="4"/>
      <c r="G7" s="4"/>
      <c r="H7" s="4"/>
      <c r="I7" s="4"/>
    </row>
    <row r="8" spans="2:9" ht="51" x14ac:dyDescent="0.2">
      <c r="B8" s="5" t="s">
        <v>123</v>
      </c>
    </row>
    <row r="9" spans="2:9" x14ac:dyDescent="0.2">
      <c r="B9" s="5" t="s">
        <v>124</v>
      </c>
    </row>
    <row r="10" spans="2:9" ht="51" x14ac:dyDescent="0.2">
      <c r="B10" s="5" t="s">
        <v>130</v>
      </c>
    </row>
    <row r="11" spans="2:9" ht="38.25" x14ac:dyDescent="0.2">
      <c r="B11" s="5" t="s">
        <v>142</v>
      </c>
    </row>
    <row r="12" spans="2:9" ht="89.25" x14ac:dyDescent="0.2">
      <c r="B12" s="5" t="s">
        <v>206</v>
      </c>
    </row>
    <row r="13" spans="2:9" ht="38.25" x14ac:dyDescent="0.2">
      <c r="B13" s="5" t="s">
        <v>250</v>
      </c>
    </row>
    <row r="14" spans="2:9" ht="38.25" x14ac:dyDescent="0.2">
      <c r="B14" s="5" t="s">
        <v>346</v>
      </c>
    </row>
    <row r="15" spans="2:9" x14ac:dyDescent="0.2">
      <c r="B15" s="11"/>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 width="10.625" style="1"/>
    <col min="2" max="2" width="11.125" style="1" customWidth="1"/>
    <col min="3" max="10" width="10.625" style="1"/>
    <col min="11" max="11" width="10.875" style="1" customWidth="1"/>
    <col min="12" max="13" width="10.625" style="1"/>
    <col min="14" max="14" width="12.5" style="1" customWidth="1"/>
    <col min="15" max="16384" width="10.625" style="1"/>
  </cols>
  <sheetData>
    <row r="1" spans="1:15" x14ac:dyDescent="0.15">
      <c r="A1" s="1" t="s">
        <v>15</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5875104</v>
      </c>
      <c r="C6" s="3">
        <v>0</v>
      </c>
      <c r="D6" s="3">
        <v>0</v>
      </c>
      <c r="E6" s="3">
        <v>0</v>
      </c>
      <c r="F6" s="3">
        <v>0</v>
      </c>
      <c r="G6" s="3">
        <v>0</v>
      </c>
      <c r="H6" s="3">
        <v>0</v>
      </c>
      <c r="I6" s="3">
        <v>0</v>
      </c>
      <c r="J6" s="3">
        <v>0</v>
      </c>
      <c r="K6" s="3">
        <f>+B6+E6+H6</f>
        <v>5875104</v>
      </c>
      <c r="L6" s="3">
        <f>+C6+F6+I6</f>
        <v>0</v>
      </c>
      <c r="M6" s="3">
        <f>+D6+G6+J6</f>
        <v>0</v>
      </c>
      <c r="N6" s="3">
        <f>+M6+L6+K6</f>
        <v>5875104</v>
      </c>
      <c r="O6" s="1" t="s">
        <v>87</v>
      </c>
    </row>
    <row r="7" spans="1:15" x14ac:dyDescent="0.15">
      <c r="A7" s="1">
        <v>1975</v>
      </c>
      <c r="B7" s="3">
        <v>6992000</v>
      </c>
      <c r="C7" s="3">
        <v>0</v>
      </c>
      <c r="D7" s="3">
        <v>0</v>
      </c>
      <c r="E7" s="3">
        <v>0</v>
      </c>
      <c r="F7" s="3">
        <v>0</v>
      </c>
      <c r="G7" s="3">
        <v>0</v>
      </c>
      <c r="H7" s="3">
        <v>0</v>
      </c>
      <c r="I7" s="3">
        <v>0</v>
      </c>
      <c r="J7" s="3">
        <v>0</v>
      </c>
      <c r="K7" s="3">
        <f t="shared" ref="K7:K35" si="0">+B7+E7+H7</f>
        <v>6992000</v>
      </c>
      <c r="L7" s="3">
        <f t="shared" ref="L7:L35" si="1">+C7+F7+I7</f>
        <v>0</v>
      </c>
      <c r="M7" s="3">
        <f t="shared" ref="M7:M35" si="2">+D7+G7+J7</f>
        <v>0</v>
      </c>
      <c r="N7" s="3">
        <f t="shared" ref="N7:N35" si="3">+M7+L7+K7</f>
        <v>6992000</v>
      </c>
      <c r="O7" s="1" t="s">
        <v>88</v>
      </c>
    </row>
    <row r="8" spans="1:15" x14ac:dyDescent="0.15">
      <c r="A8" s="1">
        <v>1976</v>
      </c>
      <c r="B8" s="3">
        <v>7531000</v>
      </c>
      <c r="C8" s="3">
        <v>0</v>
      </c>
      <c r="D8" s="3">
        <v>0</v>
      </c>
      <c r="E8" s="3">
        <v>0</v>
      </c>
      <c r="F8" s="3">
        <v>0</v>
      </c>
      <c r="G8" s="3">
        <v>0</v>
      </c>
      <c r="H8" s="3">
        <v>0</v>
      </c>
      <c r="I8" s="3">
        <v>0</v>
      </c>
      <c r="J8" s="3">
        <v>0</v>
      </c>
      <c r="K8" s="3">
        <f t="shared" si="0"/>
        <v>7531000</v>
      </c>
      <c r="L8" s="3">
        <f t="shared" si="1"/>
        <v>0</v>
      </c>
      <c r="M8" s="3">
        <f t="shared" si="2"/>
        <v>0</v>
      </c>
      <c r="N8" s="3">
        <f t="shared" si="3"/>
        <v>7531000</v>
      </c>
    </row>
    <row r="9" spans="1:15" x14ac:dyDescent="0.15">
      <c r="A9" s="1">
        <v>1977</v>
      </c>
      <c r="B9" s="3">
        <v>8521000</v>
      </c>
      <c r="C9" s="3">
        <v>0</v>
      </c>
      <c r="D9" s="3">
        <v>0</v>
      </c>
      <c r="E9" s="3">
        <v>0</v>
      </c>
      <c r="F9" s="3">
        <v>0</v>
      </c>
      <c r="G9" s="3">
        <v>0</v>
      </c>
      <c r="H9" s="3">
        <v>0</v>
      </c>
      <c r="I9" s="3">
        <v>0</v>
      </c>
      <c r="J9" s="3">
        <v>0</v>
      </c>
      <c r="K9" s="3">
        <f t="shared" si="0"/>
        <v>8521000</v>
      </c>
      <c r="L9" s="3">
        <f t="shared" si="1"/>
        <v>0</v>
      </c>
      <c r="M9" s="3">
        <f t="shared" si="2"/>
        <v>0</v>
      </c>
      <c r="N9" s="3">
        <f t="shared" si="3"/>
        <v>8521000</v>
      </c>
    </row>
    <row r="10" spans="1:15" x14ac:dyDescent="0.15">
      <c r="A10" s="1">
        <v>1978</v>
      </c>
      <c r="B10" s="3">
        <v>8245000</v>
      </c>
      <c r="C10" s="3">
        <v>0</v>
      </c>
      <c r="D10" s="3">
        <v>0</v>
      </c>
      <c r="E10" s="3">
        <v>1526000</v>
      </c>
      <c r="F10" s="3">
        <v>0</v>
      </c>
      <c r="G10" s="3">
        <v>0</v>
      </c>
      <c r="H10" s="3">
        <v>0</v>
      </c>
      <c r="I10" s="3">
        <v>0</v>
      </c>
      <c r="J10" s="3">
        <v>0</v>
      </c>
      <c r="K10" s="3">
        <f t="shared" si="0"/>
        <v>9771000</v>
      </c>
      <c r="L10" s="3">
        <f t="shared" si="1"/>
        <v>0</v>
      </c>
      <c r="M10" s="3">
        <f t="shared" si="2"/>
        <v>0</v>
      </c>
      <c r="N10" s="3">
        <f t="shared" si="3"/>
        <v>9771000</v>
      </c>
    </row>
    <row r="11" spans="1:15" x14ac:dyDescent="0.15">
      <c r="A11" s="1">
        <v>1979</v>
      </c>
      <c r="B11" s="3">
        <v>7790000</v>
      </c>
      <c r="C11" s="3">
        <v>0</v>
      </c>
      <c r="D11" s="3">
        <v>0</v>
      </c>
      <c r="E11" s="3">
        <v>1600000</v>
      </c>
      <c r="F11" s="3">
        <v>0</v>
      </c>
      <c r="G11" s="3">
        <v>0</v>
      </c>
      <c r="H11" s="3">
        <v>0</v>
      </c>
      <c r="I11" s="3">
        <v>0</v>
      </c>
      <c r="J11" s="3">
        <v>0</v>
      </c>
      <c r="K11" s="3">
        <f t="shared" si="0"/>
        <v>9390000</v>
      </c>
      <c r="L11" s="3">
        <f t="shared" si="1"/>
        <v>0</v>
      </c>
      <c r="M11" s="3">
        <f t="shared" si="2"/>
        <v>0</v>
      </c>
      <c r="N11" s="3">
        <f t="shared" si="3"/>
        <v>9390000</v>
      </c>
    </row>
    <row r="12" spans="1:15" x14ac:dyDescent="0.15">
      <c r="A12" s="1">
        <v>1980</v>
      </c>
      <c r="B12" s="3">
        <v>7715000</v>
      </c>
      <c r="C12" s="3">
        <v>0</v>
      </c>
      <c r="D12" s="3">
        <v>0</v>
      </c>
      <c r="E12" s="3">
        <v>2040000</v>
      </c>
      <c r="F12" s="3">
        <v>0</v>
      </c>
      <c r="G12" s="3">
        <v>0</v>
      </c>
      <c r="H12" s="3">
        <v>0</v>
      </c>
      <c r="I12" s="3">
        <v>0</v>
      </c>
      <c r="J12" s="3">
        <v>0</v>
      </c>
      <c r="K12" s="3">
        <f t="shared" si="0"/>
        <v>9755000</v>
      </c>
      <c r="L12" s="3">
        <f t="shared" si="1"/>
        <v>0</v>
      </c>
      <c r="M12" s="3">
        <f t="shared" si="2"/>
        <v>0</v>
      </c>
      <c r="N12" s="3">
        <f t="shared" si="3"/>
        <v>9755000</v>
      </c>
    </row>
    <row r="13" spans="1:15" x14ac:dyDescent="0.15">
      <c r="A13" s="1">
        <v>1981</v>
      </c>
      <c r="B13" s="3">
        <v>4230000</v>
      </c>
      <c r="C13" s="3">
        <v>0</v>
      </c>
      <c r="D13" s="3">
        <v>0</v>
      </c>
      <c r="E13" s="3">
        <v>2134000</v>
      </c>
      <c r="F13" s="3">
        <v>0</v>
      </c>
      <c r="G13" s="3">
        <v>0</v>
      </c>
      <c r="H13" s="3">
        <v>0</v>
      </c>
      <c r="I13" s="3">
        <v>0</v>
      </c>
      <c r="J13" s="3">
        <v>0</v>
      </c>
      <c r="K13" s="3">
        <f t="shared" si="0"/>
        <v>6364000</v>
      </c>
      <c r="L13" s="3">
        <f t="shared" si="1"/>
        <v>0</v>
      </c>
      <c r="M13" s="3">
        <f t="shared" si="2"/>
        <v>0</v>
      </c>
      <c r="N13" s="3">
        <f t="shared" si="3"/>
        <v>6364000</v>
      </c>
      <c r="O13" s="1" t="s">
        <v>132</v>
      </c>
    </row>
    <row r="14" spans="1:15" x14ac:dyDescent="0.15">
      <c r="A14" s="1">
        <v>1982</v>
      </c>
      <c r="B14" s="3">
        <v>5149000</v>
      </c>
      <c r="C14" s="3">
        <v>0</v>
      </c>
      <c r="D14" s="3">
        <v>0</v>
      </c>
      <c r="E14" s="3">
        <v>2129000</v>
      </c>
      <c r="F14" s="3">
        <v>587000</v>
      </c>
      <c r="G14" s="3">
        <v>0</v>
      </c>
      <c r="H14" s="3">
        <v>4487000</v>
      </c>
      <c r="I14" s="3">
        <v>510000</v>
      </c>
      <c r="J14" s="3">
        <v>0</v>
      </c>
      <c r="K14" s="3">
        <f t="shared" si="0"/>
        <v>11765000</v>
      </c>
      <c r="L14" s="3">
        <f t="shared" si="1"/>
        <v>1097000</v>
      </c>
      <c r="M14" s="3">
        <f t="shared" si="2"/>
        <v>0</v>
      </c>
      <c r="N14" s="3">
        <f t="shared" si="3"/>
        <v>12862000</v>
      </c>
      <c r="O14" s="1" t="s">
        <v>152</v>
      </c>
    </row>
    <row r="15" spans="1:15" x14ac:dyDescent="0.15">
      <c r="A15" s="1">
        <v>1983</v>
      </c>
      <c r="B15" s="3">
        <v>5377000</v>
      </c>
      <c r="C15" s="3">
        <v>0</v>
      </c>
      <c r="D15" s="3">
        <v>0</v>
      </c>
      <c r="E15" s="3">
        <v>2094000</v>
      </c>
      <c r="F15" s="3">
        <v>608000</v>
      </c>
      <c r="G15" s="3">
        <v>0</v>
      </c>
      <c r="H15" s="3">
        <v>6596000</v>
      </c>
      <c r="I15" s="3">
        <v>939000</v>
      </c>
      <c r="J15" s="3">
        <v>0</v>
      </c>
      <c r="K15" s="3">
        <f t="shared" si="0"/>
        <v>14067000</v>
      </c>
      <c r="L15" s="3">
        <f t="shared" si="1"/>
        <v>1547000</v>
      </c>
      <c r="M15" s="3">
        <f t="shared" si="2"/>
        <v>0</v>
      </c>
      <c r="N15" s="3">
        <f t="shared" si="3"/>
        <v>15614000</v>
      </c>
      <c r="O15" s="1" t="s">
        <v>152</v>
      </c>
    </row>
    <row r="16" spans="1:15" x14ac:dyDescent="0.15">
      <c r="A16" s="1">
        <v>1984</v>
      </c>
      <c r="B16" s="3">
        <v>5716000</v>
      </c>
      <c r="C16" s="3">
        <v>0</v>
      </c>
      <c r="D16" s="3">
        <v>0</v>
      </c>
      <c r="E16" s="3">
        <v>1638000</v>
      </c>
      <c r="F16" s="3">
        <v>647000</v>
      </c>
      <c r="G16" s="3">
        <v>0</v>
      </c>
      <c r="H16" s="3">
        <v>6764000</v>
      </c>
      <c r="I16" s="3">
        <v>0</v>
      </c>
      <c r="J16" s="3">
        <v>0</v>
      </c>
      <c r="K16" s="3">
        <f t="shared" si="0"/>
        <v>14118000</v>
      </c>
      <c r="L16" s="3">
        <f t="shared" si="1"/>
        <v>647000</v>
      </c>
      <c r="M16" s="3">
        <f t="shared" si="2"/>
        <v>0</v>
      </c>
      <c r="N16" s="3">
        <f t="shared" si="3"/>
        <v>14765000</v>
      </c>
    </row>
    <row r="17" spans="1:15" x14ac:dyDescent="0.15">
      <c r="A17" s="1">
        <v>1985</v>
      </c>
      <c r="B17" s="3">
        <v>6666000</v>
      </c>
      <c r="C17" s="3">
        <v>0</v>
      </c>
      <c r="D17" s="3">
        <v>0</v>
      </c>
      <c r="E17" s="3">
        <v>2074000</v>
      </c>
      <c r="F17" s="3">
        <v>754000</v>
      </c>
      <c r="G17" s="3">
        <v>0</v>
      </c>
      <c r="H17" s="3">
        <v>6835000</v>
      </c>
      <c r="I17" s="3">
        <v>985000</v>
      </c>
      <c r="J17" s="3">
        <v>0</v>
      </c>
      <c r="K17" s="3">
        <f t="shared" si="0"/>
        <v>15575000</v>
      </c>
      <c r="L17" s="3">
        <f t="shared" si="1"/>
        <v>1739000</v>
      </c>
      <c r="M17" s="3">
        <f t="shared" si="2"/>
        <v>0</v>
      </c>
      <c r="N17" s="3">
        <f t="shared" si="3"/>
        <v>17314000</v>
      </c>
    </row>
    <row r="18" spans="1:15" x14ac:dyDescent="0.15">
      <c r="A18" s="1">
        <v>1986</v>
      </c>
      <c r="B18" s="3">
        <v>7230000</v>
      </c>
      <c r="C18" s="3">
        <v>0</v>
      </c>
      <c r="D18" s="3">
        <v>0</v>
      </c>
      <c r="E18" s="3">
        <v>2074000</v>
      </c>
      <c r="F18" s="3">
        <v>806000</v>
      </c>
      <c r="G18" s="3">
        <v>0</v>
      </c>
      <c r="H18" s="3">
        <v>7304000</v>
      </c>
      <c r="I18" s="3">
        <v>1047000</v>
      </c>
      <c r="J18" s="3">
        <v>0</v>
      </c>
      <c r="K18" s="3">
        <f t="shared" si="0"/>
        <v>16608000</v>
      </c>
      <c r="L18" s="3">
        <f t="shared" si="1"/>
        <v>1853000</v>
      </c>
      <c r="M18" s="3">
        <f t="shared" si="2"/>
        <v>0</v>
      </c>
      <c r="N18" s="3">
        <f t="shared" si="3"/>
        <v>18461000</v>
      </c>
    </row>
    <row r="19" spans="1:15" x14ac:dyDescent="0.15">
      <c r="A19" s="1">
        <v>1987</v>
      </c>
      <c r="B19" s="3">
        <v>7485000</v>
      </c>
      <c r="C19" s="3">
        <v>0</v>
      </c>
      <c r="D19" s="3">
        <v>0</v>
      </c>
      <c r="E19" s="3">
        <v>1985000</v>
      </c>
      <c r="F19" s="3">
        <v>834000</v>
      </c>
      <c r="G19" s="3">
        <v>0</v>
      </c>
      <c r="H19" s="3">
        <v>7861000</v>
      </c>
      <c r="I19" s="3">
        <v>1096000</v>
      </c>
      <c r="J19" s="3">
        <v>0</v>
      </c>
      <c r="K19" s="3">
        <f t="shared" si="0"/>
        <v>17331000</v>
      </c>
      <c r="L19" s="3">
        <f t="shared" si="1"/>
        <v>1930000</v>
      </c>
      <c r="M19" s="3">
        <f t="shared" si="2"/>
        <v>0</v>
      </c>
      <c r="N19" s="3">
        <f t="shared" si="3"/>
        <v>19261000</v>
      </c>
    </row>
    <row r="20" spans="1:15" x14ac:dyDescent="0.15">
      <c r="A20" s="1">
        <v>1988</v>
      </c>
      <c r="B20" s="3">
        <v>7223000</v>
      </c>
      <c r="C20" s="3">
        <v>0</v>
      </c>
      <c r="D20" s="3">
        <v>0</v>
      </c>
      <c r="E20" s="3">
        <f>2082000+20000</f>
        <v>2102000</v>
      </c>
      <c r="F20" s="3">
        <v>801000</v>
      </c>
      <c r="G20" s="3">
        <v>0</v>
      </c>
      <c r="H20" s="3">
        <v>7378000</v>
      </c>
      <c r="I20" s="3">
        <v>1052000</v>
      </c>
      <c r="J20" s="3">
        <v>0</v>
      </c>
      <c r="K20" s="3">
        <f t="shared" si="0"/>
        <v>16703000</v>
      </c>
      <c r="L20" s="3">
        <f t="shared" si="1"/>
        <v>1853000</v>
      </c>
      <c r="M20" s="3">
        <f t="shared" si="2"/>
        <v>0</v>
      </c>
      <c r="N20" s="3">
        <f t="shared" si="3"/>
        <v>18556000</v>
      </c>
    </row>
    <row r="21" spans="1:15" x14ac:dyDescent="0.15">
      <c r="A21" s="1">
        <v>1989</v>
      </c>
      <c r="B21" s="3">
        <v>7326000</v>
      </c>
      <c r="C21" s="3">
        <v>0</v>
      </c>
      <c r="D21" s="3">
        <v>0</v>
      </c>
      <c r="E21" s="3">
        <f>1994000+25000+50000</f>
        <v>2069000</v>
      </c>
      <c r="F21" s="3">
        <v>827000</v>
      </c>
      <c r="G21" s="3">
        <v>0</v>
      </c>
      <c r="H21" s="3">
        <v>7947000</v>
      </c>
      <c r="I21" s="3">
        <v>1052000</v>
      </c>
      <c r="J21" s="3">
        <v>0</v>
      </c>
      <c r="K21" s="3">
        <f t="shared" si="0"/>
        <v>17342000</v>
      </c>
      <c r="L21" s="3">
        <f t="shared" si="1"/>
        <v>1879000</v>
      </c>
      <c r="M21" s="3">
        <f t="shared" si="2"/>
        <v>0</v>
      </c>
      <c r="N21" s="3">
        <f t="shared" si="3"/>
        <v>19221000</v>
      </c>
    </row>
    <row r="22" spans="1:15" x14ac:dyDescent="0.15">
      <c r="A22" s="1">
        <v>1990</v>
      </c>
      <c r="B22" s="3">
        <v>7637000</v>
      </c>
      <c r="C22" s="3">
        <v>0</v>
      </c>
      <c r="D22" s="3">
        <v>0</v>
      </c>
      <c r="E22" s="3">
        <f>1970000+25000+50000</f>
        <v>2045000</v>
      </c>
      <c r="F22" s="3">
        <v>866000</v>
      </c>
      <c r="G22" s="3">
        <v>0</v>
      </c>
      <c r="H22" s="3">
        <v>8790000</v>
      </c>
      <c r="I22" s="3">
        <v>1104000</v>
      </c>
      <c r="J22" s="3">
        <v>0</v>
      </c>
      <c r="K22" s="3">
        <f t="shared" si="0"/>
        <v>18472000</v>
      </c>
      <c r="L22" s="3">
        <f t="shared" si="1"/>
        <v>1970000</v>
      </c>
      <c r="M22" s="3">
        <f t="shared" si="2"/>
        <v>0</v>
      </c>
      <c r="N22" s="3">
        <f t="shared" si="3"/>
        <v>20442000</v>
      </c>
    </row>
    <row r="23" spans="1:15" x14ac:dyDescent="0.15">
      <c r="A23" s="1">
        <v>1991</v>
      </c>
      <c r="B23" s="3">
        <v>9383000</v>
      </c>
      <c r="C23" s="3">
        <v>0</v>
      </c>
      <c r="D23" s="3">
        <v>0</v>
      </c>
      <c r="E23" s="3">
        <f>1615000+27000+50000</f>
        <v>1692000</v>
      </c>
      <c r="F23" s="3">
        <v>1012000</v>
      </c>
      <c r="G23" s="3">
        <v>0</v>
      </c>
      <c r="H23" s="3">
        <v>9768000</v>
      </c>
      <c r="I23" s="3">
        <v>1143000</v>
      </c>
      <c r="J23" s="3">
        <v>0</v>
      </c>
      <c r="K23" s="3">
        <f t="shared" si="0"/>
        <v>20843000</v>
      </c>
      <c r="L23" s="3">
        <f t="shared" si="1"/>
        <v>2155000</v>
      </c>
      <c r="M23" s="3">
        <f t="shared" si="2"/>
        <v>0</v>
      </c>
      <c r="N23" s="3">
        <f t="shared" si="3"/>
        <v>22998000</v>
      </c>
    </row>
    <row r="24" spans="1:15" x14ac:dyDescent="0.15">
      <c r="A24" s="1">
        <v>1992</v>
      </c>
      <c r="B24" s="3">
        <v>10146000</v>
      </c>
      <c r="C24" s="3">
        <v>0</v>
      </c>
      <c r="D24" s="3">
        <v>0</v>
      </c>
      <c r="E24" s="3">
        <f>1734000+500000+50000</f>
        <v>2284000</v>
      </c>
      <c r="F24" s="3">
        <v>1012000</v>
      </c>
      <c r="G24" s="3">
        <v>0</v>
      </c>
      <c r="H24" s="3">
        <v>9695000</v>
      </c>
      <c r="I24" s="3">
        <v>1143000</v>
      </c>
      <c r="J24" s="3">
        <v>0</v>
      </c>
      <c r="K24" s="3">
        <f t="shared" si="0"/>
        <v>22125000</v>
      </c>
      <c r="L24" s="3">
        <f t="shared" si="1"/>
        <v>2155000</v>
      </c>
      <c r="M24" s="3">
        <f t="shared" si="2"/>
        <v>0</v>
      </c>
      <c r="N24" s="3">
        <f t="shared" si="3"/>
        <v>24280000</v>
      </c>
    </row>
    <row r="25" spans="1:15" x14ac:dyDescent="0.15">
      <c r="A25" s="1">
        <v>1993</v>
      </c>
      <c r="B25" s="3">
        <v>12295000</v>
      </c>
      <c r="C25" s="3">
        <v>0</v>
      </c>
      <c r="D25" s="3">
        <v>0</v>
      </c>
      <c r="E25" s="3">
        <f>1990000+500000+27000</f>
        <v>2517000</v>
      </c>
      <c r="F25" s="3">
        <v>1012000</v>
      </c>
      <c r="G25" s="3">
        <v>0</v>
      </c>
      <c r="H25" s="3">
        <v>8970000</v>
      </c>
      <c r="I25" s="3">
        <v>1143000</v>
      </c>
      <c r="J25" s="3">
        <v>0</v>
      </c>
      <c r="K25" s="3">
        <f t="shared" si="0"/>
        <v>23782000</v>
      </c>
      <c r="L25" s="3">
        <f t="shared" si="1"/>
        <v>2155000</v>
      </c>
      <c r="M25" s="3">
        <f t="shared" si="2"/>
        <v>0</v>
      </c>
      <c r="N25" s="3">
        <f t="shared" si="3"/>
        <v>25937000</v>
      </c>
    </row>
    <row r="26" spans="1:15" x14ac:dyDescent="0.15">
      <c r="A26" s="1">
        <v>1994</v>
      </c>
      <c r="B26" s="3">
        <v>13693000</v>
      </c>
      <c r="C26" s="3">
        <v>0</v>
      </c>
      <c r="D26" s="3">
        <v>0</v>
      </c>
      <c r="E26" s="3">
        <f>2004000+756000+27000</f>
        <v>2787000</v>
      </c>
      <c r="F26" s="3">
        <v>1012000</v>
      </c>
      <c r="G26" s="3">
        <v>0</v>
      </c>
      <c r="H26" s="3">
        <v>11512000</v>
      </c>
      <c r="I26" s="3">
        <v>1143000</v>
      </c>
      <c r="J26" s="3">
        <v>0</v>
      </c>
      <c r="K26" s="3">
        <f t="shared" si="0"/>
        <v>27992000</v>
      </c>
      <c r="L26" s="3">
        <f t="shared" si="1"/>
        <v>2155000</v>
      </c>
      <c r="M26" s="3">
        <f t="shared" si="2"/>
        <v>0</v>
      </c>
      <c r="N26" s="3">
        <f t="shared" si="3"/>
        <v>30147000</v>
      </c>
    </row>
    <row r="27" spans="1:15" x14ac:dyDescent="0.15">
      <c r="A27" s="1">
        <v>1995</v>
      </c>
      <c r="B27" s="3">
        <v>15475248</v>
      </c>
      <c r="C27" s="3">
        <v>0</v>
      </c>
      <c r="D27" s="3">
        <v>0</v>
      </c>
      <c r="E27" s="3">
        <f>18252000-B27</f>
        <v>2776752</v>
      </c>
      <c r="F27" s="3">
        <v>1012000</v>
      </c>
      <c r="G27" s="3">
        <v>0</v>
      </c>
      <c r="H27" s="3">
        <v>12621000</v>
      </c>
      <c r="I27" s="3">
        <v>1143000</v>
      </c>
      <c r="J27" s="3">
        <v>0</v>
      </c>
      <c r="K27" s="3">
        <f t="shared" si="0"/>
        <v>30873000</v>
      </c>
      <c r="L27" s="3">
        <f t="shared" si="1"/>
        <v>2155000</v>
      </c>
      <c r="M27" s="3">
        <f t="shared" si="2"/>
        <v>0</v>
      </c>
      <c r="N27" s="3">
        <f t="shared" si="3"/>
        <v>33028000</v>
      </c>
    </row>
    <row r="28" spans="1:15" x14ac:dyDescent="0.15">
      <c r="A28" s="1">
        <v>1996</v>
      </c>
      <c r="B28" s="3">
        <v>17914738</v>
      </c>
      <c r="C28" s="3">
        <v>0</v>
      </c>
      <c r="D28" s="3">
        <v>0</v>
      </c>
      <c r="E28" s="3">
        <f>21076000-B28</f>
        <v>3161262</v>
      </c>
      <c r="F28" s="3">
        <v>1012000</v>
      </c>
      <c r="G28" s="3">
        <v>0</v>
      </c>
      <c r="H28" s="3">
        <v>15325000</v>
      </c>
      <c r="I28" s="3">
        <v>1143000</v>
      </c>
      <c r="J28" s="3">
        <v>0</v>
      </c>
      <c r="K28" s="3">
        <f t="shared" si="0"/>
        <v>36401000</v>
      </c>
      <c r="L28" s="3">
        <f t="shared" si="1"/>
        <v>2155000</v>
      </c>
      <c r="M28" s="3">
        <f t="shared" si="2"/>
        <v>0</v>
      </c>
      <c r="N28" s="3">
        <f t="shared" si="3"/>
        <v>38556000</v>
      </c>
    </row>
    <row r="29" spans="1:15" x14ac:dyDescent="0.15">
      <c r="A29" s="1">
        <v>1997</v>
      </c>
      <c r="B29" s="3">
        <v>25528670</v>
      </c>
      <c r="C29" s="3">
        <v>0</v>
      </c>
      <c r="D29" s="3">
        <v>0</v>
      </c>
      <c r="E29" s="3">
        <f>28236000-B29</f>
        <v>2707330</v>
      </c>
      <c r="F29" s="3">
        <v>1012000</v>
      </c>
      <c r="G29" s="3">
        <v>0</v>
      </c>
      <c r="H29" s="3">
        <v>11210000</v>
      </c>
      <c r="I29" s="3">
        <v>1143000</v>
      </c>
      <c r="J29" s="3">
        <v>0</v>
      </c>
      <c r="K29" s="3">
        <f t="shared" si="0"/>
        <v>39446000</v>
      </c>
      <c r="L29" s="3">
        <f t="shared" si="1"/>
        <v>2155000</v>
      </c>
      <c r="M29" s="3">
        <f t="shared" si="2"/>
        <v>0</v>
      </c>
      <c r="N29" s="3">
        <f t="shared" si="3"/>
        <v>41601000</v>
      </c>
    </row>
    <row r="30" spans="1:15" x14ac:dyDescent="0.15">
      <c r="A30" s="1">
        <v>1998</v>
      </c>
      <c r="B30" s="3">
        <f>18659726+3292893</f>
        <v>21952619</v>
      </c>
      <c r="C30" s="3">
        <v>0</v>
      </c>
      <c r="D30" s="3">
        <v>0</v>
      </c>
      <c r="E30" s="3">
        <f>31668000-B30</f>
        <v>9715381</v>
      </c>
      <c r="F30" s="3">
        <v>1808000</v>
      </c>
      <c r="G30" s="3">
        <v>0</v>
      </c>
      <c r="H30" s="3">
        <v>10084000</v>
      </c>
      <c r="I30" s="3">
        <v>1375000</v>
      </c>
      <c r="J30" s="3">
        <v>0</v>
      </c>
      <c r="K30" s="3">
        <f t="shared" si="0"/>
        <v>41752000</v>
      </c>
      <c r="L30" s="3">
        <f t="shared" si="1"/>
        <v>3183000</v>
      </c>
      <c r="M30" s="3">
        <f t="shared" si="2"/>
        <v>0</v>
      </c>
      <c r="N30" s="3">
        <f t="shared" si="3"/>
        <v>44935000</v>
      </c>
    </row>
    <row r="31" spans="1:15" x14ac:dyDescent="0.15">
      <c r="A31" s="1">
        <v>1999</v>
      </c>
      <c r="B31" s="3">
        <v>31847344</v>
      </c>
      <c r="C31" s="3">
        <v>0</v>
      </c>
      <c r="D31" s="3">
        <v>0</v>
      </c>
      <c r="E31" s="3">
        <f>41884000-B31</f>
        <v>10036656</v>
      </c>
      <c r="F31" s="3">
        <v>1021000</v>
      </c>
      <c r="G31" s="3">
        <v>0</v>
      </c>
      <c r="H31" s="3">
        <v>12267000</v>
      </c>
      <c r="I31" s="3">
        <v>1150000</v>
      </c>
      <c r="J31" s="3">
        <v>0</v>
      </c>
      <c r="K31" s="3">
        <f t="shared" si="0"/>
        <v>54151000</v>
      </c>
      <c r="L31" s="3">
        <f t="shared" si="1"/>
        <v>2171000</v>
      </c>
      <c r="M31" s="3">
        <f t="shared" si="2"/>
        <v>0</v>
      </c>
      <c r="N31" s="3">
        <f t="shared" si="3"/>
        <v>56322000</v>
      </c>
    </row>
    <row r="32" spans="1:15" x14ac:dyDescent="0.15">
      <c r="A32" s="1">
        <v>2000</v>
      </c>
      <c r="B32" s="3">
        <v>31847344</v>
      </c>
      <c r="C32" s="3">
        <v>0</v>
      </c>
      <c r="D32" s="3">
        <v>0</v>
      </c>
      <c r="E32" s="3">
        <f>41884000-B32</f>
        <v>10036656</v>
      </c>
      <c r="F32" s="3">
        <v>1021000</v>
      </c>
      <c r="G32" s="3">
        <v>0</v>
      </c>
      <c r="H32" s="3">
        <v>12267000</v>
      </c>
      <c r="I32" s="3">
        <v>1150000</v>
      </c>
      <c r="J32" s="3">
        <v>0</v>
      </c>
      <c r="K32" s="3">
        <f t="shared" si="0"/>
        <v>54151000</v>
      </c>
      <c r="L32" s="3">
        <f t="shared" si="1"/>
        <v>2171000</v>
      </c>
      <c r="M32" s="3">
        <f t="shared" si="2"/>
        <v>0</v>
      </c>
      <c r="N32" s="3">
        <f t="shared" si="3"/>
        <v>56322000</v>
      </c>
      <c r="O32" s="1" t="s">
        <v>144</v>
      </c>
    </row>
    <row r="33" spans="1:15" x14ac:dyDescent="0.15">
      <c r="A33" s="1">
        <v>2001</v>
      </c>
      <c r="B33" s="3">
        <v>31847344</v>
      </c>
      <c r="C33" s="3">
        <v>0</v>
      </c>
      <c r="D33" s="3">
        <v>0</v>
      </c>
      <c r="E33" s="3">
        <f>41884000-B33</f>
        <v>10036656</v>
      </c>
      <c r="F33" s="3">
        <v>1021000</v>
      </c>
      <c r="G33" s="3">
        <v>0</v>
      </c>
      <c r="H33" s="3">
        <v>12267000</v>
      </c>
      <c r="I33" s="3">
        <v>1150000</v>
      </c>
      <c r="J33" s="3">
        <v>0</v>
      </c>
      <c r="K33" s="3">
        <f t="shared" si="0"/>
        <v>54151000</v>
      </c>
      <c r="L33" s="3">
        <f t="shared" si="1"/>
        <v>2171000</v>
      </c>
      <c r="M33" s="3">
        <f t="shared" si="2"/>
        <v>0</v>
      </c>
      <c r="N33" s="3">
        <f t="shared" si="3"/>
        <v>56322000</v>
      </c>
      <c r="O33" s="1" t="s">
        <v>144</v>
      </c>
    </row>
    <row r="34" spans="1:15" x14ac:dyDescent="0.15">
      <c r="A34" s="1">
        <v>2002</v>
      </c>
      <c r="B34" s="3">
        <v>38197428</v>
      </c>
      <c r="C34" s="3">
        <v>0</v>
      </c>
      <c r="D34" s="3">
        <v>0</v>
      </c>
      <c r="E34" s="3">
        <f>46700000-B34</f>
        <v>8502572</v>
      </c>
      <c r="F34" s="3">
        <v>2857000</v>
      </c>
      <c r="G34" s="3">
        <v>0</v>
      </c>
      <c r="H34" s="3">
        <v>13313000</v>
      </c>
      <c r="I34" s="3">
        <v>6421000</v>
      </c>
      <c r="J34" s="3">
        <v>0</v>
      </c>
      <c r="K34" s="3">
        <f t="shared" si="0"/>
        <v>60013000</v>
      </c>
      <c r="L34" s="3">
        <f t="shared" si="1"/>
        <v>9278000</v>
      </c>
      <c r="M34" s="3">
        <f t="shared" si="2"/>
        <v>0</v>
      </c>
      <c r="N34" s="3">
        <f t="shared" si="3"/>
        <v>69291000</v>
      </c>
    </row>
    <row r="35" spans="1:15" x14ac:dyDescent="0.15">
      <c r="A35" s="1">
        <v>2003</v>
      </c>
      <c r="B35" s="3">
        <v>40513838</v>
      </c>
      <c r="C35" s="3">
        <v>3054871</v>
      </c>
      <c r="D35" s="3">
        <v>0</v>
      </c>
      <c r="E35" s="3">
        <v>2664480</v>
      </c>
      <c r="F35" s="3">
        <v>4681</v>
      </c>
      <c r="G35" s="3">
        <v>0</v>
      </c>
      <c r="H35" s="3">
        <v>21515356</v>
      </c>
      <c r="I35" s="3">
        <v>1567491</v>
      </c>
      <c r="J35" s="3">
        <v>11491154</v>
      </c>
      <c r="K35" s="3">
        <f t="shared" si="0"/>
        <v>64693674</v>
      </c>
      <c r="L35" s="3">
        <f t="shared" si="1"/>
        <v>4627043</v>
      </c>
      <c r="M35" s="3">
        <f t="shared" si="2"/>
        <v>11491154</v>
      </c>
      <c r="N35" s="3">
        <f t="shared" si="3"/>
        <v>80811871</v>
      </c>
    </row>
    <row r="36" spans="1:15" x14ac:dyDescent="0.15">
      <c r="A36" s="1">
        <v>2004</v>
      </c>
      <c r="B36" s="3">
        <v>37396521</v>
      </c>
      <c r="C36" s="3">
        <v>0</v>
      </c>
      <c r="D36" s="3">
        <v>0</v>
      </c>
      <c r="E36" s="3">
        <v>10437309</v>
      </c>
      <c r="F36" s="3">
        <v>3296713</v>
      </c>
      <c r="G36" s="3">
        <v>0</v>
      </c>
      <c r="H36" s="3">
        <v>12432276</v>
      </c>
      <c r="I36" s="3">
        <v>0</v>
      </c>
      <c r="J36" s="3">
        <v>0</v>
      </c>
      <c r="K36" s="3">
        <v>60266106</v>
      </c>
      <c r="L36" s="3">
        <v>3296713</v>
      </c>
      <c r="M36" s="3">
        <v>0</v>
      </c>
      <c r="N36" s="3">
        <v>63562819</v>
      </c>
      <c r="O36" s="1" t="s">
        <v>259</v>
      </c>
    </row>
    <row r="37" spans="1:15" x14ac:dyDescent="0.15">
      <c r="A37" s="1">
        <v>2005</v>
      </c>
      <c r="B37" s="3">
        <v>35366355</v>
      </c>
      <c r="C37" s="3">
        <v>0</v>
      </c>
      <c r="D37" s="3">
        <v>0</v>
      </c>
      <c r="E37" s="3">
        <v>10365421</v>
      </c>
      <c r="F37" s="3">
        <v>2706090</v>
      </c>
      <c r="G37" s="3">
        <v>223233</v>
      </c>
      <c r="H37" s="3">
        <v>13419284</v>
      </c>
      <c r="I37" s="3">
        <v>3850</v>
      </c>
      <c r="J37" s="3">
        <v>3650</v>
      </c>
      <c r="K37" s="3">
        <v>59151060</v>
      </c>
      <c r="L37" s="3">
        <v>2709940</v>
      </c>
      <c r="M37" s="3">
        <v>226883</v>
      </c>
      <c r="N37" s="3">
        <v>62087883</v>
      </c>
    </row>
    <row r="38" spans="1:15" x14ac:dyDescent="0.15">
      <c r="A38" s="1">
        <v>2006</v>
      </c>
      <c r="B38" s="3">
        <v>41283559</v>
      </c>
      <c r="C38" s="3">
        <v>0</v>
      </c>
      <c r="D38" s="3">
        <v>0</v>
      </c>
      <c r="E38" s="3">
        <v>10656793</v>
      </c>
      <c r="F38" s="3">
        <v>2829276</v>
      </c>
      <c r="G38" s="3">
        <v>346276</v>
      </c>
      <c r="H38" s="3">
        <v>8796874</v>
      </c>
      <c r="I38" s="3">
        <v>0</v>
      </c>
      <c r="J38" s="3">
        <v>0</v>
      </c>
      <c r="K38" s="3">
        <v>60737226</v>
      </c>
      <c r="L38" s="3">
        <v>2829276</v>
      </c>
      <c r="M38" s="3">
        <v>346276</v>
      </c>
      <c r="N38" s="3">
        <v>63912778</v>
      </c>
    </row>
    <row r="39" spans="1:15" x14ac:dyDescent="0.15">
      <c r="A39" s="1">
        <v>2007</v>
      </c>
      <c r="B39" s="3">
        <v>48799944</v>
      </c>
      <c r="C39" s="3">
        <v>0</v>
      </c>
      <c r="D39" s="3">
        <v>0</v>
      </c>
      <c r="E39" s="3">
        <v>9357393</v>
      </c>
      <c r="F39" s="3">
        <v>3379507</v>
      </c>
      <c r="G39" s="3">
        <v>1381902</v>
      </c>
      <c r="H39" s="3">
        <v>9143150</v>
      </c>
      <c r="I39" s="3">
        <v>0</v>
      </c>
      <c r="J39" s="3">
        <v>0</v>
      </c>
      <c r="K39" s="3">
        <v>67300487</v>
      </c>
      <c r="L39" s="3">
        <v>3379507</v>
      </c>
      <c r="M39" s="3">
        <v>1381902</v>
      </c>
      <c r="N39" s="3">
        <v>72061896</v>
      </c>
    </row>
    <row r="40" spans="1:15" x14ac:dyDescent="0.15">
      <c r="A40" s="1">
        <v>2008</v>
      </c>
      <c r="B40" s="3">
        <v>56603860</v>
      </c>
      <c r="C40" s="3">
        <v>0</v>
      </c>
      <c r="D40" s="3">
        <v>0</v>
      </c>
      <c r="E40" s="3">
        <v>9092680</v>
      </c>
      <c r="F40" s="3">
        <v>4740787</v>
      </c>
      <c r="G40" s="3">
        <v>0</v>
      </c>
      <c r="H40" s="3">
        <v>9562181</v>
      </c>
      <c r="I40" s="3">
        <v>0</v>
      </c>
      <c r="J40" s="3">
        <v>0</v>
      </c>
      <c r="K40" s="3">
        <v>75258721</v>
      </c>
      <c r="L40" s="3">
        <v>4740787</v>
      </c>
      <c r="M40" s="3">
        <v>0</v>
      </c>
      <c r="N40" s="3">
        <v>79999508</v>
      </c>
    </row>
    <row r="41" spans="1:15" x14ac:dyDescent="0.15">
      <c r="A41" s="1">
        <v>2009</v>
      </c>
      <c r="B41" s="3">
        <v>64166639</v>
      </c>
      <c r="C41" s="3">
        <v>0</v>
      </c>
      <c r="D41" s="3">
        <v>0</v>
      </c>
      <c r="E41" s="3">
        <v>7880144</v>
      </c>
      <c r="F41" s="3">
        <v>6094997</v>
      </c>
      <c r="G41" s="3">
        <v>0</v>
      </c>
      <c r="H41" s="3">
        <v>10217966</v>
      </c>
      <c r="I41" s="3">
        <v>0</v>
      </c>
      <c r="J41" s="3">
        <v>0</v>
      </c>
      <c r="K41" s="3">
        <v>82264749</v>
      </c>
      <c r="L41" s="3">
        <v>6094997</v>
      </c>
      <c r="M41" s="3">
        <v>0</v>
      </c>
      <c r="N41" s="3">
        <v>88359746</v>
      </c>
    </row>
    <row r="42" spans="1:15" x14ac:dyDescent="0.15">
      <c r="A42" s="1">
        <v>2010</v>
      </c>
      <c r="B42" s="3">
        <v>65965418</v>
      </c>
      <c r="C42" s="3">
        <v>0</v>
      </c>
      <c r="D42" s="3">
        <v>0</v>
      </c>
      <c r="E42" s="3">
        <v>4510822</v>
      </c>
      <c r="F42" s="3">
        <v>6022206</v>
      </c>
      <c r="G42" s="3">
        <v>0</v>
      </c>
      <c r="H42" s="3">
        <v>364922</v>
      </c>
      <c r="I42" s="3">
        <v>0</v>
      </c>
      <c r="J42" s="3">
        <v>0</v>
      </c>
      <c r="K42" s="3">
        <v>70841162</v>
      </c>
      <c r="L42" s="3">
        <v>6022206</v>
      </c>
      <c r="M42" s="3">
        <v>0</v>
      </c>
      <c r="N42" s="3">
        <v>76863368</v>
      </c>
    </row>
    <row r="43" spans="1:15" x14ac:dyDescent="0.15">
      <c r="A43" s="1">
        <v>2011</v>
      </c>
      <c r="B43" s="3">
        <v>67331666</v>
      </c>
      <c r="C43" s="3">
        <v>0</v>
      </c>
      <c r="D43" s="3">
        <v>0</v>
      </c>
      <c r="E43" s="3">
        <v>3273415</v>
      </c>
      <c r="F43" s="3">
        <v>5965148</v>
      </c>
      <c r="G43" s="3">
        <v>0</v>
      </c>
      <c r="H43" s="3">
        <v>364922</v>
      </c>
      <c r="I43" s="3">
        <v>0</v>
      </c>
      <c r="J43" s="3">
        <v>0</v>
      </c>
      <c r="K43" s="3">
        <v>70970003</v>
      </c>
      <c r="L43" s="3">
        <v>5965148</v>
      </c>
      <c r="M43" s="3">
        <v>0</v>
      </c>
      <c r="N43" s="3">
        <v>76935151</v>
      </c>
    </row>
    <row r="44" spans="1:15" x14ac:dyDescent="0.15">
      <c r="A44" s="1">
        <v>2012</v>
      </c>
      <c r="B44" s="3">
        <v>69008955</v>
      </c>
      <c r="C44" s="3">
        <v>0</v>
      </c>
      <c r="D44" s="3">
        <v>0</v>
      </c>
      <c r="E44" s="3">
        <v>91218</v>
      </c>
      <c r="F44" s="3">
        <v>5244331</v>
      </c>
      <c r="G44" s="3">
        <v>0</v>
      </c>
      <c r="H44" s="3">
        <v>364922</v>
      </c>
      <c r="I44" s="3">
        <v>0</v>
      </c>
      <c r="J44" s="3">
        <v>0</v>
      </c>
      <c r="K44" s="3">
        <v>69465095</v>
      </c>
      <c r="L44" s="3">
        <v>5244331</v>
      </c>
      <c r="M44" s="3">
        <v>0</v>
      </c>
      <c r="N44" s="3">
        <v>74709426</v>
      </c>
    </row>
    <row r="45" spans="1:15" x14ac:dyDescent="0.15">
      <c r="A45" s="1">
        <v>2013</v>
      </c>
      <c r="B45" s="3">
        <v>69492716</v>
      </c>
      <c r="C45" s="3">
        <v>0</v>
      </c>
      <c r="D45" s="3">
        <v>0</v>
      </c>
      <c r="E45" s="3">
        <v>0</v>
      </c>
      <c r="F45" s="3">
        <v>5229343</v>
      </c>
      <c r="G45" s="3">
        <v>0</v>
      </c>
      <c r="H45" s="3">
        <v>364922</v>
      </c>
      <c r="I45" s="3">
        <v>0</v>
      </c>
      <c r="J45" s="3">
        <v>0</v>
      </c>
      <c r="K45" s="3">
        <v>69857638</v>
      </c>
      <c r="L45" s="3">
        <v>5229343</v>
      </c>
      <c r="M45" s="3">
        <v>0</v>
      </c>
      <c r="N45" s="3">
        <v>75086981</v>
      </c>
    </row>
    <row r="46" spans="1:15" x14ac:dyDescent="0.15">
      <c r="A46" s="1">
        <v>2014</v>
      </c>
      <c r="B46" s="3">
        <v>73612651</v>
      </c>
      <c r="C46" s="3">
        <v>0</v>
      </c>
      <c r="D46" s="3">
        <v>0</v>
      </c>
      <c r="E46" s="3">
        <v>0</v>
      </c>
      <c r="F46" s="3">
        <v>5552916</v>
      </c>
      <c r="G46" s="3">
        <v>0</v>
      </c>
      <c r="H46" s="3">
        <v>420000</v>
      </c>
      <c r="I46" s="3">
        <v>0</v>
      </c>
      <c r="J46" s="3">
        <v>0</v>
      </c>
      <c r="K46" s="3">
        <v>74032651</v>
      </c>
      <c r="L46" s="3">
        <v>5552916</v>
      </c>
      <c r="M46" s="3">
        <v>0</v>
      </c>
      <c r="N46" s="3">
        <v>79585567</v>
      </c>
    </row>
    <row r="47" spans="1:15" x14ac:dyDescent="0.15">
      <c r="A47" s="1">
        <v>2015</v>
      </c>
      <c r="B47" s="3">
        <v>102246089</v>
      </c>
      <c r="C47" s="3">
        <v>0</v>
      </c>
      <c r="D47" s="3">
        <v>0</v>
      </c>
      <c r="E47" s="3">
        <v>0</v>
      </c>
      <c r="F47" s="3">
        <v>7863676</v>
      </c>
      <c r="G47" s="3">
        <v>0</v>
      </c>
      <c r="H47" s="3">
        <v>672000</v>
      </c>
      <c r="I47" s="3">
        <v>0</v>
      </c>
      <c r="J47" s="3">
        <v>0</v>
      </c>
      <c r="K47" s="3">
        <v>102918089</v>
      </c>
      <c r="L47" s="3">
        <v>7863676</v>
      </c>
      <c r="M47" s="3">
        <v>0</v>
      </c>
      <c r="N47" s="3">
        <v>110781765</v>
      </c>
    </row>
    <row r="48" spans="1:15" x14ac:dyDescent="0.15">
      <c r="A48" s="1">
        <v>2016</v>
      </c>
      <c r="B48" s="3">
        <v>115630654</v>
      </c>
      <c r="C48" s="3">
        <v>0</v>
      </c>
      <c r="D48" s="3">
        <v>0</v>
      </c>
      <c r="E48" s="3">
        <v>157144</v>
      </c>
      <c r="F48" s="3">
        <v>8808391</v>
      </c>
      <c r="G48" s="3">
        <v>0</v>
      </c>
      <c r="H48" s="3">
        <v>5817420</v>
      </c>
      <c r="I48" s="3">
        <v>0</v>
      </c>
      <c r="J48" s="3">
        <v>0</v>
      </c>
      <c r="K48" s="3">
        <v>121605218</v>
      </c>
      <c r="L48" s="3">
        <v>8808391</v>
      </c>
      <c r="M48" s="3">
        <v>0</v>
      </c>
      <c r="N48" s="3">
        <v>130413609</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16</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1419300</v>
      </c>
      <c r="C6" s="3">
        <v>0</v>
      </c>
      <c r="D6" s="3">
        <v>0</v>
      </c>
      <c r="E6" s="3">
        <f>107500+237100</f>
        <v>344600</v>
      </c>
      <c r="F6" s="3">
        <v>0</v>
      </c>
      <c r="G6" s="3">
        <v>0</v>
      </c>
      <c r="H6" s="3">
        <v>0</v>
      </c>
      <c r="I6" s="3">
        <v>0</v>
      </c>
      <c r="J6" s="3">
        <v>0</v>
      </c>
      <c r="K6" s="3">
        <f t="shared" ref="K6:M21" si="0">+B6+E6+H6</f>
        <v>1763900</v>
      </c>
      <c r="L6" s="3">
        <f t="shared" si="0"/>
        <v>0</v>
      </c>
      <c r="M6" s="3">
        <f t="shared" si="0"/>
        <v>0</v>
      </c>
      <c r="N6" s="3">
        <f t="shared" ref="N6:N35" si="1">+M6+L6+K6</f>
        <v>1763900</v>
      </c>
      <c r="O6" s="1" t="s">
        <v>17</v>
      </c>
    </row>
    <row r="7" spans="1:15" x14ac:dyDescent="0.15">
      <c r="A7" s="1">
        <v>1975</v>
      </c>
      <c r="B7" s="3">
        <v>1690000</v>
      </c>
      <c r="C7" s="3">
        <v>0</v>
      </c>
      <c r="D7" s="3">
        <v>0</v>
      </c>
      <c r="E7" s="3">
        <f>268000+310000+282000+2963000</f>
        <v>3823000</v>
      </c>
      <c r="F7" s="3">
        <v>0</v>
      </c>
      <c r="G7" s="3">
        <v>0</v>
      </c>
      <c r="H7" s="3">
        <v>0</v>
      </c>
      <c r="I7" s="3">
        <v>0</v>
      </c>
      <c r="J7" s="3">
        <v>0</v>
      </c>
      <c r="K7" s="3">
        <f t="shared" si="0"/>
        <v>5513000</v>
      </c>
      <c r="L7" s="3">
        <f t="shared" si="0"/>
        <v>0</v>
      </c>
      <c r="M7" s="3">
        <f t="shared" si="0"/>
        <v>0</v>
      </c>
      <c r="N7" s="3">
        <f t="shared" si="1"/>
        <v>5513000</v>
      </c>
    </row>
    <row r="8" spans="1:15" x14ac:dyDescent="0.15">
      <c r="A8" s="1">
        <v>1976</v>
      </c>
      <c r="B8" s="3">
        <v>1755000</v>
      </c>
      <c r="C8" s="3">
        <v>0</v>
      </c>
      <c r="D8" s="3">
        <v>0</v>
      </c>
      <c r="E8" s="3">
        <f>310000+316000+282000+2399000</f>
        <v>3307000</v>
      </c>
      <c r="F8" s="3">
        <v>0</v>
      </c>
      <c r="G8" s="3">
        <v>0</v>
      </c>
      <c r="H8" s="3">
        <v>0</v>
      </c>
      <c r="I8" s="3">
        <v>0</v>
      </c>
      <c r="J8" s="3">
        <v>0</v>
      </c>
      <c r="K8" s="3">
        <f t="shared" si="0"/>
        <v>5062000</v>
      </c>
      <c r="L8" s="3">
        <f t="shared" si="0"/>
        <v>0</v>
      </c>
      <c r="M8" s="3">
        <f t="shared" si="0"/>
        <v>0</v>
      </c>
      <c r="N8" s="3">
        <f t="shared" si="1"/>
        <v>5062000</v>
      </c>
    </row>
    <row r="9" spans="1:15" x14ac:dyDescent="0.15">
      <c r="A9" s="1">
        <v>1977</v>
      </c>
      <c r="B9" s="3">
        <v>1928000</v>
      </c>
      <c r="C9" s="3">
        <v>0</v>
      </c>
      <c r="D9" s="3">
        <v>0</v>
      </c>
      <c r="E9" s="3">
        <f>340000+380000+2853000+260000</f>
        <v>3833000</v>
      </c>
      <c r="F9" s="3">
        <v>0</v>
      </c>
      <c r="G9" s="3">
        <v>0</v>
      </c>
      <c r="H9" s="3">
        <v>0</v>
      </c>
      <c r="I9" s="3">
        <v>0</v>
      </c>
      <c r="J9" s="3">
        <v>0</v>
      </c>
      <c r="K9" s="3">
        <f t="shared" si="0"/>
        <v>5761000</v>
      </c>
      <c r="L9" s="3">
        <f t="shared" si="0"/>
        <v>0</v>
      </c>
      <c r="M9" s="3">
        <f t="shared" si="0"/>
        <v>0</v>
      </c>
      <c r="N9" s="3">
        <f t="shared" si="1"/>
        <v>5761000</v>
      </c>
    </row>
    <row r="10" spans="1:15" x14ac:dyDescent="0.15">
      <c r="A10" s="1">
        <v>1978</v>
      </c>
      <c r="B10" s="3">
        <v>2022000</v>
      </c>
      <c r="C10" s="3">
        <v>0</v>
      </c>
      <c r="D10" s="3">
        <v>0</v>
      </c>
      <c r="E10" s="3">
        <f>899000+280000+3600000</f>
        <v>4779000</v>
      </c>
      <c r="F10" s="3">
        <v>0</v>
      </c>
      <c r="G10" s="3">
        <v>0</v>
      </c>
      <c r="H10" s="3">
        <v>0</v>
      </c>
      <c r="I10" s="3">
        <v>0</v>
      </c>
      <c r="J10" s="3">
        <v>0</v>
      </c>
      <c r="K10" s="3">
        <f t="shared" si="0"/>
        <v>6801000</v>
      </c>
      <c r="L10" s="3">
        <f t="shared" si="0"/>
        <v>0</v>
      </c>
      <c r="M10" s="3">
        <f t="shared" si="0"/>
        <v>0</v>
      </c>
      <c r="N10" s="3">
        <f t="shared" si="1"/>
        <v>6801000</v>
      </c>
    </row>
    <row r="11" spans="1:15" x14ac:dyDescent="0.15">
      <c r="A11" s="1">
        <v>1979</v>
      </c>
      <c r="B11" s="3">
        <v>2462000</v>
      </c>
      <c r="C11" s="3">
        <v>0</v>
      </c>
      <c r="D11" s="3">
        <v>0</v>
      </c>
      <c r="E11" s="3">
        <f>1045000+122000+3975000</f>
        <v>5142000</v>
      </c>
      <c r="F11" s="3">
        <v>0</v>
      </c>
      <c r="G11" s="3">
        <v>0</v>
      </c>
      <c r="H11" s="3">
        <v>0</v>
      </c>
      <c r="I11" s="3">
        <v>0</v>
      </c>
      <c r="J11" s="3">
        <v>0</v>
      </c>
      <c r="K11" s="3">
        <f t="shared" si="0"/>
        <v>7604000</v>
      </c>
      <c r="L11" s="3">
        <f t="shared" si="0"/>
        <v>0</v>
      </c>
      <c r="M11" s="3">
        <f t="shared" si="0"/>
        <v>0</v>
      </c>
      <c r="N11" s="3">
        <f t="shared" si="1"/>
        <v>7604000</v>
      </c>
    </row>
    <row r="12" spans="1:15" x14ac:dyDescent="0.15">
      <c r="A12" s="1">
        <v>1980</v>
      </c>
      <c r="B12" s="3">
        <v>2581000</v>
      </c>
      <c r="C12" s="3">
        <v>0</v>
      </c>
      <c r="D12" s="3">
        <v>0</v>
      </c>
      <c r="E12" s="3">
        <v>4109000</v>
      </c>
      <c r="F12" s="3">
        <v>0</v>
      </c>
      <c r="G12" s="3">
        <v>0</v>
      </c>
      <c r="H12" s="3">
        <v>0</v>
      </c>
      <c r="I12" s="3">
        <v>0</v>
      </c>
      <c r="J12" s="3">
        <v>0</v>
      </c>
      <c r="K12" s="3">
        <f t="shared" si="0"/>
        <v>6690000</v>
      </c>
      <c r="L12" s="3">
        <f t="shared" si="0"/>
        <v>0</v>
      </c>
      <c r="M12" s="3">
        <f t="shared" si="0"/>
        <v>0</v>
      </c>
      <c r="N12" s="3">
        <f t="shared" si="1"/>
        <v>6690000</v>
      </c>
      <c r="O12" s="1" t="s">
        <v>125</v>
      </c>
    </row>
    <row r="13" spans="1:15" x14ac:dyDescent="0.15">
      <c r="A13" s="1">
        <v>1981</v>
      </c>
      <c r="B13" s="3">
        <v>2739000</v>
      </c>
      <c r="C13" s="3">
        <v>0</v>
      </c>
      <c r="D13" s="3">
        <v>0</v>
      </c>
      <c r="E13" s="3">
        <v>4450000</v>
      </c>
      <c r="F13" s="3">
        <v>0</v>
      </c>
      <c r="G13" s="3">
        <v>0</v>
      </c>
      <c r="H13" s="3">
        <v>0</v>
      </c>
      <c r="I13" s="3">
        <v>0</v>
      </c>
      <c r="J13" s="3">
        <v>0</v>
      </c>
      <c r="K13" s="3">
        <f t="shared" si="0"/>
        <v>7189000</v>
      </c>
      <c r="L13" s="3">
        <f t="shared" si="0"/>
        <v>0</v>
      </c>
      <c r="M13" s="3">
        <f t="shared" si="0"/>
        <v>0</v>
      </c>
      <c r="N13" s="3">
        <f t="shared" si="1"/>
        <v>7189000</v>
      </c>
    </row>
    <row r="14" spans="1:15" x14ac:dyDescent="0.15">
      <c r="A14" s="1">
        <v>1982</v>
      </c>
      <c r="B14" s="3">
        <v>2628000</v>
      </c>
      <c r="C14" s="3">
        <v>0</v>
      </c>
      <c r="D14" s="3">
        <v>0</v>
      </c>
      <c r="E14" s="3">
        <f>4400000+1764000</f>
        <v>6164000</v>
      </c>
      <c r="F14" s="3">
        <v>36000</v>
      </c>
      <c r="G14" s="3">
        <v>0</v>
      </c>
      <c r="H14" s="3">
        <v>0</v>
      </c>
      <c r="I14" s="3">
        <v>0</v>
      </c>
      <c r="J14" s="3">
        <v>0</v>
      </c>
      <c r="K14" s="3">
        <f t="shared" si="0"/>
        <v>8792000</v>
      </c>
      <c r="L14" s="3">
        <f t="shared" si="0"/>
        <v>36000</v>
      </c>
      <c r="M14" s="3">
        <f t="shared" si="0"/>
        <v>0</v>
      </c>
      <c r="N14" s="3">
        <f t="shared" si="1"/>
        <v>8828000</v>
      </c>
    </row>
    <row r="15" spans="1:15" x14ac:dyDescent="0.15">
      <c r="A15" s="1">
        <v>1983</v>
      </c>
      <c r="B15" s="3">
        <v>2300000</v>
      </c>
      <c r="C15" s="3">
        <v>0</v>
      </c>
      <c r="D15" s="3">
        <v>0</v>
      </c>
      <c r="E15" s="3">
        <f>560000+4400000+1764000</f>
        <v>6724000</v>
      </c>
      <c r="F15" s="3">
        <v>36000</v>
      </c>
      <c r="G15" s="3">
        <v>0</v>
      </c>
      <c r="H15" s="3">
        <v>0</v>
      </c>
      <c r="I15" s="3">
        <v>0</v>
      </c>
      <c r="J15" s="3">
        <v>0</v>
      </c>
      <c r="K15" s="3">
        <f t="shared" si="0"/>
        <v>9024000</v>
      </c>
      <c r="L15" s="3">
        <f t="shared" si="0"/>
        <v>36000</v>
      </c>
      <c r="M15" s="3">
        <f t="shared" si="0"/>
        <v>0</v>
      </c>
      <c r="N15" s="3">
        <f t="shared" si="1"/>
        <v>9060000</v>
      </c>
      <c r="O15" s="1" t="s">
        <v>143</v>
      </c>
    </row>
    <row r="16" spans="1:15" x14ac:dyDescent="0.15">
      <c r="A16" s="1">
        <v>1984</v>
      </c>
      <c r="B16" s="3">
        <v>2700000</v>
      </c>
      <c r="C16" s="3">
        <v>0</v>
      </c>
      <c r="D16" s="3">
        <v>0</v>
      </c>
      <c r="E16" s="3">
        <f>4850000+1862000</f>
        <v>6712000</v>
      </c>
      <c r="F16" s="3">
        <v>38000</v>
      </c>
      <c r="G16" s="3">
        <v>0</v>
      </c>
      <c r="H16" s="3">
        <v>110000</v>
      </c>
      <c r="I16" s="3">
        <v>0</v>
      </c>
      <c r="J16" s="3">
        <v>0</v>
      </c>
      <c r="K16" s="3">
        <f t="shared" si="0"/>
        <v>9522000</v>
      </c>
      <c r="L16" s="3">
        <f t="shared" si="0"/>
        <v>38000</v>
      </c>
      <c r="M16" s="3">
        <f t="shared" si="0"/>
        <v>0</v>
      </c>
      <c r="N16" s="3">
        <f t="shared" si="1"/>
        <v>9560000</v>
      </c>
      <c r="O16" s="1" t="s">
        <v>162</v>
      </c>
    </row>
    <row r="17" spans="1:15" x14ac:dyDescent="0.15">
      <c r="A17" s="1">
        <v>1985</v>
      </c>
      <c r="B17" s="3">
        <v>2989000</v>
      </c>
      <c r="C17" s="3">
        <v>0</v>
      </c>
      <c r="D17" s="3">
        <v>0</v>
      </c>
      <c r="E17" s="3">
        <f>4987000+1900000</f>
        <v>6887000</v>
      </c>
      <c r="F17" s="3">
        <v>0</v>
      </c>
      <c r="G17" s="3">
        <v>0</v>
      </c>
      <c r="H17" s="3">
        <v>0</v>
      </c>
      <c r="I17" s="3">
        <v>100000</v>
      </c>
      <c r="J17" s="3">
        <v>0</v>
      </c>
      <c r="K17" s="3">
        <f t="shared" si="0"/>
        <v>9876000</v>
      </c>
      <c r="L17" s="3">
        <f t="shared" si="0"/>
        <v>100000</v>
      </c>
      <c r="M17" s="3">
        <f t="shared" si="0"/>
        <v>0</v>
      </c>
      <c r="N17" s="3">
        <f t="shared" si="1"/>
        <v>9976000</v>
      </c>
    </row>
    <row r="18" spans="1:15" x14ac:dyDescent="0.15">
      <c r="A18" s="1">
        <v>1986</v>
      </c>
      <c r="B18" s="3">
        <v>3036000</v>
      </c>
      <c r="C18" s="3">
        <v>0</v>
      </c>
      <c r="D18" s="3">
        <v>0</v>
      </c>
      <c r="E18" s="3">
        <f>6105000+2057000</f>
        <v>8162000</v>
      </c>
      <c r="F18" s="3">
        <v>0</v>
      </c>
      <c r="G18" s="3">
        <v>0</v>
      </c>
      <c r="H18" s="3">
        <v>0</v>
      </c>
      <c r="I18" s="3">
        <v>100000</v>
      </c>
      <c r="J18" s="3">
        <v>0</v>
      </c>
      <c r="K18" s="3">
        <f t="shared" si="0"/>
        <v>11198000</v>
      </c>
      <c r="L18" s="3">
        <f t="shared" si="0"/>
        <v>100000</v>
      </c>
      <c r="M18" s="3">
        <f t="shared" si="0"/>
        <v>0</v>
      </c>
      <c r="N18" s="3">
        <f t="shared" si="1"/>
        <v>11298000</v>
      </c>
    </row>
    <row r="19" spans="1:15" x14ac:dyDescent="0.15">
      <c r="A19" s="1">
        <v>1987</v>
      </c>
      <c r="B19" s="3">
        <v>3525000</v>
      </c>
      <c r="C19" s="3">
        <v>0</v>
      </c>
      <c r="D19" s="3">
        <v>0</v>
      </c>
      <c r="E19" s="3">
        <f>6261000+2242000</f>
        <v>8503000</v>
      </c>
      <c r="F19" s="3">
        <v>0</v>
      </c>
      <c r="G19" s="3">
        <v>0</v>
      </c>
      <c r="H19" s="3">
        <v>0</v>
      </c>
      <c r="I19" s="3">
        <v>200000</v>
      </c>
      <c r="J19" s="3">
        <v>0</v>
      </c>
      <c r="K19" s="3">
        <f t="shared" si="0"/>
        <v>12028000</v>
      </c>
      <c r="L19" s="3">
        <f t="shared" si="0"/>
        <v>200000</v>
      </c>
      <c r="M19" s="3">
        <f t="shared" si="0"/>
        <v>0</v>
      </c>
      <c r="N19" s="3">
        <f t="shared" si="1"/>
        <v>12228000</v>
      </c>
    </row>
    <row r="20" spans="1:15" x14ac:dyDescent="0.15">
      <c r="A20" s="1">
        <v>1988</v>
      </c>
      <c r="B20" s="3">
        <v>3100000</v>
      </c>
      <c r="C20" s="3">
        <v>0</v>
      </c>
      <c r="D20" s="3">
        <v>0</v>
      </c>
      <c r="E20" s="3">
        <f>9737000+3500000</f>
        <v>13237000</v>
      </c>
      <c r="F20" s="3">
        <v>0</v>
      </c>
      <c r="G20" s="3">
        <v>0</v>
      </c>
      <c r="H20" s="3">
        <v>0</v>
      </c>
      <c r="I20" s="3">
        <v>200000</v>
      </c>
      <c r="J20" s="3">
        <v>0</v>
      </c>
      <c r="K20" s="3">
        <f t="shared" si="0"/>
        <v>16337000</v>
      </c>
      <c r="L20" s="3">
        <f t="shared" si="0"/>
        <v>200000</v>
      </c>
      <c r="M20" s="3">
        <f t="shared" si="0"/>
        <v>0</v>
      </c>
      <c r="N20" s="3">
        <f t="shared" si="1"/>
        <v>16537000</v>
      </c>
    </row>
    <row r="21" spans="1:15" x14ac:dyDescent="0.15">
      <c r="A21" s="1">
        <v>1989</v>
      </c>
      <c r="B21" s="3">
        <v>3116000</v>
      </c>
      <c r="C21" s="3">
        <v>0</v>
      </c>
      <c r="D21" s="3">
        <v>0</v>
      </c>
      <c r="E21" s="3">
        <f>12900000+5133000</f>
        <v>18033000</v>
      </c>
      <c r="F21" s="3">
        <v>0</v>
      </c>
      <c r="G21" s="3">
        <v>0</v>
      </c>
      <c r="H21" s="3">
        <v>0</v>
      </c>
      <c r="I21" s="3">
        <v>200000</v>
      </c>
      <c r="J21" s="3">
        <v>0</v>
      </c>
      <c r="K21" s="3">
        <f t="shared" si="0"/>
        <v>21149000</v>
      </c>
      <c r="L21" s="3">
        <f t="shared" si="0"/>
        <v>200000</v>
      </c>
      <c r="M21" s="3">
        <f t="shared" si="0"/>
        <v>0</v>
      </c>
      <c r="N21" s="3">
        <f t="shared" si="1"/>
        <v>21349000</v>
      </c>
    </row>
    <row r="22" spans="1:15" x14ac:dyDescent="0.15">
      <c r="A22" s="1">
        <v>1990</v>
      </c>
      <c r="B22" s="3">
        <v>3061000</v>
      </c>
      <c r="C22" s="3">
        <v>0</v>
      </c>
      <c r="D22" s="3">
        <v>0</v>
      </c>
      <c r="E22" s="3">
        <f>12235000+5633000</f>
        <v>17868000</v>
      </c>
      <c r="F22" s="3">
        <v>0</v>
      </c>
      <c r="G22" s="3">
        <v>0</v>
      </c>
      <c r="H22" s="3">
        <v>0</v>
      </c>
      <c r="I22" s="3">
        <v>200000</v>
      </c>
      <c r="J22" s="3">
        <v>0</v>
      </c>
      <c r="K22" s="3">
        <f t="shared" ref="K22:M35" si="2">+B22+E22+H22</f>
        <v>20929000</v>
      </c>
      <c r="L22" s="3">
        <f t="shared" si="2"/>
        <v>200000</v>
      </c>
      <c r="M22" s="3">
        <f t="shared" si="2"/>
        <v>0</v>
      </c>
      <c r="N22" s="3">
        <f t="shared" si="1"/>
        <v>21129000</v>
      </c>
    </row>
    <row r="23" spans="1:15" x14ac:dyDescent="0.15">
      <c r="A23" s="1">
        <v>1991</v>
      </c>
      <c r="B23" s="3">
        <v>3098000</v>
      </c>
      <c r="C23" s="3">
        <v>0</v>
      </c>
      <c r="D23" s="3">
        <v>0</v>
      </c>
      <c r="E23" s="3">
        <f>12072000+5633000</f>
        <v>17705000</v>
      </c>
      <c r="F23" s="3">
        <v>0</v>
      </c>
      <c r="G23" s="3">
        <v>0</v>
      </c>
      <c r="H23" s="3">
        <v>0</v>
      </c>
      <c r="I23" s="3">
        <v>200000</v>
      </c>
      <c r="J23" s="3">
        <v>0</v>
      </c>
      <c r="K23" s="3">
        <f t="shared" si="2"/>
        <v>20803000</v>
      </c>
      <c r="L23" s="3">
        <f t="shared" si="2"/>
        <v>200000</v>
      </c>
      <c r="M23" s="3">
        <f t="shared" si="2"/>
        <v>0</v>
      </c>
      <c r="N23" s="3">
        <f t="shared" si="1"/>
        <v>21003000</v>
      </c>
    </row>
    <row r="24" spans="1:15" x14ac:dyDescent="0.15">
      <c r="A24" s="1">
        <v>1992</v>
      </c>
      <c r="B24" s="3">
        <v>2779000</v>
      </c>
      <c r="C24" s="3">
        <v>0</v>
      </c>
      <c r="D24" s="3">
        <v>0</v>
      </c>
      <c r="E24" s="3">
        <f>12055000+5633000</f>
        <v>17688000</v>
      </c>
      <c r="F24" s="3">
        <v>0</v>
      </c>
      <c r="G24" s="3">
        <v>0</v>
      </c>
      <c r="H24" s="3">
        <v>0</v>
      </c>
      <c r="I24" s="3">
        <v>200000</v>
      </c>
      <c r="J24" s="3">
        <v>0</v>
      </c>
      <c r="K24" s="3">
        <f t="shared" si="2"/>
        <v>20467000</v>
      </c>
      <c r="L24" s="3">
        <f t="shared" si="2"/>
        <v>200000</v>
      </c>
      <c r="M24" s="3">
        <f t="shared" si="2"/>
        <v>0</v>
      </c>
      <c r="N24" s="3">
        <f t="shared" si="1"/>
        <v>20667000</v>
      </c>
    </row>
    <row r="25" spans="1:15" x14ac:dyDescent="0.15">
      <c r="A25" s="1">
        <v>1993</v>
      </c>
      <c r="B25" s="3">
        <v>3150000</v>
      </c>
      <c r="C25" s="3">
        <v>0</v>
      </c>
      <c r="D25" s="3">
        <v>0</v>
      </c>
      <c r="E25" s="3">
        <f>12055000+5600000</f>
        <v>17655000</v>
      </c>
      <c r="F25" s="3">
        <v>0</v>
      </c>
      <c r="G25" s="3">
        <v>0</v>
      </c>
      <c r="H25" s="3">
        <v>0</v>
      </c>
      <c r="I25" s="3">
        <v>200000</v>
      </c>
      <c r="J25" s="3">
        <v>0</v>
      </c>
      <c r="K25" s="3">
        <f t="shared" si="2"/>
        <v>20805000</v>
      </c>
      <c r="L25" s="3">
        <f t="shared" si="2"/>
        <v>200000</v>
      </c>
      <c r="M25" s="3">
        <f t="shared" si="2"/>
        <v>0</v>
      </c>
      <c r="N25" s="3">
        <f t="shared" si="1"/>
        <v>21005000</v>
      </c>
    </row>
    <row r="26" spans="1:15" x14ac:dyDescent="0.15">
      <c r="A26" s="1">
        <v>1994</v>
      </c>
      <c r="B26" s="3">
        <v>3022000</v>
      </c>
      <c r="C26" s="3">
        <v>0</v>
      </c>
      <c r="D26" s="3">
        <v>0</v>
      </c>
      <c r="E26" s="3">
        <f>12056000+5563000</f>
        <v>17619000</v>
      </c>
      <c r="F26" s="3">
        <v>0</v>
      </c>
      <c r="G26" s="3">
        <v>0</v>
      </c>
      <c r="H26" s="3">
        <v>0</v>
      </c>
      <c r="I26" s="3">
        <v>200000</v>
      </c>
      <c r="J26" s="3">
        <v>0</v>
      </c>
      <c r="K26" s="3">
        <f t="shared" si="2"/>
        <v>20641000</v>
      </c>
      <c r="L26" s="3">
        <f t="shared" si="2"/>
        <v>200000</v>
      </c>
      <c r="M26" s="3">
        <f t="shared" si="2"/>
        <v>0</v>
      </c>
      <c r="N26" s="3">
        <f t="shared" si="1"/>
        <v>20841000</v>
      </c>
    </row>
    <row r="27" spans="1:15" x14ac:dyDescent="0.15">
      <c r="A27" s="1">
        <v>1995</v>
      </c>
      <c r="B27" s="3">
        <v>2910588</v>
      </c>
      <c r="C27" s="3">
        <v>0</v>
      </c>
      <c r="D27" s="3">
        <v>0</v>
      </c>
      <c r="E27" s="3">
        <f>20690000-B27</f>
        <v>17779412</v>
      </c>
      <c r="F27" s="3">
        <v>0</v>
      </c>
      <c r="G27" s="3">
        <v>0</v>
      </c>
      <c r="H27" s="3">
        <v>0</v>
      </c>
      <c r="I27" s="3">
        <v>215000</v>
      </c>
      <c r="J27" s="3">
        <v>0</v>
      </c>
      <c r="K27" s="3">
        <f t="shared" si="2"/>
        <v>20690000</v>
      </c>
      <c r="L27" s="3">
        <f t="shared" si="2"/>
        <v>215000</v>
      </c>
      <c r="M27" s="3">
        <f t="shared" si="2"/>
        <v>0</v>
      </c>
      <c r="N27" s="3">
        <f t="shared" si="1"/>
        <v>20905000</v>
      </c>
    </row>
    <row r="28" spans="1:15" x14ac:dyDescent="0.15">
      <c r="A28" s="1">
        <v>1996</v>
      </c>
      <c r="B28" s="3">
        <v>2753788</v>
      </c>
      <c r="C28" s="3">
        <v>0</v>
      </c>
      <c r="D28" s="3">
        <v>0</v>
      </c>
      <c r="E28" s="3">
        <f>20372000-B28</f>
        <v>17618212</v>
      </c>
      <c r="F28" s="3">
        <v>0</v>
      </c>
      <c r="G28" s="3">
        <v>0</v>
      </c>
      <c r="H28" s="3">
        <v>2000</v>
      </c>
      <c r="I28" s="3">
        <v>40000</v>
      </c>
      <c r="J28" s="3">
        <v>0</v>
      </c>
      <c r="K28" s="3">
        <f t="shared" si="2"/>
        <v>20374000</v>
      </c>
      <c r="L28" s="3">
        <f t="shared" si="2"/>
        <v>40000</v>
      </c>
      <c r="M28" s="3">
        <f t="shared" si="2"/>
        <v>0</v>
      </c>
      <c r="N28" s="3">
        <f t="shared" si="1"/>
        <v>20414000</v>
      </c>
    </row>
    <row r="29" spans="1:15" x14ac:dyDescent="0.15">
      <c r="A29" s="1">
        <v>1997</v>
      </c>
      <c r="B29" s="3">
        <v>2249988</v>
      </c>
      <c r="C29" s="3">
        <v>0</v>
      </c>
      <c r="D29" s="3">
        <v>0</v>
      </c>
      <c r="E29" s="3">
        <f>20297000-B29</f>
        <v>18047012</v>
      </c>
      <c r="F29" s="3">
        <v>0</v>
      </c>
      <c r="G29" s="3">
        <v>0</v>
      </c>
      <c r="H29" s="3">
        <v>2000</v>
      </c>
      <c r="I29" s="3">
        <v>0</v>
      </c>
      <c r="J29" s="3">
        <v>0</v>
      </c>
      <c r="K29" s="3">
        <f t="shared" si="2"/>
        <v>20299000</v>
      </c>
      <c r="L29" s="3">
        <f t="shared" si="2"/>
        <v>0</v>
      </c>
      <c r="M29" s="3">
        <f t="shared" si="2"/>
        <v>0</v>
      </c>
      <c r="N29" s="3">
        <f t="shared" si="1"/>
        <v>20299000</v>
      </c>
    </row>
    <row r="30" spans="1:15" x14ac:dyDescent="0.15">
      <c r="A30" s="1">
        <v>1998</v>
      </c>
      <c r="B30" s="3">
        <f>1535950+1220956+562250</f>
        <v>3319156</v>
      </c>
      <c r="C30" s="3">
        <v>0</v>
      </c>
      <c r="D30" s="3">
        <v>0</v>
      </c>
      <c r="E30" s="3">
        <f>26360000-B30</f>
        <v>23040844</v>
      </c>
      <c r="F30" s="3">
        <v>0</v>
      </c>
      <c r="G30" s="3">
        <v>0</v>
      </c>
      <c r="H30" s="3">
        <v>4000</v>
      </c>
      <c r="I30" s="3">
        <v>0</v>
      </c>
      <c r="J30" s="3">
        <v>0</v>
      </c>
      <c r="K30" s="3">
        <f t="shared" si="2"/>
        <v>26364000</v>
      </c>
      <c r="L30" s="3">
        <f t="shared" si="2"/>
        <v>0</v>
      </c>
      <c r="M30" s="3">
        <f t="shared" si="2"/>
        <v>0</v>
      </c>
      <c r="N30" s="3">
        <f t="shared" si="1"/>
        <v>26364000</v>
      </c>
    </row>
    <row r="31" spans="1:15" x14ac:dyDescent="0.15">
      <c r="A31" s="1">
        <v>1999</v>
      </c>
      <c r="B31" s="3">
        <v>5538836</v>
      </c>
      <c r="C31" s="3">
        <v>0</v>
      </c>
      <c r="D31" s="3">
        <v>0</v>
      </c>
      <c r="E31" s="3">
        <f>33113000-B31</f>
        <v>27574164</v>
      </c>
      <c r="F31" s="3">
        <v>0</v>
      </c>
      <c r="G31" s="3">
        <v>0</v>
      </c>
      <c r="H31" s="3">
        <v>4000</v>
      </c>
      <c r="I31" s="3">
        <v>0</v>
      </c>
      <c r="J31" s="3">
        <v>0</v>
      </c>
      <c r="K31" s="3">
        <f t="shared" si="2"/>
        <v>33117000</v>
      </c>
      <c r="L31" s="3">
        <f t="shared" si="2"/>
        <v>0</v>
      </c>
      <c r="M31" s="3">
        <f t="shared" si="2"/>
        <v>0</v>
      </c>
      <c r="N31" s="3">
        <f t="shared" si="1"/>
        <v>33117000</v>
      </c>
      <c r="O31" s="1" t="s">
        <v>234</v>
      </c>
    </row>
    <row r="32" spans="1:15" x14ac:dyDescent="0.15">
      <c r="A32" s="1">
        <v>2000</v>
      </c>
      <c r="B32" s="3">
        <v>5557784</v>
      </c>
      <c r="C32" s="3">
        <v>0</v>
      </c>
      <c r="D32" s="3">
        <v>0</v>
      </c>
      <c r="E32" s="3">
        <f>37001000-B32</f>
        <v>31443216</v>
      </c>
      <c r="F32" s="3">
        <v>0</v>
      </c>
      <c r="G32" s="3">
        <v>0</v>
      </c>
      <c r="H32" s="3">
        <v>400000</v>
      </c>
      <c r="I32" s="3">
        <v>0</v>
      </c>
      <c r="J32" s="3">
        <v>0</v>
      </c>
      <c r="K32" s="3">
        <f t="shared" si="2"/>
        <v>37401000</v>
      </c>
      <c r="L32" s="3">
        <f t="shared" si="2"/>
        <v>0</v>
      </c>
      <c r="M32" s="3">
        <f t="shared" si="2"/>
        <v>0</v>
      </c>
      <c r="N32" s="3">
        <f t="shared" si="1"/>
        <v>37401000</v>
      </c>
    </row>
    <row r="33" spans="1:15" x14ac:dyDescent="0.15">
      <c r="A33" s="1">
        <v>2001</v>
      </c>
      <c r="B33" s="3">
        <f>2564447+2447881+815960</f>
        <v>5828288</v>
      </c>
      <c r="C33" s="3">
        <v>0</v>
      </c>
      <c r="D33" s="3">
        <v>0</v>
      </c>
      <c r="E33" s="3">
        <f>44364000-B33</f>
        <v>38535712</v>
      </c>
      <c r="F33" s="3">
        <v>0</v>
      </c>
      <c r="G33" s="3">
        <v>0</v>
      </c>
      <c r="H33" s="3">
        <v>399000</v>
      </c>
      <c r="I33" s="3">
        <v>0</v>
      </c>
      <c r="J33" s="3">
        <v>0</v>
      </c>
      <c r="K33" s="3">
        <f t="shared" si="2"/>
        <v>44763000</v>
      </c>
      <c r="L33" s="3">
        <f t="shared" si="2"/>
        <v>0</v>
      </c>
      <c r="M33" s="3">
        <f t="shared" si="2"/>
        <v>0</v>
      </c>
      <c r="N33" s="3">
        <f t="shared" si="1"/>
        <v>44763000</v>
      </c>
    </row>
    <row r="34" spans="1:15" x14ac:dyDescent="0.15">
      <c r="A34" s="1">
        <v>2002</v>
      </c>
      <c r="B34" s="3">
        <v>6192186</v>
      </c>
      <c r="C34" s="3">
        <v>0</v>
      </c>
      <c r="D34" s="3">
        <v>0</v>
      </c>
      <c r="E34" s="3">
        <f>44820000-B34</f>
        <v>38627814</v>
      </c>
      <c r="F34" s="3">
        <v>0</v>
      </c>
      <c r="G34" s="3">
        <v>0</v>
      </c>
      <c r="H34" s="3">
        <v>355000</v>
      </c>
      <c r="I34" s="3">
        <v>0</v>
      </c>
      <c r="J34" s="3">
        <v>0</v>
      </c>
      <c r="K34" s="3">
        <f t="shared" si="2"/>
        <v>45175000</v>
      </c>
      <c r="L34" s="3">
        <f t="shared" si="2"/>
        <v>0</v>
      </c>
      <c r="M34" s="3">
        <f t="shared" si="2"/>
        <v>0</v>
      </c>
      <c r="N34" s="3">
        <f t="shared" si="1"/>
        <v>45175000</v>
      </c>
    </row>
    <row r="35" spans="1:15" x14ac:dyDescent="0.15">
      <c r="A35" s="1">
        <v>2003</v>
      </c>
      <c r="B35" s="3">
        <v>0</v>
      </c>
      <c r="C35" s="3">
        <v>0</v>
      </c>
      <c r="D35" s="3">
        <v>5360530</v>
      </c>
      <c r="E35" s="3">
        <v>15938482</v>
      </c>
      <c r="F35" s="3">
        <v>0</v>
      </c>
      <c r="G35" s="3">
        <v>16338120</v>
      </c>
      <c r="H35" s="3">
        <v>0</v>
      </c>
      <c r="I35" s="3">
        <v>0</v>
      </c>
      <c r="J35" s="3">
        <v>357800</v>
      </c>
      <c r="K35" s="3">
        <f t="shared" si="2"/>
        <v>15938482</v>
      </c>
      <c r="L35" s="3">
        <f t="shared" si="2"/>
        <v>0</v>
      </c>
      <c r="M35" s="3">
        <f t="shared" si="2"/>
        <v>22056450</v>
      </c>
      <c r="N35" s="3">
        <f t="shared" si="1"/>
        <v>37994932</v>
      </c>
      <c r="O35" s="1" t="s">
        <v>260</v>
      </c>
    </row>
    <row r="36" spans="1:15" ht="12.75" x14ac:dyDescent="0.2">
      <c r="A36" s="1">
        <v>2004</v>
      </c>
      <c r="B36" s="3">
        <v>5294517</v>
      </c>
      <c r="C36" s="3">
        <v>0</v>
      </c>
      <c r="D36" s="3">
        <v>0</v>
      </c>
      <c r="E36" s="3">
        <v>31138825</v>
      </c>
      <c r="F36" s="3">
        <v>0</v>
      </c>
      <c r="G36" s="3">
        <v>0</v>
      </c>
      <c r="H36" s="3">
        <v>337500</v>
      </c>
      <c r="I36" s="3">
        <v>0</v>
      </c>
      <c r="J36" s="3">
        <v>2000</v>
      </c>
      <c r="K36" s="3">
        <v>36770842</v>
      </c>
      <c r="L36" s="3">
        <v>0</v>
      </c>
      <c r="M36" s="3">
        <v>2000</v>
      </c>
      <c r="N36" s="3">
        <v>36772842</v>
      </c>
      <c r="O36" s="12"/>
    </row>
    <row r="37" spans="1:15" ht="12.75" x14ac:dyDescent="0.2">
      <c r="A37" s="1">
        <v>2005</v>
      </c>
      <c r="B37" s="3">
        <v>5294500</v>
      </c>
      <c r="C37" s="3">
        <v>0</v>
      </c>
      <c r="D37" s="3">
        <v>0</v>
      </c>
      <c r="E37" s="3">
        <v>31138800</v>
      </c>
      <c r="F37" s="3">
        <v>0</v>
      </c>
      <c r="G37" s="3">
        <v>0</v>
      </c>
      <c r="H37" s="3">
        <v>339500</v>
      </c>
      <c r="I37" s="3">
        <v>0</v>
      </c>
      <c r="J37" s="3">
        <v>0</v>
      </c>
      <c r="K37" s="3">
        <v>36772800</v>
      </c>
      <c r="L37" s="3">
        <v>0</v>
      </c>
      <c r="M37" s="3">
        <v>0</v>
      </c>
      <c r="N37" s="3">
        <v>36772800</v>
      </c>
      <c r="O37" s="12"/>
    </row>
    <row r="38" spans="1:15" ht="12.75" x14ac:dyDescent="0.2">
      <c r="A38" s="1">
        <v>2006</v>
      </c>
      <c r="B38" s="3">
        <v>6857280</v>
      </c>
      <c r="C38" s="3">
        <v>0</v>
      </c>
      <c r="D38" s="3">
        <v>0</v>
      </c>
      <c r="E38" s="3">
        <v>32166168</v>
      </c>
      <c r="F38" s="3">
        <v>14984</v>
      </c>
      <c r="G38" s="3">
        <v>0</v>
      </c>
      <c r="H38" s="3">
        <v>342500</v>
      </c>
      <c r="I38" s="3">
        <v>0</v>
      </c>
      <c r="J38" s="3">
        <v>800</v>
      </c>
      <c r="K38" s="3">
        <v>39365948</v>
      </c>
      <c r="L38" s="3">
        <v>14984</v>
      </c>
      <c r="M38" s="3">
        <v>800</v>
      </c>
      <c r="N38" s="3">
        <v>39381732</v>
      </c>
      <c r="O38" s="12"/>
    </row>
    <row r="39" spans="1:15" ht="12.75" x14ac:dyDescent="0.2">
      <c r="A39" s="1">
        <v>2007</v>
      </c>
      <c r="B39" s="3">
        <v>9257291</v>
      </c>
      <c r="C39" s="3">
        <v>0</v>
      </c>
      <c r="D39" s="3">
        <v>0</v>
      </c>
      <c r="E39" s="3">
        <v>32458303</v>
      </c>
      <c r="F39" s="3">
        <v>0</v>
      </c>
      <c r="G39" s="3">
        <v>0</v>
      </c>
      <c r="H39" s="3">
        <v>1200</v>
      </c>
      <c r="I39" s="3">
        <v>0</v>
      </c>
      <c r="J39" s="3">
        <v>481118</v>
      </c>
      <c r="K39" s="3">
        <v>41716794</v>
      </c>
      <c r="L39" s="3">
        <v>0</v>
      </c>
      <c r="M39" s="3">
        <v>481118</v>
      </c>
      <c r="N39" s="3">
        <v>42197912</v>
      </c>
      <c r="O39" s="12"/>
    </row>
    <row r="40" spans="1:15" ht="12.75" x14ac:dyDescent="0.2">
      <c r="A40" s="1">
        <v>2008</v>
      </c>
      <c r="B40" s="3">
        <v>9923371</v>
      </c>
      <c r="C40" s="3">
        <v>0</v>
      </c>
      <c r="D40" s="3">
        <v>0</v>
      </c>
      <c r="E40" s="3">
        <v>54273698</v>
      </c>
      <c r="F40" s="3">
        <v>0</v>
      </c>
      <c r="G40" s="3">
        <v>0</v>
      </c>
      <c r="H40" s="3">
        <v>277900</v>
      </c>
      <c r="I40" s="3">
        <v>10450</v>
      </c>
      <c r="J40" s="3">
        <v>0</v>
      </c>
      <c r="K40" s="3">
        <v>64474969</v>
      </c>
      <c r="L40" s="3">
        <v>10450</v>
      </c>
      <c r="M40" s="3">
        <v>0</v>
      </c>
      <c r="N40" s="3">
        <v>64485419</v>
      </c>
      <c r="O40" s="12"/>
    </row>
    <row r="41" spans="1:15" ht="12.75" x14ac:dyDescent="0.2">
      <c r="A41" s="1">
        <v>2009</v>
      </c>
      <c r="B41" s="3">
        <v>9590754</v>
      </c>
      <c r="C41" s="3">
        <v>0</v>
      </c>
      <c r="D41" s="3">
        <v>0</v>
      </c>
      <c r="E41" s="3">
        <v>53190316</v>
      </c>
      <c r="F41" s="3">
        <v>454176</v>
      </c>
      <c r="G41" s="3">
        <v>0</v>
      </c>
      <c r="H41" s="3">
        <v>287025</v>
      </c>
      <c r="I41" s="3">
        <v>0</v>
      </c>
      <c r="J41" s="3">
        <v>0</v>
      </c>
      <c r="K41" s="3">
        <v>63068095</v>
      </c>
      <c r="L41" s="3">
        <v>454176</v>
      </c>
      <c r="M41" s="3">
        <v>0</v>
      </c>
      <c r="N41" s="3">
        <v>63522271</v>
      </c>
      <c r="O41" s="12"/>
    </row>
    <row r="42" spans="1:15" x14ac:dyDescent="0.15">
      <c r="A42" s="1">
        <v>2010</v>
      </c>
      <c r="B42" s="3">
        <v>9464359</v>
      </c>
      <c r="C42" s="3">
        <v>0</v>
      </c>
      <c r="D42" s="3">
        <v>0</v>
      </c>
      <c r="E42" s="3">
        <v>53604230</v>
      </c>
      <c r="F42" s="3">
        <v>45660</v>
      </c>
      <c r="G42" s="3">
        <v>0</v>
      </c>
      <c r="H42" s="3">
        <v>276000</v>
      </c>
      <c r="I42" s="3">
        <v>0</v>
      </c>
      <c r="J42" s="3">
        <v>0</v>
      </c>
      <c r="K42" s="3">
        <v>63344589</v>
      </c>
      <c r="L42" s="3">
        <v>45660</v>
      </c>
      <c r="M42" s="3">
        <v>0</v>
      </c>
      <c r="N42" s="3">
        <v>63390249</v>
      </c>
    </row>
    <row r="43" spans="1:15" x14ac:dyDescent="0.15">
      <c r="A43" s="1">
        <v>2011</v>
      </c>
      <c r="B43" s="3">
        <v>9790945</v>
      </c>
      <c r="C43" s="3">
        <v>0</v>
      </c>
      <c r="D43" s="3">
        <v>0</v>
      </c>
      <c r="E43" s="3">
        <v>53550430</v>
      </c>
      <c r="F43" s="3">
        <v>86554</v>
      </c>
      <c r="G43" s="3">
        <v>0</v>
      </c>
      <c r="H43" s="3">
        <v>270000</v>
      </c>
      <c r="I43" s="3">
        <v>0</v>
      </c>
      <c r="J43" s="3">
        <v>0</v>
      </c>
      <c r="K43" s="3">
        <v>63611375</v>
      </c>
      <c r="L43" s="3">
        <v>86554</v>
      </c>
      <c r="M43" s="3">
        <v>0</v>
      </c>
      <c r="N43" s="3">
        <v>63697929</v>
      </c>
    </row>
    <row r="44" spans="1:15" x14ac:dyDescent="0.15">
      <c r="A44" s="1">
        <v>2012</v>
      </c>
      <c r="B44" s="3">
        <v>4321965</v>
      </c>
      <c r="C44" s="3">
        <v>0</v>
      </c>
      <c r="D44" s="3">
        <v>0</v>
      </c>
      <c r="E44" s="3">
        <v>47446736</v>
      </c>
      <c r="F44" s="3">
        <v>442425</v>
      </c>
      <c r="G44" s="3">
        <v>0</v>
      </c>
      <c r="H44" s="3">
        <v>310000</v>
      </c>
      <c r="I44" s="3">
        <v>0</v>
      </c>
      <c r="J44" s="3">
        <v>0</v>
      </c>
      <c r="K44" s="3">
        <v>52078701</v>
      </c>
      <c r="L44" s="3">
        <v>442425</v>
      </c>
      <c r="M44" s="3">
        <v>0</v>
      </c>
      <c r="N44" s="3">
        <v>52521126</v>
      </c>
    </row>
    <row r="45" spans="1:15" x14ac:dyDescent="0.15">
      <c r="A45" s="1">
        <v>2013</v>
      </c>
      <c r="B45" s="3">
        <v>5103004</v>
      </c>
      <c r="C45" s="3">
        <v>0</v>
      </c>
      <c r="D45" s="3">
        <v>0</v>
      </c>
      <c r="E45" s="3">
        <v>16158139</v>
      </c>
      <c r="F45" s="3">
        <v>0</v>
      </c>
      <c r="G45" s="3">
        <v>24225000</v>
      </c>
      <c r="H45" s="3">
        <v>338974</v>
      </c>
      <c r="I45" s="3">
        <v>0</v>
      </c>
      <c r="J45" s="3">
        <v>0</v>
      </c>
      <c r="K45" s="3">
        <v>21600117</v>
      </c>
      <c r="L45" s="3">
        <v>0</v>
      </c>
      <c r="M45" s="3">
        <v>24225000</v>
      </c>
      <c r="N45" s="3">
        <v>45825117</v>
      </c>
      <c r="O45" s="1" t="s">
        <v>262</v>
      </c>
    </row>
    <row r="46" spans="1:15" x14ac:dyDescent="0.15">
      <c r="A46" s="1">
        <v>2014</v>
      </c>
      <c r="B46" s="3">
        <v>33577333</v>
      </c>
      <c r="C46" s="3">
        <v>0</v>
      </c>
      <c r="D46" s="3">
        <v>0</v>
      </c>
      <c r="E46" s="3">
        <v>6227486</v>
      </c>
      <c r="F46" s="3">
        <v>0</v>
      </c>
      <c r="G46" s="3">
        <v>0</v>
      </c>
      <c r="H46" s="3">
        <v>267840</v>
      </c>
      <c r="I46" s="3">
        <v>0</v>
      </c>
      <c r="J46" s="3">
        <v>0</v>
      </c>
      <c r="K46" s="3">
        <v>40072659</v>
      </c>
      <c r="L46" s="3">
        <v>0</v>
      </c>
      <c r="M46" s="3">
        <v>0</v>
      </c>
      <c r="N46" s="3">
        <v>40072659</v>
      </c>
      <c r="O46" s="1" t="s">
        <v>261</v>
      </c>
    </row>
    <row r="47" spans="1:15" x14ac:dyDescent="0.15">
      <c r="A47" s="1">
        <v>2015</v>
      </c>
      <c r="B47" s="3">
        <v>32015660</v>
      </c>
      <c r="C47" s="3">
        <v>0</v>
      </c>
      <c r="D47" s="3">
        <v>0</v>
      </c>
      <c r="E47" s="3">
        <v>8572020</v>
      </c>
      <c r="F47" s="3">
        <v>0</v>
      </c>
      <c r="G47" s="3">
        <v>0</v>
      </c>
      <c r="H47" s="3">
        <v>295000</v>
      </c>
      <c r="I47" s="3">
        <v>0</v>
      </c>
      <c r="J47" s="3">
        <v>0</v>
      </c>
      <c r="K47" s="3">
        <v>40882680</v>
      </c>
      <c r="L47" s="3">
        <v>0</v>
      </c>
      <c r="M47" s="3">
        <v>0</v>
      </c>
      <c r="N47" s="3">
        <v>40882680</v>
      </c>
    </row>
    <row r="48" spans="1:15" x14ac:dyDescent="0.15">
      <c r="A48" s="1">
        <v>2016</v>
      </c>
      <c r="B48" s="3">
        <v>29534587</v>
      </c>
      <c r="C48" s="3">
        <v>0</v>
      </c>
      <c r="D48" s="3">
        <v>0</v>
      </c>
      <c r="E48" s="3">
        <v>11356819</v>
      </c>
      <c r="F48" s="3">
        <v>0</v>
      </c>
      <c r="G48" s="3">
        <v>0</v>
      </c>
      <c r="H48" s="3">
        <v>1138203</v>
      </c>
      <c r="I48" s="3">
        <v>0</v>
      </c>
      <c r="J48" s="3">
        <v>0</v>
      </c>
      <c r="K48" s="3">
        <v>42029609</v>
      </c>
      <c r="L48" s="3">
        <v>0</v>
      </c>
      <c r="M48" s="3">
        <v>0</v>
      </c>
      <c r="N48" s="3">
        <v>42029609</v>
      </c>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18</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72650</v>
      </c>
      <c r="C6" s="3">
        <v>0</v>
      </c>
      <c r="D6" s="3">
        <v>0</v>
      </c>
      <c r="E6" s="3">
        <v>0</v>
      </c>
      <c r="F6" s="3">
        <v>0</v>
      </c>
      <c r="G6" s="3">
        <v>0</v>
      </c>
      <c r="H6" s="3">
        <v>0</v>
      </c>
      <c r="I6" s="3">
        <v>0</v>
      </c>
      <c r="J6" s="3">
        <v>0</v>
      </c>
      <c r="K6" s="3">
        <f>+B6+E6+H6</f>
        <v>72650</v>
      </c>
      <c r="L6" s="3">
        <f>+C6+F6+I6</f>
        <v>0</v>
      </c>
      <c r="M6" s="3">
        <f>+D6+G6+J6</f>
        <v>0</v>
      </c>
      <c r="N6" s="3">
        <f>+M6+L6+K6</f>
        <v>72650</v>
      </c>
      <c r="O6" s="1" t="s">
        <v>21</v>
      </c>
    </row>
    <row r="7" spans="1:15" x14ac:dyDescent="0.15">
      <c r="A7" s="1">
        <v>1975</v>
      </c>
      <c r="B7" s="3">
        <v>138000</v>
      </c>
      <c r="C7" s="3">
        <v>0</v>
      </c>
      <c r="D7" s="3">
        <v>0</v>
      </c>
      <c r="E7" s="3">
        <v>0</v>
      </c>
      <c r="F7" s="3">
        <v>0</v>
      </c>
      <c r="G7" s="3">
        <v>0</v>
      </c>
      <c r="H7" s="3">
        <v>0</v>
      </c>
      <c r="I7" s="3">
        <v>0</v>
      </c>
      <c r="J7" s="3">
        <v>0</v>
      </c>
      <c r="K7" s="3">
        <f t="shared" ref="K7:K35" si="0">+B7+E7+H7</f>
        <v>138000</v>
      </c>
      <c r="L7" s="3">
        <f t="shared" ref="L7:L35" si="1">+C7+F7+I7</f>
        <v>0</v>
      </c>
      <c r="M7" s="3">
        <f t="shared" ref="M7:M35" si="2">+D7+G7+J7</f>
        <v>0</v>
      </c>
      <c r="N7" s="3">
        <f t="shared" ref="N7:N35" si="3">+M7+L7+K7</f>
        <v>138000</v>
      </c>
    </row>
    <row r="8" spans="1:15" x14ac:dyDescent="0.15">
      <c r="A8" s="1">
        <v>1976</v>
      </c>
      <c r="B8" s="3">
        <v>200000</v>
      </c>
      <c r="C8" s="3">
        <v>0</v>
      </c>
      <c r="D8" s="3">
        <v>0</v>
      </c>
      <c r="E8" s="3">
        <v>0</v>
      </c>
      <c r="F8" s="3">
        <v>0</v>
      </c>
      <c r="G8" s="3">
        <v>0</v>
      </c>
      <c r="H8" s="3">
        <v>0</v>
      </c>
      <c r="I8" s="3">
        <v>0</v>
      </c>
      <c r="J8" s="3">
        <v>0</v>
      </c>
      <c r="K8" s="3">
        <f t="shared" si="0"/>
        <v>200000</v>
      </c>
      <c r="L8" s="3">
        <f t="shared" si="1"/>
        <v>0</v>
      </c>
      <c r="M8" s="3">
        <f t="shared" si="2"/>
        <v>0</v>
      </c>
      <c r="N8" s="3">
        <f t="shared" si="3"/>
        <v>200000</v>
      </c>
    </row>
    <row r="9" spans="1:15" x14ac:dyDescent="0.15">
      <c r="A9" s="1">
        <v>1977</v>
      </c>
      <c r="B9" s="3">
        <v>299000</v>
      </c>
      <c r="C9" s="3">
        <v>0</v>
      </c>
      <c r="D9" s="3">
        <v>0</v>
      </c>
      <c r="E9" s="3">
        <v>300000</v>
      </c>
      <c r="F9" s="3">
        <v>0</v>
      </c>
      <c r="G9" s="3">
        <v>0</v>
      </c>
      <c r="H9" s="3">
        <v>0</v>
      </c>
      <c r="I9" s="3">
        <v>0</v>
      </c>
      <c r="J9" s="3">
        <v>0</v>
      </c>
      <c r="K9" s="3">
        <f t="shared" si="0"/>
        <v>599000</v>
      </c>
      <c r="L9" s="3">
        <f t="shared" si="1"/>
        <v>0</v>
      </c>
      <c r="M9" s="3">
        <f t="shared" si="2"/>
        <v>0</v>
      </c>
      <c r="N9" s="3">
        <f t="shared" si="3"/>
        <v>599000</v>
      </c>
    </row>
    <row r="10" spans="1:15" x14ac:dyDescent="0.15">
      <c r="A10" s="1">
        <v>1978</v>
      </c>
      <c r="B10" s="3">
        <v>200000</v>
      </c>
      <c r="C10" s="3">
        <v>0</v>
      </c>
      <c r="D10" s="3">
        <v>0</v>
      </c>
      <c r="E10" s="3">
        <v>340000</v>
      </c>
      <c r="F10" s="3">
        <v>0</v>
      </c>
      <c r="G10" s="3">
        <v>0</v>
      </c>
      <c r="H10" s="3">
        <v>0</v>
      </c>
      <c r="I10" s="3">
        <v>0</v>
      </c>
      <c r="J10" s="3">
        <v>0</v>
      </c>
      <c r="K10" s="3">
        <f t="shared" si="0"/>
        <v>540000</v>
      </c>
      <c r="L10" s="3">
        <f t="shared" si="1"/>
        <v>0</v>
      </c>
      <c r="M10" s="3">
        <f t="shared" si="2"/>
        <v>0</v>
      </c>
      <c r="N10" s="3">
        <f t="shared" si="3"/>
        <v>540000</v>
      </c>
    </row>
    <row r="11" spans="1:15" x14ac:dyDescent="0.15">
      <c r="A11" s="1">
        <v>1979</v>
      </c>
      <c r="B11" s="3">
        <v>502000</v>
      </c>
      <c r="C11" s="3">
        <v>0</v>
      </c>
      <c r="D11" s="3">
        <v>0</v>
      </c>
      <c r="E11" s="3">
        <v>0</v>
      </c>
      <c r="F11" s="3">
        <v>0</v>
      </c>
      <c r="G11" s="3">
        <v>0</v>
      </c>
      <c r="H11" s="3">
        <v>0</v>
      </c>
      <c r="I11" s="3">
        <v>0</v>
      </c>
      <c r="J11" s="3">
        <v>0</v>
      </c>
      <c r="K11" s="3">
        <f t="shared" si="0"/>
        <v>502000</v>
      </c>
      <c r="L11" s="3">
        <f t="shared" si="1"/>
        <v>0</v>
      </c>
      <c r="M11" s="3">
        <f t="shared" si="2"/>
        <v>0</v>
      </c>
      <c r="N11" s="3">
        <f t="shared" si="3"/>
        <v>502000</v>
      </c>
      <c r="O11" s="1" t="s">
        <v>113</v>
      </c>
    </row>
    <row r="12" spans="1:15" x14ac:dyDescent="0.15">
      <c r="A12" s="1">
        <v>1980</v>
      </c>
      <c r="B12" s="3">
        <v>456000</v>
      </c>
      <c r="C12" s="3">
        <v>0</v>
      </c>
      <c r="D12" s="3">
        <v>0</v>
      </c>
      <c r="E12" s="3">
        <v>0</v>
      </c>
      <c r="F12" s="3">
        <v>0</v>
      </c>
      <c r="G12" s="3">
        <v>0</v>
      </c>
      <c r="H12" s="3">
        <v>0</v>
      </c>
      <c r="I12" s="3">
        <v>0</v>
      </c>
      <c r="J12" s="3">
        <v>0</v>
      </c>
      <c r="K12" s="3">
        <f t="shared" si="0"/>
        <v>456000</v>
      </c>
      <c r="L12" s="3">
        <f t="shared" si="1"/>
        <v>0</v>
      </c>
      <c r="M12" s="3">
        <f t="shared" si="2"/>
        <v>0</v>
      </c>
      <c r="N12" s="3">
        <f t="shared" si="3"/>
        <v>456000</v>
      </c>
    </row>
    <row r="13" spans="1:15" x14ac:dyDescent="0.15">
      <c r="A13" s="1">
        <v>1981</v>
      </c>
      <c r="B13" s="3">
        <v>453000</v>
      </c>
      <c r="C13" s="3">
        <v>0</v>
      </c>
      <c r="D13" s="3">
        <v>0</v>
      </c>
      <c r="E13" s="3">
        <v>0</v>
      </c>
      <c r="F13" s="3">
        <v>0</v>
      </c>
      <c r="G13" s="3">
        <v>0</v>
      </c>
      <c r="H13" s="3">
        <v>0</v>
      </c>
      <c r="I13" s="3">
        <v>0</v>
      </c>
      <c r="J13" s="3">
        <v>0</v>
      </c>
      <c r="K13" s="3">
        <f t="shared" si="0"/>
        <v>453000</v>
      </c>
      <c r="L13" s="3">
        <f t="shared" si="1"/>
        <v>0</v>
      </c>
      <c r="M13" s="3">
        <f t="shared" si="2"/>
        <v>0</v>
      </c>
      <c r="N13" s="3">
        <f t="shared" si="3"/>
        <v>453000</v>
      </c>
    </row>
    <row r="14" spans="1:15" x14ac:dyDescent="0.15">
      <c r="A14" s="1">
        <v>1982</v>
      </c>
      <c r="B14" s="3">
        <v>544000</v>
      </c>
      <c r="C14" s="3">
        <v>74000</v>
      </c>
      <c r="D14" s="3">
        <v>0</v>
      </c>
      <c r="E14" s="3">
        <v>0</v>
      </c>
      <c r="F14" s="3">
        <v>0</v>
      </c>
      <c r="G14" s="3">
        <v>0</v>
      </c>
      <c r="H14" s="3">
        <v>27000</v>
      </c>
      <c r="I14" s="3">
        <v>28000</v>
      </c>
      <c r="J14" s="3">
        <v>0</v>
      </c>
      <c r="K14" s="3">
        <f t="shared" si="0"/>
        <v>571000</v>
      </c>
      <c r="L14" s="3">
        <f t="shared" si="1"/>
        <v>102000</v>
      </c>
      <c r="M14" s="3">
        <f t="shared" si="2"/>
        <v>0</v>
      </c>
      <c r="N14" s="3">
        <f t="shared" si="3"/>
        <v>673000</v>
      </c>
    </row>
    <row r="15" spans="1:15" x14ac:dyDescent="0.15">
      <c r="A15" s="1">
        <v>1983</v>
      </c>
      <c r="B15" s="3">
        <v>593000</v>
      </c>
      <c r="C15" s="3">
        <v>81000</v>
      </c>
      <c r="D15" s="3">
        <v>0</v>
      </c>
      <c r="E15" s="3">
        <v>0</v>
      </c>
      <c r="F15" s="3">
        <v>0</v>
      </c>
      <c r="G15" s="3">
        <v>0</v>
      </c>
      <c r="H15" s="3">
        <v>28000</v>
      </c>
      <c r="I15" s="3">
        <v>20000</v>
      </c>
      <c r="J15" s="3">
        <v>0</v>
      </c>
      <c r="K15" s="3">
        <f t="shared" si="0"/>
        <v>621000</v>
      </c>
      <c r="L15" s="3">
        <f t="shared" si="1"/>
        <v>101000</v>
      </c>
      <c r="M15" s="3">
        <f t="shared" si="2"/>
        <v>0</v>
      </c>
      <c r="N15" s="3">
        <f t="shared" si="3"/>
        <v>722000</v>
      </c>
    </row>
    <row r="16" spans="1:15" x14ac:dyDescent="0.15">
      <c r="A16" s="1">
        <v>1984</v>
      </c>
      <c r="B16" s="3">
        <v>573000</v>
      </c>
      <c r="C16" s="3">
        <v>0</v>
      </c>
      <c r="D16" s="3">
        <v>0</v>
      </c>
      <c r="E16" s="3">
        <v>0</v>
      </c>
      <c r="F16" s="3">
        <v>71000</v>
      </c>
      <c r="G16" s="3">
        <v>0</v>
      </c>
      <c r="H16" s="3">
        <v>20000</v>
      </c>
      <c r="I16" s="3">
        <v>24000</v>
      </c>
      <c r="J16" s="3">
        <v>0</v>
      </c>
      <c r="K16" s="3">
        <f t="shared" si="0"/>
        <v>593000</v>
      </c>
      <c r="L16" s="3">
        <f t="shared" si="1"/>
        <v>95000</v>
      </c>
      <c r="M16" s="3">
        <f t="shared" si="2"/>
        <v>0</v>
      </c>
      <c r="N16" s="3">
        <f t="shared" si="3"/>
        <v>688000</v>
      </c>
    </row>
    <row r="17" spans="1:15" x14ac:dyDescent="0.15">
      <c r="A17" s="1">
        <v>1985</v>
      </c>
      <c r="B17" s="3">
        <v>633000</v>
      </c>
      <c r="C17" s="3">
        <v>112000</v>
      </c>
      <c r="D17" s="3">
        <v>0</v>
      </c>
      <c r="E17" s="3">
        <v>0</v>
      </c>
      <c r="F17" s="3">
        <v>0</v>
      </c>
      <c r="G17" s="3">
        <v>0</v>
      </c>
      <c r="H17" s="3">
        <v>206000</v>
      </c>
      <c r="I17" s="3">
        <v>16000</v>
      </c>
      <c r="J17" s="3">
        <v>0</v>
      </c>
      <c r="K17" s="3">
        <f t="shared" si="0"/>
        <v>839000</v>
      </c>
      <c r="L17" s="3">
        <f t="shared" si="1"/>
        <v>128000</v>
      </c>
      <c r="M17" s="3">
        <f t="shared" si="2"/>
        <v>0</v>
      </c>
      <c r="N17" s="3">
        <f t="shared" si="3"/>
        <v>967000</v>
      </c>
    </row>
    <row r="18" spans="1:15" x14ac:dyDescent="0.15">
      <c r="A18" s="1">
        <v>1986</v>
      </c>
      <c r="B18" s="3">
        <v>714000</v>
      </c>
      <c r="C18" s="3">
        <v>126000</v>
      </c>
      <c r="D18" s="3">
        <v>0</v>
      </c>
      <c r="E18" s="3">
        <v>0</v>
      </c>
      <c r="F18" s="3">
        <v>0</v>
      </c>
      <c r="G18" s="3">
        <v>0</v>
      </c>
      <c r="H18" s="3">
        <v>202000</v>
      </c>
      <c r="I18" s="3">
        <v>24000</v>
      </c>
      <c r="J18" s="3">
        <v>0</v>
      </c>
      <c r="K18" s="3">
        <f t="shared" si="0"/>
        <v>916000</v>
      </c>
      <c r="L18" s="3">
        <f t="shared" si="1"/>
        <v>150000</v>
      </c>
      <c r="M18" s="3">
        <f t="shared" si="2"/>
        <v>0</v>
      </c>
      <c r="N18" s="3">
        <f t="shared" si="3"/>
        <v>1066000</v>
      </c>
    </row>
    <row r="19" spans="1:15" x14ac:dyDescent="0.15">
      <c r="A19" s="1">
        <v>1987</v>
      </c>
      <c r="B19" s="3">
        <v>765000</v>
      </c>
      <c r="C19" s="3">
        <v>85000</v>
      </c>
      <c r="D19" s="3">
        <v>0</v>
      </c>
      <c r="E19" s="3">
        <v>0</v>
      </c>
      <c r="F19" s="3">
        <v>0</v>
      </c>
      <c r="G19" s="3">
        <v>0</v>
      </c>
      <c r="H19" s="3">
        <v>203000</v>
      </c>
      <c r="I19" s="3">
        <v>28000</v>
      </c>
      <c r="J19" s="3">
        <v>0</v>
      </c>
      <c r="K19" s="3">
        <f t="shared" si="0"/>
        <v>968000</v>
      </c>
      <c r="L19" s="3">
        <f t="shared" si="1"/>
        <v>113000</v>
      </c>
      <c r="M19" s="3">
        <f t="shared" si="2"/>
        <v>0</v>
      </c>
      <c r="N19" s="3">
        <f t="shared" si="3"/>
        <v>1081000</v>
      </c>
    </row>
    <row r="20" spans="1:15" x14ac:dyDescent="0.15">
      <c r="A20" s="1">
        <v>1988</v>
      </c>
      <c r="B20" s="3">
        <v>852000</v>
      </c>
      <c r="C20" s="3">
        <v>150000</v>
      </c>
      <c r="D20" s="3">
        <v>0</v>
      </c>
      <c r="E20" s="3">
        <v>0</v>
      </c>
      <c r="F20" s="3">
        <v>0</v>
      </c>
      <c r="G20" s="3">
        <v>0</v>
      </c>
      <c r="H20" s="3">
        <v>201000</v>
      </c>
      <c r="I20" s="3">
        <v>0</v>
      </c>
      <c r="J20" s="3">
        <v>0</v>
      </c>
      <c r="K20" s="3">
        <f t="shared" si="0"/>
        <v>1053000</v>
      </c>
      <c r="L20" s="3">
        <f t="shared" si="1"/>
        <v>150000</v>
      </c>
      <c r="M20" s="3">
        <f t="shared" si="2"/>
        <v>0</v>
      </c>
      <c r="N20" s="3">
        <f t="shared" si="3"/>
        <v>1203000</v>
      </c>
    </row>
    <row r="21" spans="1:15" x14ac:dyDescent="0.15">
      <c r="A21" s="1">
        <v>1989</v>
      </c>
      <c r="B21" s="3">
        <v>983000</v>
      </c>
      <c r="C21" s="3">
        <v>109000</v>
      </c>
      <c r="D21" s="3">
        <v>0</v>
      </c>
      <c r="E21" s="3">
        <v>0</v>
      </c>
      <c r="F21" s="3">
        <v>0</v>
      </c>
      <c r="G21" s="3">
        <v>0</v>
      </c>
      <c r="H21" s="3">
        <v>199000</v>
      </c>
      <c r="I21" s="3">
        <v>0</v>
      </c>
      <c r="J21" s="3">
        <v>0</v>
      </c>
      <c r="K21" s="3">
        <f t="shared" si="0"/>
        <v>1182000</v>
      </c>
      <c r="L21" s="3">
        <f t="shared" si="1"/>
        <v>109000</v>
      </c>
      <c r="M21" s="3">
        <f t="shared" si="2"/>
        <v>0</v>
      </c>
      <c r="N21" s="3">
        <f t="shared" si="3"/>
        <v>1291000</v>
      </c>
    </row>
    <row r="22" spans="1:15" x14ac:dyDescent="0.15">
      <c r="A22" s="1">
        <v>1990</v>
      </c>
      <c r="B22" s="3">
        <v>1029000</v>
      </c>
      <c r="C22" s="3">
        <v>167000</v>
      </c>
      <c r="D22" s="3">
        <v>0</v>
      </c>
      <c r="E22" s="3">
        <v>0</v>
      </c>
      <c r="F22" s="3">
        <v>0</v>
      </c>
      <c r="G22" s="3">
        <v>0</v>
      </c>
      <c r="H22" s="3">
        <v>203000</v>
      </c>
      <c r="I22" s="3">
        <v>0</v>
      </c>
      <c r="J22" s="3">
        <v>0</v>
      </c>
      <c r="K22" s="3">
        <f t="shared" si="0"/>
        <v>1232000</v>
      </c>
      <c r="L22" s="3">
        <f t="shared" si="1"/>
        <v>167000</v>
      </c>
      <c r="M22" s="3">
        <f t="shared" si="2"/>
        <v>0</v>
      </c>
      <c r="N22" s="3">
        <f t="shared" si="3"/>
        <v>1399000</v>
      </c>
    </row>
    <row r="23" spans="1:15" x14ac:dyDescent="0.15">
      <c r="A23" s="1">
        <v>1991</v>
      </c>
      <c r="B23" s="3">
        <v>1243000</v>
      </c>
      <c r="C23" s="3">
        <v>219000</v>
      </c>
      <c r="D23" s="3">
        <v>0</v>
      </c>
      <c r="E23" s="3">
        <v>0</v>
      </c>
      <c r="F23" s="3">
        <v>0</v>
      </c>
      <c r="G23" s="3">
        <v>0</v>
      </c>
      <c r="H23" s="3">
        <v>197000</v>
      </c>
      <c r="I23" s="3">
        <v>0</v>
      </c>
      <c r="J23" s="3">
        <v>0</v>
      </c>
      <c r="K23" s="3">
        <f t="shared" si="0"/>
        <v>1440000</v>
      </c>
      <c r="L23" s="3">
        <f t="shared" si="1"/>
        <v>219000</v>
      </c>
      <c r="M23" s="3">
        <f t="shared" si="2"/>
        <v>0</v>
      </c>
      <c r="N23" s="3">
        <f t="shared" si="3"/>
        <v>1659000</v>
      </c>
    </row>
    <row r="24" spans="1:15" x14ac:dyDescent="0.15">
      <c r="A24" s="1">
        <v>1992</v>
      </c>
      <c r="B24" s="3">
        <v>1090000</v>
      </c>
      <c r="C24" s="3">
        <v>208000</v>
      </c>
      <c r="D24" s="3">
        <v>0</v>
      </c>
      <c r="E24" s="3">
        <v>0</v>
      </c>
      <c r="F24" s="3">
        <v>0</v>
      </c>
      <c r="G24" s="3">
        <v>0</v>
      </c>
      <c r="H24" s="3">
        <v>209000</v>
      </c>
      <c r="I24" s="3">
        <v>0</v>
      </c>
      <c r="J24" s="3">
        <v>0</v>
      </c>
      <c r="K24" s="3">
        <f t="shared" si="0"/>
        <v>1299000</v>
      </c>
      <c r="L24" s="3">
        <f t="shared" si="1"/>
        <v>208000</v>
      </c>
      <c r="M24" s="3">
        <f t="shared" si="2"/>
        <v>0</v>
      </c>
      <c r="N24" s="3">
        <f t="shared" si="3"/>
        <v>1507000</v>
      </c>
    </row>
    <row r="25" spans="1:15" x14ac:dyDescent="0.15">
      <c r="A25" s="1">
        <v>1993</v>
      </c>
      <c r="B25" s="3">
        <v>1100000</v>
      </c>
      <c r="C25" s="3">
        <v>209000</v>
      </c>
      <c r="D25" s="3">
        <v>0</v>
      </c>
      <c r="E25" s="3">
        <v>21000</v>
      </c>
      <c r="F25" s="3">
        <v>0</v>
      </c>
      <c r="G25" s="3">
        <v>0</v>
      </c>
      <c r="H25" s="3">
        <v>205000</v>
      </c>
      <c r="I25" s="3">
        <v>0</v>
      </c>
      <c r="J25" s="3">
        <v>0</v>
      </c>
      <c r="K25" s="3">
        <f t="shared" si="0"/>
        <v>1326000</v>
      </c>
      <c r="L25" s="3">
        <f t="shared" si="1"/>
        <v>209000</v>
      </c>
      <c r="M25" s="3">
        <f t="shared" si="2"/>
        <v>0</v>
      </c>
      <c r="N25" s="3">
        <f t="shared" si="3"/>
        <v>1535000</v>
      </c>
    </row>
    <row r="26" spans="1:15" x14ac:dyDescent="0.15">
      <c r="A26" s="1">
        <v>1994</v>
      </c>
      <c r="B26" s="3">
        <v>1226000</v>
      </c>
      <c r="C26" s="3">
        <v>167000</v>
      </c>
      <c r="D26" s="3">
        <v>0</v>
      </c>
      <c r="E26" s="3">
        <v>44000</v>
      </c>
      <c r="F26" s="3">
        <v>0</v>
      </c>
      <c r="G26" s="3">
        <v>0</v>
      </c>
      <c r="H26" s="3">
        <v>202000</v>
      </c>
      <c r="I26" s="3">
        <v>0</v>
      </c>
      <c r="J26" s="3">
        <v>0</v>
      </c>
      <c r="K26" s="3">
        <f t="shared" si="0"/>
        <v>1472000</v>
      </c>
      <c r="L26" s="3">
        <f t="shared" si="1"/>
        <v>167000</v>
      </c>
      <c r="M26" s="3">
        <f t="shared" si="2"/>
        <v>0</v>
      </c>
      <c r="N26" s="3">
        <f t="shared" si="3"/>
        <v>1639000</v>
      </c>
    </row>
    <row r="27" spans="1:15" x14ac:dyDescent="0.15">
      <c r="A27" s="1">
        <v>1995</v>
      </c>
      <c r="B27" s="3">
        <v>1033000</v>
      </c>
      <c r="C27" s="3">
        <v>175000</v>
      </c>
      <c r="D27" s="3">
        <v>0</v>
      </c>
      <c r="E27" s="3">
        <v>0</v>
      </c>
      <c r="F27" s="3">
        <v>0</v>
      </c>
      <c r="G27" s="3">
        <v>0</v>
      </c>
      <c r="H27" s="3">
        <v>202000</v>
      </c>
      <c r="I27" s="3">
        <v>0</v>
      </c>
      <c r="J27" s="3">
        <v>0</v>
      </c>
      <c r="K27" s="3">
        <f t="shared" si="0"/>
        <v>1235000</v>
      </c>
      <c r="L27" s="3">
        <f t="shared" si="1"/>
        <v>175000</v>
      </c>
      <c r="M27" s="3">
        <f t="shared" si="2"/>
        <v>0</v>
      </c>
      <c r="N27" s="3">
        <f t="shared" si="3"/>
        <v>1410000</v>
      </c>
    </row>
    <row r="28" spans="1:15" x14ac:dyDescent="0.15">
      <c r="A28" s="1">
        <v>1996</v>
      </c>
      <c r="B28" s="3">
        <v>1111173</v>
      </c>
      <c r="C28" s="3">
        <v>127000</v>
      </c>
      <c r="D28" s="3">
        <v>0</v>
      </c>
      <c r="E28" s="3">
        <v>76912</v>
      </c>
      <c r="F28" s="3">
        <v>0</v>
      </c>
      <c r="G28" s="3">
        <v>0</v>
      </c>
      <c r="H28" s="3">
        <v>202000</v>
      </c>
      <c r="I28" s="3">
        <v>0</v>
      </c>
      <c r="J28" s="3">
        <v>0</v>
      </c>
      <c r="K28" s="3">
        <f t="shared" si="0"/>
        <v>1390085</v>
      </c>
      <c r="L28" s="3">
        <f t="shared" si="1"/>
        <v>127000</v>
      </c>
      <c r="M28" s="3">
        <f t="shared" si="2"/>
        <v>0</v>
      </c>
      <c r="N28" s="3">
        <f t="shared" si="3"/>
        <v>1517085</v>
      </c>
    </row>
    <row r="29" spans="1:15" x14ac:dyDescent="0.15">
      <c r="A29" s="1">
        <v>1997</v>
      </c>
      <c r="B29" s="3">
        <v>679010</v>
      </c>
      <c r="C29" s="3">
        <v>275000</v>
      </c>
      <c r="D29" s="3">
        <v>0</v>
      </c>
      <c r="E29" s="3">
        <f>959000-B29</f>
        <v>279990</v>
      </c>
      <c r="F29" s="3">
        <v>0</v>
      </c>
      <c r="G29" s="3">
        <v>0</v>
      </c>
      <c r="H29" s="3">
        <v>224000</v>
      </c>
      <c r="I29" s="3">
        <v>0</v>
      </c>
      <c r="J29" s="3">
        <v>0</v>
      </c>
      <c r="K29" s="3">
        <f t="shared" si="0"/>
        <v>1183000</v>
      </c>
      <c r="L29" s="3">
        <f t="shared" si="1"/>
        <v>275000</v>
      </c>
      <c r="M29" s="3">
        <f t="shared" si="2"/>
        <v>0</v>
      </c>
      <c r="N29" s="3">
        <f t="shared" si="3"/>
        <v>1458000</v>
      </c>
    </row>
    <row r="30" spans="1:15" x14ac:dyDescent="0.15">
      <c r="A30" s="1">
        <v>1998</v>
      </c>
      <c r="B30" s="3">
        <f>384414+347213+508418</f>
        <v>1240045</v>
      </c>
      <c r="C30" s="3">
        <v>257000</v>
      </c>
      <c r="D30" s="3">
        <v>0</v>
      </c>
      <c r="E30" s="3">
        <f>1288000-B30</f>
        <v>47955</v>
      </c>
      <c r="F30" s="3">
        <v>0</v>
      </c>
      <c r="G30" s="3">
        <v>0</v>
      </c>
      <c r="H30" s="3">
        <v>258000</v>
      </c>
      <c r="I30" s="3">
        <v>0</v>
      </c>
      <c r="J30" s="3">
        <v>0</v>
      </c>
      <c r="K30" s="3">
        <f t="shared" si="0"/>
        <v>1546000</v>
      </c>
      <c r="L30" s="3">
        <f t="shared" si="1"/>
        <v>257000</v>
      </c>
      <c r="M30" s="3">
        <f t="shared" si="2"/>
        <v>0</v>
      </c>
      <c r="N30" s="3">
        <f t="shared" si="3"/>
        <v>1803000</v>
      </c>
      <c r="O30" s="1" t="s">
        <v>219</v>
      </c>
    </row>
    <row r="31" spans="1:15" x14ac:dyDescent="0.15">
      <c r="A31" s="1">
        <v>1999</v>
      </c>
      <c r="B31" s="3">
        <v>1382209</v>
      </c>
      <c r="C31" s="3">
        <v>317000</v>
      </c>
      <c r="D31" s="3">
        <v>0</v>
      </c>
      <c r="E31" s="3">
        <v>26522</v>
      </c>
      <c r="F31" s="3">
        <v>0</v>
      </c>
      <c r="G31" s="3">
        <v>0</v>
      </c>
      <c r="H31" s="3">
        <v>283000</v>
      </c>
      <c r="I31" s="3">
        <v>0</v>
      </c>
      <c r="J31" s="3">
        <v>0</v>
      </c>
      <c r="K31" s="3">
        <f t="shared" si="0"/>
        <v>1691731</v>
      </c>
      <c r="L31" s="3">
        <f t="shared" si="1"/>
        <v>317000</v>
      </c>
      <c r="M31" s="3">
        <f t="shared" si="2"/>
        <v>0</v>
      </c>
      <c r="N31" s="3">
        <f t="shared" si="3"/>
        <v>2008731</v>
      </c>
    </row>
    <row r="32" spans="1:15" x14ac:dyDescent="0.15">
      <c r="A32" s="1">
        <v>2000</v>
      </c>
      <c r="B32" s="3">
        <v>0</v>
      </c>
      <c r="C32" s="3">
        <v>0</v>
      </c>
      <c r="D32" s="3">
        <v>0</v>
      </c>
      <c r="E32" s="3">
        <v>967000</v>
      </c>
      <c r="F32" s="3">
        <v>320000</v>
      </c>
      <c r="G32" s="3">
        <v>0</v>
      </c>
      <c r="H32" s="3">
        <v>326000</v>
      </c>
      <c r="I32" s="3">
        <v>0</v>
      </c>
      <c r="J32" s="3">
        <v>0</v>
      </c>
      <c r="K32" s="3">
        <f t="shared" si="0"/>
        <v>1293000</v>
      </c>
      <c r="L32" s="3">
        <f t="shared" si="1"/>
        <v>320000</v>
      </c>
      <c r="M32" s="3">
        <f t="shared" si="2"/>
        <v>0</v>
      </c>
      <c r="N32" s="3">
        <f t="shared" si="3"/>
        <v>1613000</v>
      </c>
      <c r="O32" s="1" t="s">
        <v>235</v>
      </c>
    </row>
    <row r="33" spans="1:15" x14ac:dyDescent="0.15">
      <c r="A33" s="1">
        <v>2001</v>
      </c>
      <c r="B33" s="3">
        <v>0</v>
      </c>
      <c r="C33" s="3">
        <v>0</v>
      </c>
      <c r="D33" s="3">
        <v>0</v>
      </c>
      <c r="E33" s="3">
        <v>1057000</v>
      </c>
      <c r="F33" s="3">
        <v>316000</v>
      </c>
      <c r="G33" s="3">
        <v>0</v>
      </c>
      <c r="H33" s="3">
        <v>375000</v>
      </c>
      <c r="I33" s="3">
        <v>0</v>
      </c>
      <c r="J33" s="3">
        <v>0</v>
      </c>
      <c r="K33" s="3">
        <f t="shared" si="0"/>
        <v>1432000</v>
      </c>
      <c r="L33" s="3">
        <f t="shared" si="1"/>
        <v>316000</v>
      </c>
      <c r="M33" s="3">
        <f t="shared" si="2"/>
        <v>0</v>
      </c>
      <c r="N33" s="3">
        <f t="shared" si="3"/>
        <v>1748000</v>
      </c>
    </row>
    <row r="34" spans="1:15" x14ac:dyDescent="0.15">
      <c r="A34" s="1">
        <v>2002</v>
      </c>
      <c r="B34" s="3">
        <v>0</v>
      </c>
      <c r="C34" s="3">
        <v>0</v>
      </c>
      <c r="D34" s="3">
        <v>0</v>
      </c>
      <c r="E34" s="3">
        <v>1211000</v>
      </c>
      <c r="F34" s="3">
        <v>263000</v>
      </c>
      <c r="G34" s="3">
        <v>0</v>
      </c>
      <c r="H34" s="3">
        <v>415000</v>
      </c>
      <c r="I34" s="3">
        <v>0</v>
      </c>
      <c r="J34" s="3">
        <v>0</v>
      </c>
      <c r="K34" s="3">
        <f t="shared" si="0"/>
        <v>1626000</v>
      </c>
      <c r="L34" s="3">
        <f t="shared" si="1"/>
        <v>263000</v>
      </c>
      <c r="M34" s="3">
        <f t="shared" si="2"/>
        <v>0</v>
      </c>
      <c r="N34" s="3">
        <f t="shared" si="3"/>
        <v>1889000</v>
      </c>
    </row>
    <row r="35" spans="1:15" x14ac:dyDescent="0.15">
      <c r="A35" s="1">
        <v>2003</v>
      </c>
      <c r="B35" s="3">
        <v>1565157</v>
      </c>
      <c r="C35" s="3">
        <v>330816</v>
      </c>
      <c r="D35" s="3">
        <v>0</v>
      </c>
      <c r="E35" s="3">
        <v>148341</v>
      </c>
      <c r="F35" s="3">
        <v>204645</v>
      </c>
      <c r="G35" s="3">
        <v>0</v>
      </c>
      <c r="H35" s="3">
        <v>302170</v>
      </c>
      <c r="I35" s="3">
        <v>0</v>
      </c>
      <c r="J35" s="3">
        <v>11068293</v>
      </c>
      <c r="K35" s="3">
        <f t="shared" si="0"/>
        <v>2015668</v>
      </c>
      <c r="L35" s="3">
        <f t="shared" si="1"/>
        <v>535461</v>
      </c>
      <c r="M35" s="3">
        <f t="shared" si="2"/>
        <v>11068293</v>
      </c>
      <c r="N35" s="3">
        <f t="shared" si="3"/>
        <v>13619422</v>
      </c>
    </row>
    <row r="36" spans="1:15" ht="12.75" x14ac:dyDescent="0.2">
      <c r="A36" s="1">
        <v>2004</v>
      </c>
      <c r="B36" s="3">
        <v>565351</v>
      </c>
      <c r="C36" s="3">
        <v>260500</v>
      </c>
      <c r="D36" s="3">
        <v>0</v>
      </c>
      <c r="E36" s="3">
        <v>10988014</v>
      </c>
      <c r="F36" s="3">
        <v>337981</v>
      </c>
      <c r="G36" s="3">
        <v>0</v>
      </c>
      <c r="H36" s="3">
        <v>1149941</v>
      </c>
      <c r="I36" s="3">
        <v>88000</v>
      </c>
      <c r="J36" s="3">
        <v>0</v>
      </c>
      <c r="K36" s="3">
        <v>12703306</v>
      </c>
      <c r="L36" s="3">
        <v>686481</v>
      </c>
      <c r="M36" s="3">
        <v>0</v>
      </c>
      <c r="N36" s="3">
        <v>13389787</v>
      </c>
      <c r="O36" s="12"/>
    </row>
    <row r="37" spans="1:15" ht="12.75" x14ac:dyDescent="0.2">
      <c r="A37" s="1">
        <v>2005</v>
      </c>
      <c r="B37" s="3">
        <v>1110802</v>
      </c>
      <c r="C37" s="3">
        <v>255500</v>
      </c>
      <c r="D37" s="3">
        <v>0</v>
      </c>
      <c r="E37" s="3">
        <v>7401884</v>
      </c>
      <c r="F37" s="3">
        <v>390000</v>
      </c>
      <c r="G37" s="3">
        <v>20000</v>
      </c>
      <c r="H37" s="3">
        <v>2926569</v>
      </c>
      <c r="I37" s="3">
        <v>92109</v>
      </c>
      <c r="J37" s="3">
        <v>385340</v>
      </c>
      <c r="K37" s="3">
        <v>11439255</v>
      </c>
      <c r="L37" s="3">
        <v>737609</v>
      </c>
      <c r="M37" s="3">
        <v>405340</v>
      </c>
      <c r="N37" s="3">
        <v>12582204</v>
      </c>
      <c r="O37" s="12"/>
    </row>
    <row r="38" spans="1:15" ht="12.75" x14ac:dyDescent="0.2">
      <c r="A38" s="1">
        <v>2006</v>
      </c>
      <c r="B38" s="3">
        <v>1282976</v>
      </c>
      <c r="C38" s="3">
        <v>0</v>
      </c>
      <c r="D38" s="3">
        <v>0</v>
      </c>
      <c r="E38" s="3">
        <v>8495871</v>
      </c>
      <c r="F38" s="3">
        <v>385000</v>
      </c>
      <c r="G38" s="3">
        <v>0</v>
      </c>
      <c r="H38" s="3">
        <v>461013</v>
      </c>
      <c r="I38" s="3">
        <v>95000</v>
      </c>
      <c r="J38" s="3">
        <v>482819</v>
      </c>
      <c r="K38" s="3">
        <v>10239860</v>
      </c>
      <c r="L38" s="3">
        <v>480000</v>
      </c>
      <c r="M38" s="3">
        <v>482819</v>
      </c>
      <c r="N38" s="3">
        <v>11202679</v>
      </c>
      <c r="O38" s="12"/>
    </row>
    <row r="39" spans="1:15" ht="12.75" x14ac:dyDescent="0.2">
      <c r="A39" s="1">
        <v>2007</v>
      </c>
      <c r="B39" s="3">
        <v>1673671</v>
      </c>
      <c r="C39" s="3">
        <v>323334</v>
      </c>
      <c r="D39" s="3">
        <v>0</v>
      </c>
      <c r="E39" s="3">
        <v>8499331</v>
      </c>
      <c r="F39" s="3">
        <v>0</v>
      </c>
      <c r="G39" s="3">
        <v>0</v>
      </c>
      <c r="H39" s="3">
        <v>3316420</v>
      </c>
      <c r="I39" s="3">
        <v>136040</v>
      </c>
      <c r="J39" s="3">
        <v>730019</v>
      </c>
      <c r="K39" s="3">
        <v>13489422</v>
      </c>
      <c r="L39" s="3">
        <v>459374</v>
      </c>
      <c r="M39" s="3">
        <v>730019</v>
      </c>
      <c r="N39" s="3">
        <v>14678815</v>
      </c>
      <c r="O39" s="12"/>
    </row>
    <row r="40" spans="1:15" ht="12.75" x14ac:dyDescent="0.2">
      <c r="A40" s="1">
        <v>2008</v>
      </c>
      <c r="B40" s="3">
        <v>1556268</v>
      </c>
      <c r="C40" s="3">
        <v>290002</v>
      </c>
      <c r="D40" s="3">
        <v>0</v>
      </c>
      <c r="E40" s="3">
        <v>11545432</v>
      </c>
      <c r="F40" s="3">
        <v>3690</v>
      </c>
      <c r="G40" s="3">
        <v>0</v>
      </c>
      <c r="H40" s="3">
        <v>3878070</v>
      </c>
      <c r="I40" s="3">
        <v>733318</v>
      </c>
      <c r="J40" s="3">
        <v>60000</v>
      </c>
      <c r="K40" s="3">
        <v>16979770</v>
      </c>
      <c r="L40" s="3">
        <v>1027010</v>
      </c>
      <c r="M40" s="3">
        <v>60000</v>
      </c>
      <c r="N40" s="3">
        <v>18066780</v>
      </c>
      <c r="O40" s="12"/>
    </row>
    <row r="41" spans="1:15" ht="12.75" x14ac:dyDescent="0.2">
      <c r="A41" s="1">
        <v>2009</v>
      </c>
      <c r="B41" s="3">
        <v>1556268</v>
      </c>
      <c r="C41" s="3">
        <v>290002</v>
      </c>
      <c r="D41" s="3">
        <v>0</v>
      </c>
      <c r="E41" s="3">
        <v>11420171</v>
      </c>
      <c r="F41" s="3">
        <v>128951</v>
      </c>
      <c r="G41" s="3">
        <v>0</v>
      </c>
      <c r="H41" s="3">
        <v>3878070</v>
      </c>
      <c r="I41" s="3">
        <v>733318</v>
      </c>
      <c r="J41" s="3">
        <v>0</v>
      </c>
      <c r="K41" s="3">
        <v>16854509</v>
      </c>
      <c r="L41" s="3">
        <v>1152271</v>
      </c>
      <c r="M41" s="3">
        <v>0</v>
      </c>
      <c r="N41" s="3">
        <v>18006780</v>
      </c>
      <c r="O41" s="12"/>
    </row>
    <row r="42" spans="1:15" ht="12.75" x14ac:dyDescent="0.2">
      <c r="A42" s="1">
        <v>2010</v>
      </c>
      <c r="B42" s="3">
        <v>1645368</v>
      </c>
      <c r="C42" s="3">
        <v>306950</v>
      </c>
      <c r="D42" s="3">
        <v>0</v>
      </c>
      <c r="E42" s="3">
        <v>11950573</v>
      </c>
      <c r="F42" s="3">
        <v>67420</v>
      </c>
      <c r="G42" s="3">
        <v>0</v>
      </c>
      <c r="H42" s="3">
        <v>6024596</v>
      </c>
      <c r="I42" s="3">
        <v>436250</v>
      </c>
      <c r="J42" s="3">
        <v>0</v>
      </c>
      <c r="K42" s="3">
        <v>19620537</v>
      </c>
      <c r="L42" s="3">
        <v>810620</v>
      </c>
      <c r="M42" s="3">
        <v>0</v>
      </c>
      <c r="N42" s="3">
        <v>20431157</v>
      </c>
      <c r="O42" s="12"/>
    </row>
    <row r="43" spans="1:15" ht="12.75" x14ac:dyDescent="0.2">
      <c r="A43" s="1">
        <v>2011</v>
      </c>
      <c r="B43" s="3">
        <v>1059558</v>
      </c>
      <c r="C43" s="3">
        <v>314165</v>
      </c>
      <c r="D43" s="3">
        <v>0</v>
      </c>
      <c r="E43" s="3">
        <v>12733246</v>
      </c>
      <c r="F43" s="3">
        <v>0</v>
      </c>
      <c r="G43" s="3">
        <v>0</v>
      </c>
      <c r="H43" s="3">
        <v>5642678</v>
      </c>
      <c r="I43" s="3">
        <v>546509</v>
      </c>
      <c r="J43" s="3">
        <v>0</v>
      </c>
      <c r="K43" s="3">
        <v>19435482</v>
      </c>
      <c r="L43" s="3">
        <v>860674</v>
      </c>
      <c r="M43" s="3">
        <v>0</v>
      </c>
      <c r="N43" s="3">
        <v>20296156</v>
      </c>
      <c r="O43" s="12"/>
    </row>
    <row r="44" spans="1:15" ht="12.75" x14ac:dyDescent="0.2">
      <c r="A44" s="1">
        <v>2012</v>
      </c>
      <c r="B44" s="3">
        <v>955369</v>
      </c>
      <c r="C44" s="3">
        <v>274835</v>
      </c>
      <c r="D44" s="3">
        <v>0</v>
      </c>
      <c r="E44" s="3">
        <v>12760127</v>
      </c>
      <c r="F44" s="3">
        <v>0</v>
      </c>
      <c r="G44" s="3">
        <v>0</v>
      </c>
      <c r="H44" s="3">
        <v>6398182</v>
      </c>
      <c r="I44" s="3">
        <v>613587</v>
      </c>
      <c r="J44" s="3">
        <v>0</v>
      </c>
      <c r="K44" s="3">
        <v>20113678</v>
      </c>
      <c r="L44" s="3">
        <v>888422</v>
      </c>
      <c r="M44" s="3">
        <v>0</v>
      </c>
      <c r="N44" s="3">
        <v>21002100</v>
      </c>
      <c r="O44" s="12"/>
    </row>
    <row r="45" spans="1:15" ht="12.75" x14ac:dyDescent="0.2">
      <c r="A45" s="1">
        <v>2013</v>
      </c>
      <c r="B45" s="3">
        <v>1041917</v>
      </c>
      <c r="C45" s="3">
        <v>233311</v>
      </c>
      <c r="D45" s="3">
        <v>0</v>
      </c>
      <c r="E45" s="3">
        <v>12675585</v>
      </c>
      <c r="F45" s="3">
        <v>0</v>
      </c>
      <c r="G45" s="3">
        <v>0</v>
      </c>
      <c r="H45" s="3">
        <v>6544831</v>
      </c>
      <c r="I45" s="3">
        <v>430002</v>
      </c>
      <c r="J45" s="3">
        <v>0</v>
      </c>
      <c r="K45" s="3">
        <v>20262333</v>
      </c>
      <c r="L45" s="3">
        <v>663313</v>
      </c>
      <c r="M45" s="3">
        <v>0</v>
      </c>
      <c r="N45" s="3">
        <v>20925646</v>
      </c>
      <c r="O45" s="12"/>
    </row>
    <row r="46" spans="1:15" ht="12.75" x14ac:dyDescent="0.2">
      <c r="A46" s="1">
        <v>2014</v>
      </c>
      <c r="B46" s="3">
        <v>1011364</v>
      </c>
      <c r="C46" s="3">
        <v>272500</v>
      </c>
      <c r="D46" s="3">
        <v>0</v>
      </c>
      <c r="E46" s="3">
        <v>12810587</v>
      </c>
      <c r="F46" s="3">
        <v>0</v>
      </c>
      <c r="G46" s="3">
        <v>0</v>
      </c>
      <c r="H46" s="3">
        <v>7493772</v>
      </c>
      <c r="I46" s="3">
        <v>427500</v>
      </c>
      <c r="J46" s="3">
        <v>0</v>
      </c>
      <c r="K46" s="3">
        <v>21315723</v>
      </c>
      <c r="L46" s="3">
        <v>700000</v>
      </c>
      <c r="M46" s="3">
        <v>0</v>
      </c>
      <c r="N46" s="3">
        <v>22015723</v>
      </c>
      <c r="O46" s="12"/>
    </row>
    <row r="47" spans="1:15" ht="12.75" x14ac:dyDescent="0.2">
      <c r="A47" s="1">
        <v>2015</v>
      </c>
      <c r="B47" s="3">
        <v>1634360</v>
      </c>
      <c r="C47" s="3">
        <v>229824</v>
      </c>
      <c r="D47" s="3">
        <v>0</v>
      </c>
      <c r="E47" s="3">
        <v>12953681</v>
      </c>
      <c r="F47" s="3">
        <v>0</v>
      </c>
      <c r="G47" s="3">
        <v>0</v>
      </c>
      <c r="H47" s="3">
        <v>8177275</v>
      </c>
      <c r="I47" s="3">
        <v>507500</v>
      </c>
      <c r="J47" s="3">
        <v>0</v>
      </c>
      <c r="K47" s="3">
        <v>22765316</v>
      </c>
      <c r="L47" s="3">
        <v>737324</v>
      </c>
      <c r="M47" s="3">
        <v>0</v>
      </c>
      <c r="N47" s="3">
        <v>23502640</v>
      </c>
      <c r="O47" s="12"/>
    </row>
    <row r="48" spans="1:15" ht="12.75" x14ac:dyDescent="0.2">
      <c r="A48" s="1">
        <v>2016</v>
      </c>
      <c r="B48" s="3">
        <v>1636862</v>
      </c>
      <c r="C48" s="3">
        <v>158983</v>
      </c>
      <c r="D48" s="3">
        <v>0</v>
      </c>
      <c r="E48" s="3">
        <v>12693029</v>
      </c>
      <c r="F48" s="3">
        <v>0</v>
      </c>
      <c r="G48" s="3">
        <v>0</v>
      </c>
      <c r="H48" s="3">
        <v>8391165</v>
      </c>
      <c r="I48" s="3">
        <v>280200</v>
      </c>
      <c r="J48" s="3">
        <v>0</v>
      </c>
      <c r="K48" s="3">
        <v>22721056</v>
      </c>
      <c r="L48" s="3">
        <v>439183</v>
      </c>
      <c r="M48" s="3">
        <v>0</v>
      </c>
      <c r="N48" s="3">
        <v>23160239</v>
      </c>
      <c r="O48" s="12"/>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85" workbookViewId="0"/>
  </sheetViews>
  <sheetFormatPr defaultColWidth="10.625" defaultRowHeight="11.25" x14ac:dyDescent="0.15"/>
  <cols>
    <col min="1" max="16384" width="10.625" style="1"/>
  </cols>
  <sheetData>
    <row r="1" spans="1:15" x14ac:dyDescent="0.15">
      <c r="A1" s="1" t="s">
        <v>19</v>
      </c>
    </row>
    <row r="2" spans="1:15" x14ac:dyDescent="0.15">
      <c r="E2" s="2" t="s">
        <v>6</v>
      </c>
      <c r="F2" s="2"/>
      <c r="G2" s="2"/>
      <c r="H2" s="2"/>
      <c r="I2" s="2"/>
      <c r="J2" s="2"/>
    </row>
    <row r="3" spans="1:15" x14ac:dyDescent="0.15">
      <c r="B3" s="2" t="s">
        <v>5</v>
      </c>
      <c r="C3" s="2"/>
      <c r="D3" s="2"/>
      <c r="E3" s="2" t="s">
        <v>7</v>
      </c>
      <c r="F3" s="2"/>
      <c r="G3" s="2"/>
      <c r="H3" s="2" t="s">
        <v>8</v>
      </c>
      <c r="I3" s="2"/>
      <c r="J3" s="2"/>
    </row>
    <row r="4" spans="1:15" x14ac:dyDescent="0.15">
      <c r="A4" s="1" t="s">
        <v>1</v>
      </c>
      <c r="B4" s="1" t="s">
        <v>2</v>
      </c>
      <c r="C4" s="1" t="s">
        <v>3</v>
      </c>
      <c r="D4" s="1" t="s">
        <v>4</v>
      </c>
      <c r="E4" s="1" t="s">
        <v>2</v>
      </c>
      <c r="F4" s="1" t="s">
        <v>3</v>
      </c>
      <c r="G4" s="1" t="s">
        <v>4</v>
      </c>
      <c r="H4" s="1" t="s">
        <v>2</v>
      </c>
      <c r="I4" s="1" t="s">
        <v>3</v>
      </c>
      <c r="J4" s="1" t="s">
        <v>4</v>
      </c>
      <c r="K4" s="1" t="s">
        <v>2</v>
      </c>
      <c r="L4" s="1" t="s">
        <v>3</v>
      </c>
      <c r="M4" s="1" t="s">
        <v>4</v>
      </c>
      <c r="N4" s="1" t="s">
        <v>12</v>
      </c>
    </row>
    <row r="6" spans="1:15" x14ac:dyDescent="0.15">
      <c r="A6" s="1">
        <v>1974</v>
      </c>
      <c r="B6" s="3">
        <v>0</v>
      </c>
      <c r="C6" s="3">
        <v>0</v>
      </c>
      <c r="D6" s="3">
        <v>0</v>
      </c>
      <c r="E6" s="3">
        <v>0</v>
      </c>
      <c r="F6" s="3">
        <v>0</v>
      </c>
      <c r="G6" s="3">
        <v>0</v>
      </c>
      <c r="H6" s="3">
        <v>0</v>
      </c>
      <c r="I6" s="3">
        <v>0</v>
      </c>
      <c r="J6" s="3">
        <v>0</v>
      </c>
      <c r="K6" s="3">
        <f t="shared" ref="K6:M21" si="0">+B6+E6+H6</f>
        <v>0</v>
      </c>
      <c r="L6" s="3">
        <f t="shared" si="0"/>
        <v>0</v>
      </c>
      <c r="M6" s="3">
        <f t="shared" si="0"/>
        <v>0</v>
      </c>
      <c r="N6" s="3">
        <f t="shared" ref="N6:N35" si="1">+M6+L6+K6</f>
        <v>0</v>
      </c>
    </row>
    <row r="7" spans="1:15" x14ac:dyDescent="0.15">
      <c r="A7" s="1">
        <v>1975</v>
      </c>
      <c r="B7" s="3">
        <v>0</v>
      </c>
      <c r="C7" s="3">
        <v>0</v>
      </c>
      <c r="D7" s="3">
        <v>0</v>
      </c>
      <c r="E7" s="3">
        <v>0</v>
      </c>
      <c r="F7" s="3">
        <v>0</v>
      </c>
      <c r="G7" s="3">
        <v>0</v>
      </c>
      <c r="H7" s="3">
        <v>0</v>
      </c>
      <c r="I7" s="3">
        <v>0</v>
      </c>
      <c r="J7" s="3">
        <v>0</v>
      </c>
      <c r="K7" s="3">
        <f t="shared" si="0"/>
        <v>0</v>
      </c>
      <c r="L7" s="3">
        <f t="shared" si="0"/>
        <v>0</v>
      </c>
      <c r="M7" s="3">
        <f t="shared" si="0"/>
        <v>0</v>
      </c>
      <c r="N7" s="3">
        <f t="shared" si="1"/>
        <v>0</v>
      </c>
    </row>
    <row r="8" spans="1:15" x14ac:dyDescent="0.15">
      <c r="A8" s="1">
        <v>1976</v>
      </c>
      <c r="B8" s="3">
        <v>0</v>
      </c>
      <c r="C8" s="3">
        <v>0</v>
      </c>
      <c r="D8" s="3">
        <v>0</v>
      </c>
      <c r="E8" s="3">
        <v>0</v>
      </c>
      <c r="F8" s="3">
        <v>0</v>
      </c>
      <c r="G8" s="3">
        <v>0</v>
      </c>
      <c r="H8" s="3">
        <v>0</v>
      </c>
      <c r="I8" s="3">
        <v>0</v>
      </c>
      <c r="J8" s="3">
        <v>0</v>
      </c>
      <c r="K8" s="3">
        <f t="shared" si="0"/>
        <v>0</v>
      </c>
      <c r="L8" s="3">
        <f t="shared" si="0"/>
        <v>0</v>
      </c>
      <c r="M8" s="3">
        <f t="shared" si="0"/>
        <v>0</v>
      </c>
      <c r="N8" s="3">
        <f t="shared" si="1"/>
        <v>0</v>
      </c>
    </row>
    <row r="9" spans="1:15" x14ac:dyDescent="0.15">
      <c r="A9" s="1">
        <v>1977</v>
      </c>
      <c r="B9" s="3">
        <v>689000</v>
      </c>
      <c r="C9" s="3">
        <v>0</v>
      </c>
      <c r="D9" s="3">
        <v>0</v>
      </c>
      <c r="E9" s="3">
        <v>0</v>
      </c>
      <c r="F9" s="3">
        <v>0</v>
      </c>
      <c r="G9" s="3">
        <v>0</v>
      </c>
      <c r="H9" s="3">
        <v>0</v>
      </c>
      <c r="I9" s="3">
        <v>0</v>
      </c>
      <c r="J9" s="3">
        <v>0</v>
      </c>
      <c r="K9" s="3">
        <f t="shared" si="0"/>
        <v>689000</v>
      </c>
      <c r="L9" s="3">
        <f t="shared" si="0"/>
        <v>0</v>
      </c>
      <c r="M9" s="3">
        <f t="shared" si="0"/>
        <v>0</v>
      </c>
      <c r="N9" s="3">
        <f t="shared" si="1"/>
        <v>689000</v>
      </c>
      <c r="O9" s="1" t="s">
        <v>105</v>
      </c>
    </row>
    <row r="10" spans="1:15" x14ac:dyDescent="0.15">
      <c r="A10" s="1">
        <v>1978</v>
      </c>
      <c r="B10" s="3">
        <v>873000</v>
      </c>
      <c r="C10" s="3">
        <v>0</v>
      </c>
      <c r="D10" s="3">
        <v>0</v>
      </c>
      <c r="E10" s="3">
        <v>0</v>
      </c>
      <c r="F10" s="3">
        <v>0</v>
      </c>
      <c r="G10" s="3">
        <v>0</v>
      </c>
      <c r="H10" s="3">
        <v>0</v>
      </c>
      <c r="I10" s="3">
        <v>0</v>
      </c>
      <c r="J10" s="3">
        <v>0</v>
      </c>
      <c r="K10" s="3">
        <f t="shared" si="0"/>
        <v>873000</v>
      </c>
      <c r="L10" s="3">
        <f t="shared" si="0"/>
        <v>0</v>
      </c>
      <c r="M10" s="3">
        <f t="shared" si="0"/>
        <v>0</v>
      </c>
      <c r="N10" s="3">
        <f t="shared" si="1"/>
        <v>873000</v>
      </c>
      <c r="O10" s="1" t="s">
        <v>106</v>
      </c>
    </row>
    <row r="11" spans="1:15" x14ac:dyDescent="0.15">
      <c r="A11" s="1">
        <v>1979</v>
      </c>
      <c r="B11" s="3">
        <v>928000</v>
      </c>
      <c r="C11" s="3">
        <v>0</v>
      </c>
      <c r="D11" s="3">
        <v>0</v>
      </c>
      <c r="E11" s="3">
        <v>0</v>
      </c>
      <c r="F11" s="3">
        <v>0</v>
      </c>
      <c r="G11" s="3">
        <v>0</v>
      </c>
      <c r="H11" s="3">
        <v>0</v>
      </c>
      <c r="I11" s="3">
        <v>0</v>
      </c>
      <c r="J11" s="3">
        <v>0</v>
      </c>
      <c r="K11" s="3">
        <f t="shared" si="0"/>
        <v>928000</v>
      </c>
      <c r="L11" s="3">
        <f t="shared" si="0"/>
        <v>0</v>
      </c>
      <c r="M11" s="3">
        <f t="shared" si="0"/>
        <v>0</v>
      </c>
      <c r="N11" s="3">
        <f t="shared" si="1"/>
        <v>928000</v>
      </c>
    </row>
    <row r="12" spans="1:15" x14ac:dyDescent="0.15">
      <c r="A12" s="1">
        <v>1980</v>
      </c>
      <c r="B12" s="3">
        <v>1073000</v>
      </c>
      <c r="C12" s="3">
        <v>0</v>
      </c>
      <c r="D12" s="3">
        <v>0</v>
      </c>
      <c r="E12" s="3">
        <v>0</v>
      </c>
      <c r="F12" s="3">
        <v>0</v>
      </c>
      <c r="G12" s="3">
        <v>0</v>
      </c>
      <c r="H12" s="3">
        <v>0</v>
      </c>
      <c r="I12" s="3">
        <v>0</v>
      </c>
      <c r="J12" s="3">
        <v>0</v>
      </c>
      <c r="K12" s="3">
        <f t="shared" si="0"/>
        <v>1073000</v>
      </c>
      <c r="L12" s="3">
        <f t="shared" si="0"/>
        <v>0</v>
      </c>
      <c r="M12" s="3">
        <f t="shared" si="0"/>
        <v>0</v>
      </c>
      <c r="N12" s="3">
        <f t="shared" si="1"/>
        <v>1073000</v>
      </c>
    </row>
    <row r="13" spans="1:15" x14ac:dyDescent="0.15">
      <c r="A13" s="1">
        <v>1981</v>
      </c>
      <c r="B13" s="3">
        <v>789000</v>
      </c>
      <c r="C13" s="3">
        <v>0</v>
      </c>
      <c r="D13" s="3">
        <v>0</v>
      </c>
      <c r="E13" s="3">
        <v>0</v>
      </c>
      <c r="F13" s="3">
        <v>0</v>
      </c>
      <c r="G13" s="3">
        <v>0</v>
      </c>
      <c r="H13" s="3">
        <v>0</v>
      </c>
      <c r="I13" s="3">
        <v>0</v>
      </c>
      <c r="J13" s="3">
        <v>0</v>
      </c>
      <c r="K13" s="3">
        <f t="shared" si="0"/>
        <v>789000</v>
      </c>
      <c r="L13" s="3">
        <f t="shared" si="0"/>
        <v>0</v>
      </c>
      <c r="M13" s="3">
        <f t="shared" si="0"/>
        <v>0</v>
      </c>
      <c r="N13" s="3">
        <f t="shared" si="1"/>
        <v>789000</v>
      </c>
    </row>
    <row r="14" spans="1:15" x14ac:dyDescent="0.15">
      <c r="A14" s="1">
        <v>1982</v>
      </c>
      <c r="B14" s="3">
        <v>1118000</v>
      </c>
      <c r="C14" s="3">
        <v>0</v>
      </c>
      <c r="D14" s="3">
        <v>0</v>
      </c>
      <c r="E14" s="3">
        <v>0</v>
      </c>
      <c r="F14" s="3">
        <v>0</v>
      </c>
      <c r="G14" s="3">
        <v>0</v>
      </c>
      <c r="H14" s="3">
        <v>0</v>
      </c>
      <c r="I14" s="3">
        <v>0</v>
      </c>
      <c r="J14" s="3">
        <v>0</v>
      </c>
      <c r="K14" s="3">
        <f t="shared" si="0"/>
        <v>1118000</v>
      </c>
      <c r="L14" s="3">
        <f t="shared" si="0"/>
        <v>0</v>
      </c>
      <c r="M14" s="3">
        <f t="shared" si="0"/>
        <v>0</v>
      </c>
      <c r="N14" s="3">
        <f t="shared" si="1"/>
        <v>1118000</v>
      </c>
      <c r="O14" s="1" t="s">
        <v>145</v>
      </c>
    </row>
    <row r="15" spans="1:15" x14ac:dyDescent="0.15">
      <c r="A15" s="1">
        <v>1983</v>
      </c>
      <c r="B15" s="3">
        <v>1118000</v>
      </c>
      <c r="C15" s="3">
        <v>0</v>
      </c>
      <c r="D15" s="3">
        <v>0</v>
      </c>
      <c r="E15" s="3">
        <v>0</v>
      </c>
      <c r="F15" s="3">
        <v>0</v>
      </c>
      <c r="G15" s="3">
        <v>0</v>
      </c>
      <c r="H15" s="3">
        <v>0</v>
      </c>
      <c r="I15" s="3">
        <v>0</v>
      </c>
      <c r="J15" s="3">
        <v>0</v>
      </c>
      <c r="K15" s="3">
        <f t="shared" si="0"/>
        <v>1118000</v>
      </c>
      <c r="L15" s="3">
        <f t="shared" si="0"/>
        <v>0</v>
      </c>
      <c r="M15" s="3">
        <f t="shared" si="0"/>
        <v>0</v>
      </c>
      <c r="N15" s="3">
        <f t="shared" si="1"/>
        <v>1118000</v>
      </c>
      <c r="O15" s="1" t="s">
        <v>146</v>
      </c>
    </row>
    <row r="16" spans="1:15" x14ac:dyDescent="0.15">
      <c r="A16" s="1">
        <v>1984</v>
      </c>
      <c r="B16" s="3">
        <v>0</v>
      </c>
      <c r="C16" s="3">
        <v>0</v>
      </c>
      <c r="D16" s="3">
        <v>876000</v>
      </c>
      <c r="E16" s="3">
        <v>0</v>
      </c>
      <c r="F16" s="3">
        <v>0</v>
      </c>
      <c r="G16" s="3">
        <v>0</v>
      </c>
      <c r="H16" s="3">
        <v>0</v>
      </c>
      <c r="I16" s="3">
        <v>0</v>
      </c>
      <c r="J16" s="3">
        <v>0</v>
      </c>
      <c r="K16" s="3">
        <f t="shared" si="0"/>
        <v>0</v>
      </c>
      <c r="L16" s="3">
        <f t="shared" si="0"/>
        <v>0</v>
      </c>
      <c r="M16" s="3">
        <f t="shared" si="0"/>
        <v>876000</v>
      </c>
      <c r="N16" s="3">
        <f t="shared" si="1"/>
        <v>876000</v>
      </c>
    </row>
    <row r="17" spans="1:15" x14ac:dyDescent="0.15">
      <c r="A17" s="1">
        <v>1985</v>
      </c>
      <c r="B17" s="3">
        <v>959000</v>
      </c>
      <c r="C17" s="3">
        <v>147000</v>
      </c>
      <c r="D17" s="3">
        <v>0</v>
      </c>
      <c r="E17" s="3">
        <v>0</v>
      </c>
      <c r="F17" s="3">
        <v>0</v>
      </c>
      <c r="G17" s="3">
        <v>0</v>
      </c>
      <c r="H17" s="3">
        <v>0</v>
      </c>
      <c r="I17" s="3">
        <v>0</v>
      </c>
      <c r="J17" s="3">
        <v>0</v>
      </c>
      <c r="K17" s="3">
        <f t="shared" si="0"/>
        <v>959000</v>
      </c>
      <c r="L17" s="3">
        <f t="shared" si="0"/>
        <v>147000</v>
      </c>
      <c r="M17" s="3">
        <f t="shared" si="0"/>
        <v>0</v>
      </c>
      <c r="N17" s="3">
        <f t="shared" si="1"/>
        <v>1106000</v>
      </c>
    </row>
    <row r="18" spans="1:15" x14ac:dyDescent="0.15">
      <c r="A18" s="1">
        <v>1986</v>
      </c>
      <c r="B18" s="3">
        <v>0</v>
      </c>
      <c r="C18" s="3">
        <v>0</v>
      </c>
      <c r="D18" s="3">
        <v>1106000</v>
      </c>
      <c r="E18" s="3">
        <v>0</v>
      </c>
      <c r="F18" s="3">
        <v>0</v>
      </c>
      <c r="G18" s="3">
        <v>0</v>
      </c>
      <c r="H18" s="3">
        <v>0</v>
      </c>
      <c r="I18" s="3">
        <v>0</v>
      </c>
      <c r="J18" s="3">
        <v>0</v>
      </c>
      <c r="K18" s="3">
        <f t="shared" si="0"/>
        <v>0</v>
      </c>
      <c r="L18" s="3">
        <f t="shared" si="0"/>
        <v>0</v>
      </c>
      <c r="M18" s="3">
        <f t="shared" si="0"/>
        <v>1106000</v>
      </c>
      <c r="N18" s="3">
        <f t="shared" si="1"/>
        <v>1106000</v>
      </c>
    </row>
    <row r="19" spans="1:15" x14ac:dyDescent="0.15">
      <c r="A19" s="1">
        <v>1987</v>
      </c>
      <c r="B19" s="3">
        <v>0</v>
      </c>
      <c r="C19" s="3">
        <v>0</v>
      </c>
      <c r="D19" s="3">
        <v>1059000</v>
      </c>
      <c r="E19" s="3">
        <v>0</v>
      </c>
      <c r="F19" s="3">
        <v>0</v>
      </c>
      <c r="G19" s="3">
        <v>0</v>
      </c>
      <c r="H19" s="3">
        <v>0</v>
      </c>
      <c r="I19" s="3">
        <v>0</v>
      </c>
      <c r="J19" s="3">
        <v>0</v>
      </c>
      <c r="K19" s="3">
        <f t="shared" si="0"/>
        <v>0</v>
      </c>
      <c r="L19" s="3">
        <f t="shared" si="0"/>
        <v>0</v>
      </c>
      <c r="M19" s="3">
        <f t="shared" si="0"/>
        <v>1059000</v>
      </c>
      <c r="N19" s="3">
        <f t="shared" si="1"/>
        <v>1059000</v>
      </c>
    </row>
    <row r="20" spans="1:15" x14ac:dyDescent="0.15">
      <c r="A20" s="1">
        <v>1988</v>
      </c>
      <c r="B20" s="3">
        <v>0</v>
      </c>
      <c r="C20" s="3">
        <v>0</v>
      </c>
      <c r="D20" s="3">
        <v>1106000</v>
      </c>
      <c r="E20" s="3">
        <v>0</v>
      </c>
      <c r="F20" s="3">
        <v>0</v>
      </c>
      <c r="G20" s="3">
        <v>0</v>
      </c>
      <c r="H20" s="3">
        <v>0</v>
      </c>
      <c r="I20" s="3">
        <v>0</v>
      </c>
      <c r="J20" s="3">
        <v>0</v>
      </c>
      <c r="K20" s="3">
        <f t="shared" si="0"/>
        <v>0</v>
      </c>
      <c r="L20" s="3">
        <f t="shared" si="0"/>
        <v>0</v>
      </c>
      <c r="M20" s="3">
        <f t="shared" si="0"/>
        <v>1106000</v>
      </c>
      <c r="N20" s="3">
        <f t="shared" si="1"/>
        <v>1106000</v>
      </c>
    </row>
    <row r="21" spans="1:15" x14ac:dyDescent="0.15">
      <c r="A21" s="1">
        <v>1989</v>
      </c>
      <c r="B21" s="3">
        <v>0</v>
      </c>
      <c r="C21" s="3">
        <v>0</v>
      </c>
      <c r="D21" s="3">
        <v>1075000</v>
      </c>
      <c r="E21" s="3">
        <v>0</v>
      </c>
      <c r="F21" s="3">
        <v>0</v>
      </c>
      <c r="G21" s="3">
        <v>0</v>
      </c>
      <c r="H21" s="3">
        <v>0</v>
      </c>
      <c r="I21" s="3">
        <v>0</v>
      </c>
      <c r="J21" s="3">
        <v>0</v>
      </c>
      <c r="K21" s="3">
        <f t="shared" si="0"/>
        <v>0</v>
      </c>
      <c r="L21" s="3">
        <f t="shared" si="0"/>
        <v>0</v>
      </c>
      <c r="M21" s="3">
        <f t="shared" si="0"/>
        <v>1075000</v>
      </c>
      <c r="N21" s="3">
        <f t="shared" si="1"/>
        <v>1075000</v>
      </c>
    </row>
    <row r="22" spans="1:15" x14ac:dyDescent="0.15">
      <c r="A22" s="1">
        <v>1990</v>
      </c>
      <c r="B22" s="3">
        <v>0</v>
      </c>
      <c r="C22" s="3">
        <v>0</v>
      </c>
      <c r="D22" s="3">
        <v>1069000</v>
      </c>
      <c r="E22" s="3">
        <v>0</v>
      </c>
      <c r="F22" s="3">
        <v>0</v>
      </c>
      <c r="G22" s="3">
        <v>0</v>
      </c>
      <c r="H22" s="3">
        <v>0</v>
      </c>
      <c r="I22" s="3">
        <v>0</v>
      </c>
      <c r="J22" s="3">
        <v>0</v>
      </c>
      <c r="K22" s="3">
        <f t="shared" ref="K22:M35" si="2">+B22+E22+H22</f>
        <v>0</v>
      </c>
      <c r="L22" s="3">
        <f t="shared" si="2"/>
        <v>0</v>
      </c>
      <c r="M22" s="3">
        <f t="shared" si="2"/>
        <v>1069000</v>
      </c>
      <c r="N22" s="3">
        <f t="shared" si="1"/>
        <v>1069000</v>
      </c>
    </row>
    <row r="23" spans="1:15" x14ac:dyDescent="0.15">
      <c r="A23" s="1">
        <v>1991</v>
      </c>
      <c r="B23" s="3">
        <v>0</v>
      </c>
      <c r="C23" s="3">
        <v>0</v>
      </c>
      <c r="D23" s="3">
        <v>974000</v>
      </c>
      <c r="E23" s="3">
        <v>0</v>
      </c>
      <c r="F23" s="3">
        <v>0</v>
      </c>
      <c r="G23" s="3">
        <v>0</v>
      </c>
      <c r="H23" s="3">
        <v>0</v>
      </c>
      <c r="I23" s="3">
        <v>0</v>
      </c>
      <c r="J23" s="3">
        <v>0</v>
      </c>
      <c r="K23" s="3">
        <f t="shared" si="2"/>
        <v>0</v>
      </c>
      <c r="L23" s="3">
        <f t="shared" si="2"/>
        <v>0</v>
      </c>
      <c r="M23" s="3">
        <f t="shared" si="2"/>
        <v>974000</v>
      </c>
      <c r="N23" s="3">
        <f t="shared" si="1"/>
        <v>974000</v>
      </c>
    </row>
    <row r="24" spans="1:15" x14ac:dyDescent="0.15">
      <c r="A24" s="1">
        <v>1992</v>
      </c>
      <c r="B24" s="3">
        <v>970000</v>
      </c>
      <c r="C24" s="3">
        <v>40000</v>
      </c>
      <c r="D24" s="3">
        <v>0</v>
      </c>
      <c r="E24" s="3">
        <v>0</v>
      </c>
      <c r="F24" s="3">
        <v>0</v>
      </c>
      <c r="G24" s="3">
        <v>0</v>
      </c>
      <c r="H24" s="3">
        <v>0</v>
      </c>
      <c r="I24" s="3">
        <v>0</v>
      </c>
      <c r="J24" s="3">
        <v>0</v>
      </c>
      <c r="K24" s="3">
        <f t="shared" si="2"/>
        <v>970000</v>
      </c>
      <c r="L24" s="3">
        <f t="shared" si="2"/>
        <v>40000</v>
      </c>
      <c r="M24" s="3">
        <f t="shared" si="2"/>
        <v>0</v>
      </c>
      <c r="N24" s="3">
        <f t="shared" si="1"/>
        <v>1010000</v>
      </c>
    </row>
    <row r="25" spans="1:15" x14ac:dyDescent="0.15">
      <c r="A25" s="1">
        <v>1993</v>
      </c>
      <c r="B25" s="3">
        <v>1015000</v>
      </c>
      <c r="C25" s="3">
        <v>53000</v>
      </c>
      <c r="D25" s="3">
        <v>0</v>
      </c>
      <c r="E25" s="3">
        <v>0</v>
      </c>
      <c r="F25" s="3">
        <v>0</v>
      </c>
      <c r="G25" s="3">
        <v>0</v>
      </c>
      <c r="H25" s="3">
        <v>0</v>
      </c>
      <c r="I25" s="3">
        <v>0</v>
      </c>
      <c r="J25" s="3">
        <v>0</v>
      </c>
      <c r="K25" s="3">
        <f t="shared" si="2"/>
        <v>1015000</v>
      </c>
      <c r="L25" s="3">
        <f t="shared" si="2"/>
        <v>53000</v>
      </c>
      <c r="M25" s="3">
        <f t="shared" si="2"/>
        <v>0</v>
      </c>
      <c r="N25" s="3">
        <f t="shared" si="1"/>
        <v>1068000</v>
      </c>
    </row>
    <row r="26" spans="1:15" x14ac:dyDescent="0.15">
      <c r="A26" s="1">
        <v>1994</v>
      </c>
      <c r="B26" s="3">
        <v>1022000</v>
      </c>
      <c r="C26" s="3">
        <v>54000</v>
      </c>
      <c r="D26" s="3">
        <v>0</v>
      </c>
      <c r="E26" s="3">
        <v>0</v>
      </c>
      <c r="F26" s="3">
        <v>0</v>
      </c>
      <c r="G26" s="3">
        <v>0</v>
      </c>
      <c r="H26" s="3">
        <v>0</v>
      </c>
      <c r="I26" s="3">
        <v>0</v>
      </c>
      <c r="J26" s="3">
        <v>0</v>
      </c>
      <c r="K26" s="3">
        <f t="shared" si="2"/>
        <v>1022000</v>
      </c>
      <c r="L26" s="3">
        <f t="shared" si="2"/>
        <v>54000</v>
      </c>
      <c r="M26" s="3">
        <f t="shared" si="2"/>
        <v>0</v>
      </c>
      <c r="N26" s="3">
        <f t="shared" si="1"/>
        <v>1076000</v>
      </c>
    </row>
    <row r="27" spans="1:15" x14ac:dyDescent="0.15">
      <c r="A27" s="1">
        <v>1995</v>
      </c>
      <c r="B27" s="3">
        <v>1022000</v>
      </c>
      <c r="C27" s="3">
        <v>54000</v>
      </c>
      <c r="D27" s="3">
        <v>0</v>
      </c>
      <c r="E27" s="3">
        <v>0</v>
      </c>
      <c r="F27" s="3">
        <v>0</v>
      </c>
      <c r="G27" s="3">
        <v>0</v>
      </c>
      <c r="H27" s="3">
        <v>0</v>
      </c>
      <c r="I27" s="3">
        <v>0</v>
      </c>
      <c r="J27" s="3">
        <v>0</v>
      </c>
      <c r="K27" s="3">
        <f t="shared" si="2"/>
        <v>1022000</v>
      </c>
      <c r="L27" s="3">
        <f t="shared" si="2"/>
        <v>54000</v>
      </c>
      <c r="M27" s="3">
        <f t="shared" si="2"/>
        <v>0</v>
      </c>
      <c r="N27" s="3">
        <f t="shared" si="1"/>
        <v>1076000</v>
      </c>
      <c r="O27" s="1" t="s">
        <v>146</v>
      </c>
    </row>
    <row r="28" spans="1:15" x14ac:dyDescent="0.15">
      <c r="A28" s="1">
        <v>1996</v>
      </c>
      <c r="B28" s="3">
        <v>939000</v>
      </c>
      <c r="C28" s="3">
        <v>68000</v>
      </c>
      <c r="D28" s="3">
        <v>0</v>
      </c>
      <c r="E28" s="3">
        <v>0</v>
      </c>
      <c r="F28" s="3">
        <v>0</v>
      </c>
      <c r="G28" s="3">
        <v>0</v>
      </c>
      <c r="H28" s="3">
        <v>0</v>
      </c>
      <c r="I28" s="3">
        <v>0</v>
      </c>
      <c r="J28" s="3">
        <v>0</v>
      </c>
      <c r="K28" s="3">
        <f t="shared" si="2"/>
        <v>939000</v>
      </c>
      <c r="L28" s="3">
        <f t="shared" si="2"/>
        <v>68000</v>
      </c>
      <c r="M28" s="3">
        <f t="shared" si="2"/>
        <v>0</v>
      </c>
      <c r="N28" s="3">
        <f t="shared" si="1"/>
        <v>1007000</v>
      </c>
    </row>
    <row r="29" spans="1:15" x14ac:dyDescent="0.15">
      <c r="A29" s="1">
        <v>1997</v>
      </c>
      <c r="B29" s="3">
        <v>939000</v>
      </c>
      <c r="C29" s="3">
        <v>68000</v>
      </c>
      <c r="D29" s="3">
        <v>0</v>
      </c>
      <c r="E29" s="3">
        <v>0</v>
      </c>
      <c r="F29" s="3">
        <v>0</v>
      </c>
      <c r="G29" s="3">
        <v>0</v>
      </c>
      <c r="H29" s="3">
        <v>0</v>
      </c>
      <c r="I29" s="3">
        <v>0</v>
      </c>
      <c r="J29" s="3">
        <v>0</v>
      </c>
      <c r="K29" s="3">
        <f t="shared" si="2"/>
        <v>939000</v>
      </c>
      <c r="L29" s="3">
        <f t="shared" si="2"/>
        <v>68000</v>
      </c>
      <c r="M29" s="3">
        <f t="shared" si="2"/>
        <v>0</v>
      </c>
      <c r="N29" s="3">
        <f t="shared" si="1"/>
        <v>1007000</v>
      </c>
      <c r="O29" s="1" t="s">
        <v>146</v>
      </c>
    </row>
    <row r="30" spans="1:15" x14ac:dyDescent="0.15">
      <c r="A30" s="1">
        <v>1998</v>
      </c>
      <c r="B30" s="3">
        <v>939000</v>
      </c>
      <c r="C30" s="3">
        <v>68000</v>
      </c>
      <c r="D30" s="3">
        <v>0</v>
      </c>
      <c r="E30" s="3">
        <v>0</v>
      </c>
      <c r="F30" s="3">
        <v>0</v>
      </c>
      <c r="G30" s="3">
        <v>0</v>
      </c>
      <c r="H30" s="3">
        <v>0</v>
      </c>
      <c r="I30" s="3">
        <v>0</v>
      </c>
      <c r="J30" s="3">
        <v>0</v>
      </c>
      <c r="K30" s="3">
        <f t="shared" si="2"/>
        <v>939000</v>
      </c>
      <c r="L30" s="3">
        <f t="shared" si="2"/>
        <v>68000</v>
      </c>
      <c r="M30" s="3">
        <f t="shared" si="2"/>
        <v>0</v>
      </c>
      <c r="N30" s="3">
        <f t="shared" si="1"/>
        <v>1007000</v>
      </c>
      <c r="O30" s="1" t="s">
        <v>146</v>
      </c>
    </row>
    <row r="31" spans="1:15" x14ac:dyDescent="0.15">
      <c r="A31" s="1">
        <v>1999</v>
      </c>
      <c r="B31" s="3">
        <v>728000</v>
      </c>
      <c r="C31" s="3">
        <v>15000</v>
      </c>
      <c r="D31" s="3">
        <v>0</v>
      </c>
      <c r="E31" s="3">
        <v>0</v>
      </c>
      <c r="F31" s="3">
        <v>0</v>
      </c>
      <c r="G31" s="3">
        <v>0</v>
      </c>
      <c r="H31" s="3">
        <v>0</v>
      </c>
      <c r="I31" s="3">
        <v>0</v>
      </c>
      <c r="J31" s="3">
        <v>0</v>
      </c>
      <c r="K31" s="3">
        <f t="shared" si="2"/>
        <v>728000</v>
      </c>
      <c r="L31" s="3">
        <f t="shared" si="2"/>
        <v>15000</v>
      </c>
      <c r="M31" s="3">
        <f t="shared" si="2"/>
        <v>0</v>
      </c>
      <c r="N31" s="3">
        <f t="shared" si="1"/>
        <v>743000</v>
      </c>
    </row>
    <row r="32" spans="1:15" x14ac:dyDescent="0.15">
      <c r="A32" s="1">
        <v>2000</v>
      </c>
      <c r="B32" s="3">
        <v>743037</v>
      </c>
      <c r="C32" s="3">
        <v>0</v>
      </c>
      <c r="D32" s="3">
        <v>0</v>
      </c>
      <c r="E32" s="3">
        <v>0</v>
      </c>
      <c r="F32" s="3">
        <v>0</v>
      </c>
      <c r="G32" s="3">
        <v>0</v>
      </c>
      <c r="H32" s="3">
        <v>0</v>
      </c>
      <c r="I32" s="3">
        <v>0</v>
      </c>
      <c r="J32" s="3">
        <v>0</v>
      </c>
      <c r="K32" s="3">
        <f t="shared" si="2"/>
        <v>743037</v>
      </c>
      <c r="L32" s="3">
        <f t="shared" si="2"/>
        <v>0</v>
      </c>
      <c r="M32" s="3">
        <f t="shared" si="2"/>
        <v>0</v>
      </c>
      <c r="N32" s="3">
        <f t="shared" si="1"/>
        <v>743037</v>
      </c>
    </row>
    <row r="33" spans="1:15" x14ac:dyDescent="0.15">
      <c r="A33" s="1">
        <v>2001</v>
      </c>
      <c r="B33" s="3">
        <f>85937+95624+599681</f>
        <v>781242</v>
      </c>
      <c r="C33" s="3">
        <v>0</v>
      </c>
      <c r="D33" s="3">
        <v>0</v>
      </c>
      <c r="E33" s="3">
        <v>0</v>
      </c>
      <c r="F33" s="3">
        <v>0</v>
      </c>
      <c r="G33" s="3">
        <v>0</v>
      </c>
      <c r="H33" s="3">
        <v>0</v>
      </c>
      <c r="I33" s="3">
        <v>0</v>
      </c>
      <c r="J33" s="3">
        <v>0</v>
      </c>
      <c r="K33" s="3">
        <f t="shared" si="2"/>
        <v>781242</v>
      </c>
      <c r="L33" s="3">
        <f t="shared" si="2"/>
        <v>0</v>
      </c>
      <c r="M33" s="3">
        <f t="shared" si="2"/>
        <v>0</v>
      </c>
      <c r="N33" s="3">
        <f t="shared" si="1"/>
        <v>781242</v>
      </c>
    </row>
    <row r="34" spans="1:15" x14ac:dyDescent="0.15">
      <c r="A34" s="1">
        <v>2002</v>
      </c>
      <c r="B34" s="3">
        <v>1321337</v>
      </c>
      <c r="C34" s="3">
        <v>0</v>
      </c>
      <c r="D34" s="3">
        <v>0</v>
      </c>
      <c r="E34" s="3">
        <v>0</v>
      </c>
      <c r="F34" s="3">
        <v>0</v>
      </c>
      <c r="G34" s="3">
        <v>0</v>
      </c>
      <c r="H34" s="3">
        <v>0</v>
      </c>
      <c r="I34" s="3">
        <v>0</v>
      </c>
      <c r="J34" s="3">
        <v>0</v>
      </c>
      <c r="K34" s="3">
        <f t="shared" si="2"/>
        <v>1321337</v>
      </c>
      <c r="L34" s="3">
        <f t="shared" si="2"/>
        <v>0</v>
      </c>
      <c r="M34" s="3">
        <f t="shared" si="2"/>
        <v>0</v>
      </c>
      <c r="N34" s="3">
        <f t="shared" si="1"/>
        <v>1321337</v>
      </c>
    </row>
    <row r="35" spans="1:15" x14ac:dyDescent="0.15">
      <c r="A35" s="1">
        <v>2003</v>
      </c>
      <c r="B35" s="3">
        <v>0</v>
      </c>
      <c r="C35" s="3">
        <v>0</v>
      </c>
      <c r="D35" s="3">
        <v>1600222</v>
      </c>
      <c r="E35" s="3">
        <v>0</v>
      </c>
      <c r="F35" s="3">
        <v>0</v>
      </c>
      <c r="G35" s="3">
        <v>0</v>
      </c>
      <c r="H35" s="3">
        <v>0</v>
      </c>
      <c r="I35" s="3">
        <v>0</v>
      </c>
      <c r="J35" s="3">
        <v>0</v>
      </c>
      <c r="K35" s="3">
        <f t="shared" si="2"/>
        <v>0</v>
      </c>
      <c r="L35" s="3">
        <f t="shared" si="2"/>
        <v>0</v>
      </c>
      <c r="M35" s="3">
        <f t="shared" si="2"/>
        <v>1600222</v>
      </c>
      <c r="N35" s="3">
        <f t="shared" si="1"/>
        <v>1600222</v>
      </c>
    </row>
    <row r="36" spans="1:15" ht="12.75" x14ac:dyDescent="0.2">
      <c r="A36" s="1">
        <v>2004</v>
      </c>
      <c r="B36" s="3">
        <v>2673874</v>
      </c>
      <c r="C36" s="3">
        <v>0</v>
      </c>
      <c r="D36" s="3">
        <v>0</v>
      </c>
      <c r="E36" s="3">
        <v>0</v>
      </c>
      <c r="F36" s="3">
        <v>0</v>
      </c>
      <c r="G36" s="3">
        <v>0</v>
      </c>
      <c r="H36" s="3">
        <v>24897576</v>
      </c>
      <c r="I36" s="3">
        <v>0</v>
      </c>
      <c r="J36" s="3">
        <v>0</v>
      </c>
      <c r="K36" s="3">
        <v>27571450</v>
      </c>
      <c r="L36" s="3">
        <v>0</v>
      </c>
      <c r="M36" s="3">
        <v>0</v>
      </c>
      <c r="N36" s="3">
        <v>27571450</v>
      </c>
      <c r="O36" s="12" t="s">
        <v>263</v>
      </c>
    </row>
    <row r="37" spans="1:15" ht="12.75" x14ac:dyDescent="0.2">
      <c r="A37" s="1">
        <v>2005</v>
      </c>
      <c r="B37" s="3">
        <v>2777725</v>
      </c>
      <c r="C37" s="3">
        <v>0</v>
      </c>
      <c r="D37" s="3">
        <v>0</v>
      </c>
      <c r="E37" s="3">
        <v>0</v>
      </c>
      <c r="F37" s="3">
        <v>0</v>
      </c>
      <c r="G37" s="3">
        <v>0</v>
      </c>
      <c r="H37" s="3">
        <v>28578924</v>
      </c>
      <c r="I37" s="3">
        <v>0</v>
      </c>
      <c r="J37" s="3">
        <v>0</v>
      </c>
      <c r="K37" s="3">
        <v>31356649</v>
      </c>
      <c r="L37" s="3">
        <v>0</v>
      </c>
      <c r="M37" s="3">
        <v>0</v>
      </c>
      <c r="N37" s="3">
        <v>31356649</v>
      </c>
      <c r="O37" s="12"/>
    </row>
    <row r="38" spans="1:15" ht="12.75" x14ac:dyDescent="0.2">
      <c r="A38" s="1">
        <v>2006</v>
      </c>
      <c r="B38" s="3">
        <v>3320230</v>
      </c>
      <c r="C38" s="3">
        <v>0</v>
      </c>
      <c r="D38" s="3">
        <v>0</v>
      </c>
      <c r="E38" s="3">
        <v>0</v>
      </c>
      <c r="F38" s="3">
        <v>0</v>
      </c>
      <c r="G38" s="3">
        <v>0</v>
      </c>
      <c r="H38" s="3">
        <v>30536217</v>
      </c>
      <c r="I38" s="3">
        <v>0</v>
      </c>
      <c r="J38" s="3">
        <v>0</v>
      </c>
      <c r="K38" s="3">
        <v>33856447</v>
      </c>
      <c r="L38" s="3">
        <v>0</v>
      </c>
      <c r="M38" s="3">
        <v>0</v>
      </c>
      <c r="N38" s="3">
        <v>33856447</v>
      </c>
      <c r="O38" s="12"/>
    </row>
    <row r="39" spans="1:15" ht="12.75" x14ac:dyDescent="0.2">
      <c r="A39" s="1">
        <v>2007</v>
      </c>
      <c r="B39" s="3">
        <v>4398908</v>
      </c>
      <c r="C39" s="3">
        <v>0</v>
      </c>
      <c r="D39" s="3">
        <v>0</v>
      </c>
      <c r="E39" s="3">
        <v>0</v>
      </c>
      <c r="F39" s="3">
        <v>0</v>
      </c>
      <c r="G39" s="3">
        <v>0</v>
      </c>
      <c r="H39" s="3">
        <v>29267277</v>
      </c>
      <c r="I39" s="3">
        <v>0</v>
      </c>
      <c r="J39" s="3">
        <v>0</v>
      </c>
      <c r="K39" s="3">
        <v>33666185</v>
      </c>
      <c r="L39" s="3">
        <v>0</v>
      </c>
      <c r="M39" s="3">
        <v>0</v>
      </c>
      <c r="N39" s="3">
        <v>33666185</v>
      </c>
      <c r="O39" s="12"/>
    </row>
    <row r="40" spans="1:15" ht="12.75" x14ac:dyDescent="0.2">
      <c r="A40" s="1">
        <v>2008</v>
      </c>
      <c r="B40" s="3">
        <v>1756735</v>
      </c>
      <c r="C40" s="3">
        <v>0</v>
      </c>
      <c r="D40" s="3">
        <v>0</v>
      </c>
      <c r="E40" s="3">
        <v>1185119</v>
      </c>
      <c r="F40" s="3">
        <v>0</v>
      </c>
      <c r="G40" s="3">
        <v>0</v>
      </c>
      <c r="H40" s="3">
        <v>30554227</v>
      </c>
      <c r="I40" s="3">
        <v>0</v>
      </c>
      <c r="J40" s="3">
        <v>0</v>
      </c>
      <c r="K40" s="3">
        <v>33496081</v>
      </c>
      <c r="L40" s="3">
        <v>0</v>
      </c>
      <c r="M40" s="3">
        <v>0</v>
      </c>
      <c r="N40" s="3">
        <v>33496081</v>
      </c>
      <c r="O40" s="12"/>
    </row>
    <row r="41" spans="1:15" ht="12.75" x14ac:dyDescent="0.2">
      <c r="A41" s="1">
        <v>2009</v>
      </c>
      <c r="B41" s="3">
        <v>1757644</v>
      </c>
      <c r="C41" s="3">
        <v>0</v>
      </c>
      <c r="D41" s="3">
        <v>0</v>
      </c>
      <c r="E41" s="3">
        <v>1421488</v>
      </c>
      <c r="F41" s="3">
        <v>0</v>
      </c>
      <c r="G41" s="3">
        <v>0</v>
      </c>
      <c r="H41" s="3">
        <v>31029100</v>
      </c>
      <c r="I41" s="3">
        <v>0</v>
      </c>
      <c r="J41" s="3">
        <v>0</v>
      </c>
      <c r="K41" s="3">
        <v>34208232</v>
      </c>
      <c r="L41" s="3">
        <v>0</v>
      </c>
      <c r="M41" s="3">
        <v>0</v>
      </c>
      <c r="N41" s="3">
        <v>34208232</v>
      </c>
      <c r="O41" s="12"/>
    </row>
    <row r="42" spans="1:15" ht="12.75" x14ac:dyDescent="0.2">
      <c r="A42" s="1">
        <v>2010</v>
      </c>
      <c r="B42" s="3">
        <v>1754857</v>
      </c>
      <c r="C42" s="3">
        <v>0</v>
      </c>
      <c r="D42" s="3">
        <v>0</v>
      </c>
      <c r="E42" s="3">
        <v>0</v>
      </c>
      <c r="F42" s="3">
        <v>0</v>
      </c>
      <c r="G42" s="3">
        <v>0</v>
      </c>
      <c r="H42" s="3">
        <v>32625723</v>
      </c>
      <c r="I42" s="3">
        <v>0</v>
      </c>
      <c r="J42" s="3">
        <v>0</v>
      </c>
      <c r="K42" s="3">
        <v>34380580</v>
      </c>
      <c r="L42" s="3">
        <v>0</v>
      </c>
      <c r="M42" s="3">
        <v>0</v>
      </c>
      <c r="N42" s="3">
        <v>34380580</v>
      </c>
      <c r="O42" s="12"/>
    </row>
    <row r="43" spans="1:15" ht="12.75" x14ac:dyDescent="0.2">
      <c r="A43" s="1">
        <v>2011</v>
      </c>
      <c r="B43" s="3">
        <v>2083629</v>
      </c>
      <c r="C43" s="3">
        <v>0</v>
      </c>
      <c r="D43" s="3">
        <v>0</v>
      </c>
      <c r="E43" s="3">
        <v>0</v>
      </c>
      <c r="F43" s="3">
        <v>0</v>
      </c>
      <c r="G43" s="3">
        <v>0</v>
      </c>
      <c r="H43" s="3">
        <v>32629569</v>
      </c>
      <c r="I43" s="3">
        <v>0</v>
      </c>
      <c r="J43" s="3">
        <v>0</v>
      </c>
      <c r="K43" s="3">
        <v>34713198</v>
      </c>
      <c r="L43" s="3">
        <v>0</v>
      </c>
      <c r="M43" s="3">
        <v>0</v>
      </c>
      <c r="N43" s="3">
        <v>34713198</v>
      </c>
      <c r="O43" s="12"/>
    </row>
    <row r="44" spans="1:15" ht="12.75" x14ac:dyDescent="0.2">
      <c r="A44" s="1">
        <v>2012</v>
      </c>
      <c r="B44" s="3">
        <v>1511678</v>
      </c>
      <c r="C44" s="3">
        <v>0</v>
      </c>
      <c r="D44" s="3">
        <v>0</v>
      </c>
      <c r="E44" s="3">
        <v>0</v>
      </c>
      <c r="F44" s="3">
        <v>0</v>
      </c>
      <c r="G44" s="3">
        <v>0</v>
      </c>
      <c r="H44" s="3">
        <v>33673831</v>
      </c>
      <c r="I44" s="3">
        <v>0</v>
      </c>
      <c r="J44" s="3">
        <v>0</v>
      </c>
      <c r="K44" s="3">
        <v>35185509</v>
      </c>
      <c r="L44" s="3">
        <v>0</v>
      </c>
      <c r="M44" s="3">
        <v>0</v>
      </c>
      <c r="N44" s="3">
        <v>35185509</v>
      </c>
      <c r="O44" s="12"/>
    </row>
    <row r="45" spans="1:15" ht="12.75" x14ac:dyDescent="0.2">
      <c r="A45" s="1">
        <v>2013</v>
      </c>
      <c r="B45" s="3">
        <v>1176653</v>
      </c>
      <c r="C45" s="3">
        <v>0</v>
      </c>
      <c r="D45" s="3">
        <v>0</v>
      </c>
      <c r="E45" s="3">
        <v>0</v>
      </c>
      <c r="F45" s="3">
        <v>0</v>
      </c>
      <c r="G45" s="3">
        <v>0</v>
      </c>
      <c r="H45" s="3">
        <v>32959277</v>
      </c>
      <c r="I45" s="3">
        <v>0</v>
      </c>
      <c r="J45" s="3">
        <v>0</v>
      </c>
      <c r="K45" s="3">
        <v>34135930</v>
      </c>
      <c r="L45" s="3">
        <v>0</v>
      </c>
      <c r="M45" s="3">
        <v>0</v>
      </c>
      <c r="N45" s="3">
        <v>34135930</v>
      </c>
      <c r="O45" s="12"/>
    </row>
    <row r="46" spans="1:15" ht="12.75" x14ac:dyDescent="0.2">
      <c r="A46" s="1">
        <v>2014</v>
      </c>
      <c r="B46" s="3">
        <v>1196981</v>
      </c>
      <c r="C46" s="3">
        <v>0</v>
      </c>
      <c r="D46" s="3">
        <v>0</v>
      </c>
      <c r="E46" s="3">
        <v>0</v>
      </c>
      <c r="F46" s="3">
        <v>0</v>
      </c>
      <c r="G46" s="3">
        <v>0</v>
      </c>
      <c r="H46" s="3">
        <v>30596718</v>
      </c>
      <c r="I46" s="3">
        <v>0</v>
      </c>
      <c r="J46" s="3">
        <v>0</v>
      </c>
      <c r="K46" s="3">
        <v>31793699</v>
      </c>
      <c r="L46" s="3">
        <v>0</v>
      </c>
      <c r="M46" s="3">
        <v>0</v>
      </c>
      <c r="N46" s="3">
        <v>31793699</v>
      </c>
      <c r="O46" s="12"/>
    </row>
    <row r="47" spans="1:15" ht="12.75" x14ac:dyDescent="0.2">
      <c r="A47" s="1">
        <v>2015</v>
      </c>
      <c r="B47" s="3">
        <v>949782</v>
      </c>
      <c r="C47" s="3">
        <v>0</v>
      </c>
      <c r="D47" s="3">
        <v>0</v>
      </c>
      <c r="E47" s="3">
        <v>0</v>
      </c>
      <c r="F47" s="3">
        <v>0</v>
      </c>
      <c r="G47" s="3">
        <v>0</v>
      </c>
      <c r="H47" s="3">
        <v>30129689</v>
      </c>
      <c r="I47" s="3">
        <v>0</v>
      </c>
      <c r="J47" s="3">
        <v>0</v>
      </c>
      <c r="K47" s="3">
        <v>31079471</v>
      </c>
      <c r="L47" s="3">
        <v>0</v>
      </c>
      <c r="M47" s="3">
        <v>0</v>
      </c>
      <c r="N47" s="3">
        <v>31079471</v>
      </c>
      <c r="O47" s="12"/>
    </row>
    <row r="48" spans="1:15" ht="12.75" x14ac:dyDescent="0.2">
      <c r="A48" s="1">
        <v>2016</v>
      </c>
      <c r="B48" s="3">
        <v>745771</v>
      </c>
      <c r="C48" s="3">
        <v>0</v>
      </c>
      <c r="D48" s="3">
        <v>0</v>
      </c>
      <c r="E48" s="3">
        <v>0</v>
      </c>
      <c r="F48" s="3">
        <v>0</v>
      </c>
      <c r="G48" s="3">
        <v>0</v>
      </c>
      <c r="H48" s="3">
        <v>31010074</v>
      </c>
      <c r="I48" s="3">
        <v>0</v>
      </c>
      <c r="J48" s="3">
        <v>0</v>
      </c>
      <c r="K48" s="3">
        <v>31755845</v>
      </c>
      <c r="L48" s="3">
        <v>0</v>
      </c>
      <c r="M48" s="3">
        <v>0</v>
      </c>
      <c r="N48" s="3">
        <v>31755845</v>
      </c>
      <c r="O48" s="12"/>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Alabama</vt:lpstr>
      <vt:lpstr>Alaska</vt:lpstr>
      <vt:lpstr>Arizona</vt:lpstr>
      <vt:lpstr>Arkansas</vt:lpstr>
      <vt:lpstr>California</vt:lpstr>
      <vt:lpstr>Colorado</vt:lpstr>
      <vt:lpstr>Connecticut</vt:lpstr>
      <vt:lpstr>Delaware</vt:lpstr>
      <vt:lpstr>District of 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Massachusettes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Puerto Rico</vt:lpstr>
      <vt:lpstr>Rhode Island</vt:lpstr>
      <vt:lpstr>South Carolina</vt:lpstr>
      <vt:lpstr>South Dakota </vt:lpstr>
      <vt:lpstr>Tennessee</vt:lpstr>
      <vt:lpstr>Texas</vt:lpstr>
      <vt:lpstr>Utah</vt:lpstr>
      <vt:lpstr>Vermont</vt:lpstr>
      <vt:lpstr>Virginia</vt:lpstr>
      <vt:lpstr>Washington</vt:lpstr>
      <vt:lpstr>West Virginia</vt:lpstr>
      <vt:lpstr>Wisconsin</vt:lpstr>
      <vt:lpstr>Wyoming</vt:lpstr>
      <vt:lpstr>Total</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Solomon</dc:creator>
  <cp:lastModifiedBy>Heywood J. Buzzfuddle</cp:lastModifiedBy>
  <cp:lastPrinted>2004-12-07T16:08:19Z</cp:lastPrinted>
  <dcterms:created xsi:type="dcterms:W3CDTF">2004-12-03T21:32:00Z</dcterms:created>
  <dcterms:modified xsi:type="dcterms:W3CDTF">2018-01-02T22:23:05Z</dcterms:modified>
</cp:coreProperties>
</file>