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kacham/Desktop/"/>
    </mc:Choice>
  </mc:AlternateContent>
  <xr:revisionPtr revIDLastSave="0" documentId="13_ncr:1_{327A9530-FE26-0F47-B4C9-3A7259687ACD}" xr6:coauthVersionLast="47" xr6:coauthVersionMax="47" xr10:uidLastSave="{00000000-0000-0000-0000-000000000000}"/>
  <bookViews>
    <workbookView xWindow="0" yWindow="840" windowWidth="34200" windowHeight="21400" xr2:uid="{B23402A5-DEE1-2449-804A-74BE4AFC8C5F}"/>
  </bookViews>
  <sheets>
    <sheet name="Sheet1" sheetId="1" r:id="rId1"/>
  </sheets>
  <definedNames>
    <definedName name="AAPL">Sheet1!$F$5:$F$33</definedName>
    <definedName name="BTC">Sheet1!$H$5:$H$33</definedName>
    <definedName name="solver_adj" localSheetId="0" hidden="1">Sheet1!$K$10:$K$12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Sheet1!$K$10:$K$12</definedName>
    <definedName name="solver_lhs2" localSheetId="0" hidden="1">Sheet1!$K$12</definedName>
    <definedName name="solver_lhs3" localSheetId="0" hidden="1">Sheet1!$K$13</definedName>
    <definedName name="solver_lhs4" localSheetId="0" hidden="1">Sheet1!$L$18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Sheet1!$K$20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2</definedName>
    <definedName name="solver_rel4" localSheetId="0" hidden="1">1</definedName>
    <definedName name="solver_rhs1" localSheetId="0" hidden="1">0.1</definedName>
    <definedName name="solver_rhs2" localSheetId="0" hidden="1">0.5</definedName>
    <definedName name="solver_rhs3" localSheetId="0" hidden="1">1</definedName>
    <definedName name="solver_rhs4" localSheetId="0" hidden="1">0.05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  <definedName name="TSLA">Sheet1!$G$5:$G$33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1" l="1"/>
  <c r="L12" i="1"/>
  <c r="L10" i="1"/>
  <c r="K13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N7" i="1" s="1"/>
  <c r="G5" i="1"/>
  <c r="L6" i="1" s="1"/>
  <c r="F5" i="1"/>
  <c r="M5" i="1" s="1"/>
  <c r="L13" i="1" l="1"/>
  <c r="L7" i="1"/>
  <c r="M6" i="1"/>
  <c r="K5" i="1"/>
  <c r="M7" i="1"/>
  <c r="K6" i="1"/>
  <c r="N5" i="1"/>
  <c r="K7" i="1"/>
  <c r="N6" i="1"/>
  <c r="L5" i="1"/>
  <c r="K16" i="1" l="1" a="1"/>
  <c r="K16" i="1" s="1"/>
  <c r="L16" i="1" s="1"/>
  <c r="K17" i="1" a="1"/>
  <c r="K17" i="1" s="1"/>
  <c r="K18" i="1" s="1"/>
  <c r="L18" i="1" s="1"/>
  <c r="K20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<sst xmlns="http://schemas.openxmlformats.org/spreadsheetml/2006/main" count="33" uniqueCount="27">
  <si>
    <t xml:space="preserve">apple % change </t>
  </si>
  <si>
    <t xml:space="preserve">Tesla % change </t>
  </si>
  <si>
    <t xml:space="preserve">BTC  % change </t>
  </si>
  <si>
    <t>Date</t>
  </si>
  <si>
    <t>Close Price_Apple</t>
  </si>
  <si>
    <t xml:space="preserve">Closing price for tesla </t>
  </si>
  <si>
    <t>closing price for BTC</t>
  </si>
  <si>
    <t>AAPL</t>
  </si>
  <si>
    <t>TSLA</t>
  </si>
  <si>
    <t>BTC</t>
  </si>
  <si>
    <t>Montly Return</t>
  </si>
  <si>
    <t xml:space="preserve">Portofolio weights </t>
  </si>
  <si>
    <t>return</t>
  </si>
  <si>
    <t xml:space="preserve">variece </t>
  </si>
  <si>
    <t>std dev</t>
  </si>
  <si>
    <t>risk free factor</t>
  </si>
  <si>
    <t>sharpe ratio</t>
  </si>
  <si>
    <t>Anualized</t>
  </si>
  <si>
    <t>Daily</t>
  </si>
  <si>
    <t>Total</t>
  </si>
  <si>
    <t>Covarience Matrix</t>
  </si>
  <si>
    <t>Constraints :</t>
  </si>
  <si>
    <t xml:space="preserve"> 1) The Person wants to invest 20% of the savings. </t>
  </si>
  <si>
    <t xml:space="preserve">2)Min 10% should be invested in each company. </t>
  </si>
  <si>
    <t xml:space="preserve">3)The money invested in Microsoft should not be more than the amount invested in apple and tesla combined. </t>
  </si>
  <si>
    <t xml:space="preserve">4)The Person is ready to risk around 5% of their investment. </t>
  </si>
  <si>
    <t>Investen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</si>
</sst>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%"/>
    <numFmt numFmtId="165" formatCode="0.0000%"/>
    <numFmt numFmtId="166" formatCode="0.00000%"/>
    <numFmt numFmtId="167" formatCode="0.000"/>
    <numFmt numFmtId="168" formatCode="_(&quot;$&quot;* #,##0.0000_);_(&quot;$&quot;* \(#,##0.00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0" xfId="0" applyNumberFormat="1"/>
    <xf numFmtId="0" fontId="0" fillId="0" borderId="5" xfId="0" applyBorder="1"/>
    <xf numFmtId="9" fontId="0" fillId="0" borderId="5" xfId="1" applyFont="1" applyBorder="1"/>
    <xf numFmtId="9" fontId="0" fillId="0" borderId="5" xfId="0" applyNumberFormat="1" applyBorder="1"/>
    <xf numFmtId="165" fontId="0" fillId="0" borderId="5" xfId="1" applyNumberFormat="1" applyFont="1" applyBorder="1"/>
    <xf numFmtId="166" fontId="0" fillId="0" borderId="5" xfId="1" applyNumberFormat="1" applyFont="1" applyBorder="1"/>
    <xf numFmtId="164" fontId="0" fillId="0" borderId="5" xfId="1" applyNumberFormat="1" applyFont="1" applyBorder="1"/>
    <xf numFmtId="167" fontId="0" fillId="0" borderId="5" xfId="1" applyNumberFormat="1" applyFont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0" borderId="5" xfId="0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44" fontId="0" fillId="0" borderId="5" xfId="2" applyFont="1" applyBorder="1"/>
    <xf numFmtId="168" fontId="0" fillId="0" borderId="5" xfId="2" applyNumberFormat="1" applyFont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EA9C9-D39A-D342-848C-84229109234A}">
  <dimension ref="B2:P34"/>
  <sheetViews>
    <sheetView tabSelected="1" topLeftCell="E1" zoomScale="115" workbookViewId="0">
      <selection activeCell="K20" sqref="K20"/>
    </sheetView>
  </sheetViews>
  <sheetFormatPr baseColWidth="10" defaultRowHeight="16" x14ac:dyDescent="0.2"/>
  <cols>
    <col min="2" max="8" width="20.83203125" customWidth="1"/>
    <col min="10" max="10" width="18.33203125" customWidth="1"/>
    <col min="11" max="11" width="21.1640625" bestFit="1" customWidth="1"/>
    <col min="12" max="12" width="12.1640625" bestFit="1" customWidth="1"/>
    <col min="13" max="13" width="12.83203125" bestFit="1" customWidth="1"/>
    <col min="14" max="14" width="20.6640625" customWidth="1"/>
    <col min="15" max="15" width="7.33203125" customWidth="1"/>
    <col min="16" max="16" width="92.5" customWidth="1"/>
  </cols>
  <sheetData>
    <row r="2" spans="2:16" ht="17" thickBot="1" x14ac:dyDescent="0.25"/>
    <row r="3" spans="2:16" ht="17" thickBot="1" x14ac:dyDescent="0.25">
      <c r="B3" s="10" t="s">
        <v>3</v>
      </c>
      <c r="C3" s="11" t="s">
        <v>4</v>
      </c>
      <c r="D3" s="11" t="s">
        <v>5</v>
      </c>
      <c r="E3" s="12" t="s">
        <v>6</v>
      </c>
      <c r="F3" s="1" t="s">
        <v>0</v>
      </c>
      <c r="G3" s="2" t="s">
        <v>1</v>
      </c>
      <c r="H3" s="3" t="s">
        <v>2</v>
      </c>
      <c r="J3" s="30" t="s">
        <v>20</v>
      </c>
      <c r="P3" s="31" t="s">
        <v>21</v>
      </c>
    </row>
    <row r="4" spans="2:16" x14ac:dyDescent="0.2">
      <c r="B4" s="13">
        <v>45045</v>
      </c>
      <c r="C4" s="14">
        <v>175.6489</v>
      </c>
      <c r="D4" s="14">
        <v>197.5958</v>
      </c>
      <c r="E4" s="15">
        <v>34674.699999999997</v>
      </c>
      <c r="F4" s="4"/>
      <c r="G4" s="5"/>
      <c r="H4" s="6"/>
      <c r="J4" s="27"/>
      <c r="K4" s="27" t="s">
        <v>7</v>
      </c>
      <c r="L4" s="27" t="s">
        <v>8</v>
      </c>
      <c r="M4" s="27" t="s">
        <v>9</v>
      </c>
      <c r="N4" s="27" t="s">
        <v>10</v>
      </c>
      <c r="P4" s="32" t="s">
        <v>22</v>
      </c>
    </row>
    <row r="5" spans="2:16" x14ac:dyDescent="0.2">
      <c r="B5" s="13">
        <v>45046</v>
      </c>
      <c r="C5" s="14">
        <v>175.68809999999999</v>
      </c>
      <c r="D5" s="14">
        <v>197.2945</v>
      </c>
      <c r="E5" s="15">
        <v>34669.79</v>
      </c>
      <c r="F5" s="4">
        <f>(C4-C5)/C5</f>
        <v>-2.2312268161585167E-4</v>
      </c>
      <c r="G5" s="5">
        <f t="shared" ref="G5:H20" si="0">(D4-D5)/D5</f>
        <v>1.5271586384820544E-3</v>
      </c>
      <c r="H5" s="6">
        <f t="shared" si="0"/>
        <v>1.4162185579999812E-4</v>
      </c>
      <c r="J5" s="27" t="s">
        <v>7</v>
      </c>
      <c r="K5" s="5">
        <f>_xlfn.COVARIANCE.S(AAPL,AAPL)</f>
        <v>2.8425134855099561E-7</v>
      </c>
      <c r="L5" s="5">
        <f>_xlfn.COVARIANCE.S(AAPL,TSLA)</f>
        <v>3.3210291789328448E-6</v>
      </c>
      <c r="M5" s="5">
        <f>_xlfn.COVARIANCE.S(AAPL,BTC)</f>
        <v>-1.6716076709346468E-8</v>
      </c>
      <c r="N5" s="5">
        <f>AVERAGE(AAPL)</f>
        <v>-2.1080327648582118E-4</v>
      </c>
      <c r="P5" s="33" t="s">
        <v>23</v>
      </c>
    </row>
    <row r="6" spans="2:16" x14ac:dyDescent="0.2">
      <c r="B6" s="13">
        <v>45047</v>
      </c>
      <c r="C6" s="14">
        <v>175.79740000000001</v>
      </c>
      <c r="D6" s="14">
        <v>190.72550000000001</v>
      </c>
      <c r="E6" s="15">
        <v>34586.33</v>
      </c>
      <c r="F6" s="4">
        <f t="shared" ref="F6:H33" si="1">(C5-C6)/C6</f>
        <v>-6.217384329917213E-4</v>
      </c>
      <c r="G6" s="5">
        <f t="shared" si="0"/>
        <v>3.4442169505388573E-2</v>
      </c>
      <c r="H6" s="6">
        <f t="shared" si="0"/>
        <v>2.4130921089343428E-3</v>
      </c>
      <c r="J6" s="27" t="s">
        <v>8</v>
      </c>
      <c r="K6" s="5">
        <f>_xlfn.COVARIANCE.S(TSLA,AAPL)</f>
        <v>3.3210291789328448E-6</v>
      </c>
      <c r="L6" s="5">
        <f>_xlfn.COVARIANCE.S(TSLA,TSLA)</f>
        <v>3.5600086283633985E-4</v>
      </c>
      <c r="M6" s="5">
        <f>_xlfn.COVARIANCE.S(TSLA,BTC)</f>
        <v>4.7622319573245217E-6</v>
      </c>
      <c r="N6" s="5">
        <f>AVERAGE(TSLA)</f>
        <v>1.3689758398560043E-3</v>
      </c>
      <c r="P6" s="33" t="s">
        <v>24</v>
      </c>
    </row>
    <row r="7" spans="2:16" ht="17" thickBot="1" x14ac:dyDescent="0.25">
      <c r="B7" s="13">
        <v>45048</v>
      </c>
      <c r="C7" s="14">
        <v>175.7543</v>
      </c>
      <c r="D7" s="14">
        <v>190.61709999999999</v>
      </c>
      <c r="E7" s="15">
        <v>34538.82</v>
      </c>
      <c r="F7" s="4">
        <f t="shared" si="1"/>
        <v>2.4522870848684607E-4</v>
      </c>
      <c r="G7" s="5">
        <f t="shared" si="0"/>
        <v>5.6867930526703734E-4</v>
      </c>
      <c r="H7" s="6">
        <f t="shared" si="0"/>
        <v>1.3755536523830877E-3</v>
      </c>
      <c r="J7" s="27" t="s">
        <v>9</v>
      </c>
      <c r="K7" s="5">
        <f>_xlfn.COVARIANCE.S(BTC,AAPL)</f>
        <v>-1.6716076709346468E-8</v>
      </c>
      <c r="L7" s="5">
        <f>_xlfn.COVARIANCE.S(BTC,TSLA)</f>
        <v>4.7622319573245217E-6</v>
      </c>
      <c r="M7" s="5">
        <f>_xlfn.COVARIANCE.S(BTC,BTC)</f>
        <v>1.2184234715129208E-6</v>
      </c>
      <c r="N7" s="5">
        <f>AVERAGE(BTC)</f>
        <v>2.4121704268374937E-3</v>
      </c>
      <c r="P7" s="34" t="s">
        <v>25</v>
      </c>
    </row>
    <row r="8" spans="2:16" x14ac:dyDescent="0.2">
      <c r="B8" s="13">
        <v>45049</v>
      </c>
      <c r="C8" s="14">
        <v>175.81899999999999</v>
      </c>
      <c r="D8" s="14">
        <v>190.49639999999999</v>
      </c>
      <c r="E8" s="15">
        <v>34488.339999999997</v>
      </c>
      <c r="F8" s="4">
        <f t="shared" si="1"/>
        <v>-3.6799208276686691E-4</v>
      </c>
      <c r="G8" s="5">
        <f t="shared" si="0"/>
        <v>6.336077742151525E-4</v>
      </c>
      <c r="H8" s="6">
        <f t="shared" si="0"/>
        <v>1.4636830882554281E-3</v>
      </c>
    </row>
    <row r="9" spans="2:16" x14ac:dyDescent="0.2">
      <c r="B9" s="13">
        <v>45050</v>
      </c>
      <c r="C9" s="14">
        <v>175.75290000000001</v>
      </c>
      <c r="D9" s="14">
        <v>189.54640000000001</v>
      </c>
      <c r="E9" s="15">
        <v>34410.67</v>
      </c>
      <c r="F9" s="4">
        <f t="shared" si="1"/>
        <v>3.7609621235255516E-4</v>
      </c>
      <c r="G9" s="5">
        <f t="shared" si="0"/>
        <v>5.0119654079422695E-3</v>
      </c>
      <c r="H9" s="6">
        <f t="shared" si="0"/>
        <v>2.2571487274150215E-3</v>
      </c>
      <c r="J9" s="30" t="s">
        <v>11</v>
      </c>
      <c r="L9" t="s">
        <v>26</v>
      </c>
    </row>
    <row r="10" spans="2:16" x14ac:dyDescent="0.2">
      <c r="B10" s="13">
        <v>45051</v>
      </c>
      <c r="C10" s="14">
        <v>175.6506</v>
      </c>
      <c r="D10" s="14">
        <v>188.45259999999999</v>
      </c>
      <c r="E10" s="15">
        <v>34337.730000000003</v>
      </c>
      <c r="F10" s="4">
        <f t="shared" si="1"/>
        <v>5.8240620868937442E-4</v>
      </c>
      <c r="G10" s="5">
        <f t="shared" si="0"/>
        <v>5.8041120154352652E-3</v>
      </c>
      <c r="H10" s="6">
        <f t="shared" si="0"/>
        <v>2.1241939988460227E-3</v>
      </c>
      <c r="J10" s="27" t="s">
        <v>7</v>
      </c>
      <c r="K10" s="21">
        <v>0.34550234927293089</v>
      </c>
      <c r="L10" s="36">
        <f>K10*2000</f>
        <v>691.00469854586174</v>
      </c>
      <c r="N10" s="19"/>
    </row>
    <row r="11" spans="2:16" x14ac:dyDescent="0.2">
      <c r="B11" s="13">
        <v>45052</v>
      </c>
      <c r="C11" s="14">
        <v>175.8135</v>
      </c>
      <c r="D11" s="14">
        <v>195.00579999999999</v>
      </c>
      <c r="E11" s="15">
        <v>34240.01</v>
      </c>
      <c r="F11" s="4">
        <f t="shared" si="1"/>
        <v>-9.2655000895839961E-4</v>
      </c>
      <c r="G11" s="5">
        <f t="shared" si="0"/>
        <v>-3.3605154308230856E-2</v>
      </c>
      <c r="H11" s="6">
        <f t="shared" si="0"/>
        <v>2.853971129097251E-3</v>
      </c>
      <c r="J11" s="27" t="s">
        <v>8</v>
      </c>
      <c r="K11" s="22">
        <v>0.15449765072706911</v>
      </c>
      <c r="L11" s="36">
        <f>K11*2000</f>
        <v>308.9953014541382</v>
      </c>
    </row>
    <row r="12" spans="2:16" x14ac:dyDescent="0.2">
      <c r="B12" s="13">
        <v>45053</v>
      </c>
      <c r="C12" s="14">
        <v>175.8219</v>
      </c>
      <c r="D12" s="14">
        <v>194.5771</v>
      </c>
      <c r="E12" s="15">
        <v>34175.22</v>
      </c>
      <c r="F12" s="4">
        <f t="shared" si="1"/>
        <v>-4.7775618395630089E-5</v>
      </c>
      <c r="G12" s="5">
        <f t="shared" si="0"/>
        <v>2.2032397440397257E-3</v>
      </c>
      <c r="H12" s="6">
        <f t="shared" si="0"/>
        <v>1.8958180810540758E-3</v>
      </c>
      <c r="J12" s="27" t="s">
        <v>9</v>
      </c>
      <c r="K12" s="22">
        <v>0.5</v>
      </c>
      <c r="L12" s="35">
        <f>K12*2000</f>
        <v>1000</v>
      </c>
    </row>
    <row r="13" spans="2:16" x14ac:dyDescent="0.2">
      <c r="B13" s="13">
        <v>45054</v>
      </c>
      <c r="C13" s="14">
        <v>175.90520000000001</v>
      </c>
      <c r="D13" s="14">
        <v>187.90710000000001</v>
      </c>
      <c r="E13" s="15">
        <v>34034.300000000003</v>
      </c>
      <c r="F13" s="4">
        <f t="shared" si="1"/>
        <v>-4.7355052607886725E-4</v>
      </c>
      <c r="G13" s="5">
        <f t="shared" si="0"/>
        <v>3.5496263845272408E-2</v>
      </c>
      <c r="H13" s="6">
        <f t="shared" si="0"/>
        <v>4.1405288194556154E-3</v>
      </c>
      <c r="J13" s="29" t="s">
        <v>19</v>
      </c>
      <c r="K13" s="22">
        <f>SUM(K10:K12)</f>
        <v>1</v>
      </c>
      <c r="L13" s="35">
        <f>SUM(L10:L12)</f>
        <v>2000</v>
      </c>
    </row>
    <row r="14" spans="2:16" x14ac:dyDescent="0.2">
      <c r="B14" s="13">
        <v>45055</v>
      </c>
      <c r="C14" s="14">
        <v>175.84129999999999</v>
      </c>
      <c r="D14" s="14">
        <v>187.72749999999999</v>
      </c>
      <c r="E14" s="15">
        <v>33933</v>
      </c>
      <c r="F14" s="4">
        <f t="shared" si="1"/>
        <v>3.6339585751480485E-4</v>
      </c>
      <c r="G14" s="5">
        <f t="shared" si="0"/>
        <v>9.5670586355234039E-4</v>
      </c>
      <c r="H14" s="6">
        <f t="shared" si="0"/>
        <v>2.9852945510271097E-3</v>
      </c>
    </row>
    <row r="15" spans="2:16" x14ac:dyDescent="0.2">
      <c r="B15" s="13">
        <v>45056</v>
      </c>
      <c r="C15" s="14">
        <v>175.8912</v>
      </c>
      <c r="D15" s="14">
        <v>187.5684</v>
      </c>
      <c r="E15" s="15">
        <v>33833.550000000003</v>
      </c>
      <c r="F15" s="4">
        <f t="shared" si="1"/>
        <v>-2.8369810428269325E-4</v>
      </c>
      <c r="G15" s="5">
        <f t="shared" si="0"/>
        <v>8.4822390125412987E-4</v>
      </c>
      <c r="H15" s="6">
        <f t="shared" si="0"/>
        <v>2.9393900433149073E-3</v>
      </c>
      <c r="J15" s="28"/>
      <c r="K15" s="27" t="s">
        <v>18</v>
      </c>
      <c r="L15" s="28" t="s">
        <v>17</v>
      </c>
    </row>
    <row r="16" spans="2:16" x14ac:dyDescent="0.2">
      <c r="B16" s="13">
        <v>45057</v>
      </c>
      <c r="C16" s="14">
        <v>175.81659999999999</v>
      </c>
      <c r="D16" s="14">
        <v>186.6146</v>
      </c>
      <c r="E16" s="15">
        <v>33712.78</v>
      </c>
      <c r="F16" s="4">
        <f t="shared" si="1"/>
        <v>4.2430578227541527E-4</v>
      </c>
      <c r="G16" s="5">
        <f t="shared" si="0"/>
        <v>5.111068480172511E-3</v>
      </c>
      <c r="H16" s="6">
        <f t="shared" si="0"/>
        <v>3.5823210070484867E-3</v>
      </c>
      <c r="J16" s="28" t="s">
        <v>12</v>
      </c>
      <c r="K16" s="23" cm="1">
        <f t="array" ref="K16">MMULT(TRANSPOSE(K10:K12),N5:N7)</f>
        <v>1.3447557373183336E-3</v>
      </c>
      <c r="L16" s="23">
        <f>K16*252</f>
        <v>0.33887844580422005</v>
      </c>
    </row>
    <row r="17" spans="2:12" x14ac:dyDescent="0.2">
      <c r="B17" s="13">
        <v>45058</v>
      </c>
      <c r="C17" s="14">
        <v>175.7122</v>
      </c>
      <c r="D17" s="14">
        <v>185.55289999999999</v>
      </c>
      <c r="E17" s="15">
        <v>33603.49</v>
      </c>
      <c r="F17" s="4">
        <f t="shared" si="1"/>
        <v>5.9415339401588658E-4</v>
      </c>
      <c r="G17" s="5">
        <f t="shared" si="0"/>
        <v>5.7218184140479722E-3</v>
      </c>
      <c r="H17" s="6">
        <f t="shared" si="0"/>
        <v>3.2523407538919582E-3</v>
      </c>
      <c r="J17" s="28" t="s">
        <v>13</v>
      </c>
      <c r="K17" s="20" cm="1">
        <f t="array" ref="K17">MMULT(TRANSPOSE(K10:K12), MMULT(K5:M7, K10:K12))</f>
        <v>9.9206352919724266E-6</v>
      </c>
      <c r="L17" s="20"/>
    </row>
    <row r="18" spans="2:12" x14ac:dyDescent="0.2">
      <c r="B18" s="13">
        <v>45059</v>
      </c>
      <c r="C18" s="14">
        <v>175.87970000000001</v>
      </c>
      <c r="D18" s="14">
        <v>192.17429999999999</v>
      </c>
      <c r="E18" s="15">
        <v>33476.94</v>
      </c>
      <c r="F18" s="4">
        <f t="shared" si="1"/>
        <v>-9.5235550208476688E-4</v>
      </c>
      <c r="G18" s="5">
        <f t="shared" si="0"/>
        <v>-3.4455179490701905E-2</v>
      </c>
      <c r="H18" s="6">
        <f t="shared" si="0"/>
        <v>3.7802140816931185E-3</v>
      </c>
      <c r="J18" s="28" t="s">
        <v>14</v>
      </c>
      <c r="K18" s="24">
        <f>SQRT(K17)</f>
        <v>3.1497040006915611E-3</v>
      </c>
      <c r="L18" s="25">
        <f>K18*SQRT(252)</f>
        <v>5.0000000935770506E-2</v>
      </c>
    </row>
    <row r="19" spans="2:12" x14ac:dyDescent="0.2">
      <c r="B19" s="13">
        <v>45060</v>
      </c>
      <c r="C19" s="14">
        <v>175.8991</v>
      </c>
      <c r="D19" s="14">
        <v>191.84889999999999</v>
      </c>
      <c r="E19" s="15">
        <v>33391.360000000001</v>
      </c>
      <c r="F19" s="4">
        <v>-1.1029050177056229E-4</v>
      </c>
      <c r="G19" s="5">
        <f t="shared" si="0"/>
        <v>1.6961264828727293E-3</v>
      </c>
      <c r="H19" s="6">
        <f t="shared" si="0"/>
        <v>2.5629384367693241E-3</v>
      </c>
      <c r="J19" s="28" t="s">
        <v>15</v>
      </c>
      <c r="K19" s="21">
        <v>0.04</v>
      </c>
    </row>
    <row r="20" spans="2:12" x14ac:dyDescent="0.2">
      <c r="B20" s="13">
        <v>45061</v>
      </c>
      <c r="C20" s="14">
        <v>175.99959999999999</v>
      </c>
      <c r="D20" s="14">
        <v>185.31559999999999</v>
      </c>
      <c r="E20" s="15">
        <v>33238.080000000002</v>
      </c>
      <c r="F20" s="4">
        <f t="shared" si="1"/>
        <v>-5.7102402505450301E-4</v>
      </c>
      <c r="G20" s="5">
        <f t="shared" si="0"/>
        <v>3.5254992024416711E-2</v>
      </c>
      <c r="H20" s="6">
        <f t="shared" si="0"/>
        <v>4.611578045422564E-3</v>
      </c>
      <c r="J20" s="28" t="s">
        <v>16</v>
      </c>
      <c r="K20" s="26">
        <f>(L16-K19)/L18</f>
        <v>5.9775688042117494</v>
      </c>
    </row>
    <row r="21" spans="2:12" x14ac:dyDescent="0.2">
      <c r="B21" s="13">
        <v>45062</v>
      </c>
      <c r="C21" s="14">
        <v>175.95859999999999</v>
      </c>
      <c r="D21" s="14">
        <v>185.30350000000001</v>
      </c>
      <c r="E21" s="15">
        <v>33133</v>
      </c>
      <c r="F21" s="4">
        <f t="shared" si="1"/>
        <v>2.3300935560976741E-4</v>
      </c>
      <c r="G21" s="5">
        <f t="shared" si="1"/>
        <v>6.5298280928181878E-5</v>
      </c>
      <c r="H21" s="6">
        <f t="shared" si="1"/>
        <v>3.1714604774696451E-3</v>
      </c>
    </row>
    <row r="22" spans="2:12" x14ac:dyDescent="0.2">
      <c r="B22" s="13">
        <v>45063</v>
      </c>
      <c r="C22" s="14">
        <v>176.03659999999999</v>
      </c>
      <c r="D22" s="14">
        <v>185.339</v>
      </c>
      <c r="E22" s="15">
        <v>33038.339999999997</v>
      </c>
      <c r="F22" s="4">
        <f t="shared" si="1"/>
        <v>-4.4308967566973547E-4</v>
      </c>
      <c r="G22" s="5">
        <f t="shared" si="1"/>
        <v>-1.9154090612329174E-4</v>
      </c>
      <c r="H22" s="6">
        <f t="shared" si="1"/>
        <v>2.8651560580829276E-3</v>
      </c>
    </row>
    <row r="23" spans="2:12" x14ac:dyDescent="0.2">
      <c r="B23" s="13">
        <v>45064</v>
      </c>
      <c r="C23" s="14">
        <v>175.99430000000001</v>
      </c>
      <c r="D23" s="14">
        <v>184.60290000000001</v>
      </c>
      <c r="E23" s="15">
        <v>32930.65</v>
      </c>
      <c r="F23" s="4">
        <f t="shared" si="1"/>
        <v>2.4034869311098783E-4</v>
      </c>
      <c r="G23" s="5">
        <f t="shared" si="1"/>
        <v>3.9874779865321361E-3</v>
      </c>
      <c r="H23" s="6">
        <f t="shared" si="1"/>
        <v>3.2702057202027607E-3</v>
      </c>
    </row>
    <row r="24" spans="2:12" x14ac:dyDescent="0.2">
      <c r="B24" s="13">
        <v>45065</v>
      </c>
      <c r="C24" s="14">
        <v>175.92590000000001</v>
      </c>
      <c r="D24" s="14">
        <v>183.77709999999999</v>
      </c>
      <c r="E24" s="15">
        <v>32842.35</v>
      </c>
      <c r="F24" s="4">
        <f t="shared" si="1"/>
        <v>3.8880005729683293E-4</v>
      </c>
      <c r="G24" s="5">
        <f t="shared" si="1"/>
        <v>4.4934869469591982E-3</v>
      </c>
      <c r="H24" s="6">
        <f t="shared" si="1"/>
        <v>2.6886017596183865E-3</v>
      </c>
    </row>
    <row r="25" spans="2:12" x14ac:dyDescent="0.2">
      <c r="B25" s="13">
        <v>45066</v>
      </c>
      <c r="C25" s="14">
        <v>176.1319</v>
      </c>
      <c r="D25" s="14">
        <v>190.6473</v>
      </c>
      <c r="E25" s="15">
        <v>32744.06</v>
      </c>
      <c r="F25" s="4">
        <f t="shared" si="1"/>
        <v>-1.169578026467601E-3</v>
      </c>
      <c r="G25" s="5">
        <f t="shared" si="1"/>
        <v>-3.6036177800577357E-2</v>
      </c>
      <c r="H25" s="6">
        <f t="shared" si="1"/>
        <v>3.0017658164563964E-3</v>
      </c>
    </row>
    <row r="26" spans="2:12" x14ac:dyDescent="0.2">
      <c r="B26" s="13">
        <v>45067</v>
      </c>
      <c r="C26" s="14">
        <v>176.19159999999999</v>
      </c>
      <c r="D26" s="14">
        <v>190.57820000000001</v>
      </c>
      <c r="E26" s="15">
        <v>32693.27</v>
      </c>
      <c r="F26" s="4">
        <f t="shared" si="1"/>
        <v>-3.3883567661564069E-4</v>
      </c>
      <c r="G26" s="5">
        <f t="shared" si="1"/>
        <v>3.6258081984189022E-4</v>
      </c>
      <c r="H26" s="6">
        <f t="shared" si="1"/>
        <v>1.5535307419539519E-3</v>
      </c>
    </row>
    <row r="27" spans="2:12" x14ac:dyDescent="0.2">
      <c r="B27" s="13">
        <v>45068</v>
      </c>
      <c r="C27" s="14">
        <v>176.33279999999999</v>
      </c>
      <c r="D27" s="14">
        <v>184.30279999999999</v>
      </c>
      <c r="E27" s="15">
        <v>32580.41</v>
      </c>
      <c r="F27" s="4">
        <f t="shared" si="1"/>
        <v>-8.0075856562135785E-4</v>
      </c>
      <c r="G27" s="5">
        <f t="shared" si="1"/>
        <v>3.4049401311320386E-2</v>
      </c>
      <c r="H27" s="6">
        <f t="shared" si="1"/>
        <v>3.4640448048382628E-3</v>
      </c>
    </row>
    <row r="28" spans="2:12" x14ac:dyDescent="0.2">
      <c r="B28" s="13">
        <v>45069</v>
      </c>
      <c r="C28" s="14">
        <v>176.3321</v>
      </c>
      <c r="D28" s="14">
        <v>184.54480000000001</v>
      </c>
      <c r="E28" s="15">
        <v>32520.36</v>
      </c>
      <c r="F28" s="4">
        <f t="shared" si="1"/>
        <v>3.9697820192399219E-6</v>
      </c>
      <c r="G28" s="5">
        <f t="shared" si="1"/>
        <v>-1.3113347003005159E-3</v>
      </c>
      <c r="H28" s="6">
        <f t="shared" si="1"/>
        <v>1.8465355242069667E-3</v>
      </c>
    </row>
    <row r="29" spans="2:12" x14ac:dyDescent="0.2">
      <c r="B29" s="13">
        <v>45070</v>
      </c>
      <c r="C29" s="14">
        <v>176.44880000000001</v>
      </c>
      <c r="D29" s="14">
        <v>184.8252</v>
      </c>
      <c r="E29" s="15">
        <v>32474.240000000002</v>
      </c>
      <c r="F29" s="4">
        <f t="shared" si="1"/>
        <v>-6.6138165858882958E-4</v>
      </c>
      <c r="G29" s="5">
        <f t="shared" si="1"/>
        <v>-1.5171091387970147E-3</v>
      </c>
      <c r="H29" s="6">
        <f t="shared" si="1"/>
        <v>1.4202025975049448E-3</v>
      </c>
    </row>
    <row r="30" spans="2:12" x14ac:dyDescent="0.2">
      <c r="B30" s="13">
        <v>45071</v>
      </c>
      <c r="C30" s="14">
        <v>176.44300000000001</v>
      </c>
      <c r="D30" s="14">
        <v>184.31970000000001</v>
      </c>
      <c r="E30" s="15">
        <v>32417.46</v>
      </c>
      <c r="F30" s="4">
        <f t="shared" si="1"/>
        <v>3.2871805625576461E-5</v>
      </c>
      <c r="G30" s="5">
        <f t="shared" si="1"/>
        <v>2.7425174845661293E-3</v>
      </c>
      <c r="H30" s="6">
        <f t="shared" si="1"/>
        <v>1.7515252583022382E-3</v>
      </c>
    </row>
    <row r="31" spans="2:12" x14ac:dyDescent="0.2">
      <c r="B31" s="13">
        <v>45072</v>
      </c>
      <c r="C31" s="14">
        <v>176.40770000000001</v>
      </c>
      <c r="D31" s="14">
        <v>183.70570000000001</v>
      </c>
      <c r="E31" s="15">
        <v>32381.25</v>
      </c>
      <c r="F31" s="4">
        <f t="shared" si="1"/>
        <v>2.0010464395832237E-4</v>
      </c>
      <c r="G31" s="5">
        <f t="shared" si="1"/>
        <v>3.3423023890930127E-3</v>
      </c>
      <c r="H31" s="6">
        <f t="shared" si="1"/>
        <v>1.1182397220613511E-3</v>
      </c>
    </row>
    <row r="32" spans="2:12" x14ac:dyDescent="0.2">
      <c r="B32" s="13">
        <v>45073</v>
      </c>
      <c r="C32" s="14">
        <v>176.64279999999999</v>
      </c>
      <c r="D32" s="14">
        <v>190.76519999999999</v>
      </c>
      <c r="E32" s="15">
        <v>32335.07</v>
      </c>
      <c r="F32" s="4">
        <f t="shared" si="1"/>
        <v>-1.3309345187009522E-3</v>
      </c>
      <c r="G32" s="5">
        <f t="shared" si="1"/>
        <v>-3.7006225454118392E-2</v>
      </c>
      <c r="H32" s="6">
        <f t="shared" si="1"/>
        <v>1.4281707137173444E-3</v>
      </c>
    </row>
    <row r="33" spans="2:10" ht="17" thickBot="1" x14ac:dyDescent="0.25">
      <c r="B33" s="16">
        <v>45074</v>
      </c>
      <c r="C33" s="17">
        <v>176.7268</v>
      </c>
      <c r="D33" s="17">
        <v>190.85990000000001</v>
      </c>
      <c r="E33" s="18">
        <v>32335.27</v>
      </c>
      <c r="F33" s="7">
        <f t="shared" si="1"/>
        <v>-4.7530991338044478E-4</v>
      </c>
      <c r="G33" s="8">
        <f t="shared" si="1"/>
        <v>-4.9617546692635442E-4</v>
      </c>
      <c r="H33" s="9">
        <f t="shared" si="1"/>
        <v>-6.1851965361887374E-6</v>
      </c>
    </row>
    <row r="34" spans="2:10" x14ac:dyDescent="0.2">
      <c r="J34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AAPL</vt:lpstr>
      <vt:lpstr>BTC</vt:lpstr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Kacham</dc:creator>
  <cp:lastModifiedBy>om Kacham</cp:lastModifiedBy>
  <dcterms:created xsi:type="dcterms:W3CDTF">2023-05-09T05:21:36Z</dcterms:created>
  <dcterms:modified xsi:type="dcterms:W3CDTF">2023-05-11T01:08:32Z</dcterms:modified>
</cp:coreProperties>
</file>