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ekha\Documents\IG Reels\Old tax vs new tax regime\Version 2\"/>
    </mc:Choice>
  </mc:AlternateContent>
  <xr:revisionPtr revIDLastSave="0" documentId="13_ncr:1_{38D61C56-581C-4BB4-8899-8609FFE4FD85}" xr6:coauthVersionLast="47" xr6:coauthVersionMax="47" xr10:uidLastSave="{00000000-0000-0000-0000-000000000000}"/>
  <bookViews>
    <workbookView xWindow="-110" yWindow="-110" windowWidth="19420" windowHeight="10300" xr2:uid="{43650714-9130-4A24-9D93-815CDA5472B1}"/>
  </bookViews>
  <sheets>
    <sheet name="Income Tax Calculator" sheetId="4" r:id="rId1"/>
    <sheet name="Tax Calculation" sheetId="5"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4" l="1"/>
  <c r="E20" i="4" s="1"/>
  <c r="E7" i="4"/>
  <c r="F25" i="4"/>
  <c r="E10" i="4"/>
  <c r="M4" i="4" s="1"/>
  <c r="F35" i="4"/>
  <c r="M8" i="4" s="1"/>
  <c r="F78" i="4"/>
  <c r="F50" i="4"/>
  <c r="F48" i="4"/>
  <c r="M10" i="4" s="1"/>
  <c r="F88" i="4"/>
  <c r="F77" i="4"/>
  <c r="E4" i="4" l="1"/>
  <c r="F15" i="4"/>
  <c r="F76" i="4"/>
  <c r="F80" i="4"/>
  <c r="F66" i="4"/>
  <c r="F89" i="4"/>
  <c r="F42" i="4"/>
  <c r="M9" i="4" s="1"/>
  <c r="F81" i="4" l="1"/>
  <c r="F75" i="4"/>
  <c r="F74" i="4"/>
  <c r="F73" i="4"/>
  <c r="F65" i="4"/>
  <c r="E21" i="4" l="1"/>
  <c r="E19" i="4"/>
  <c r="F32" i="4"/>
  <c r="F27" i="4"/>
  <c r="F28" i="4"/>
  <c r="F71" i="4"/>
  <c r="F70" i="4"/>
  <c r="F49" i="4" s="1"/>
  <c r="J8" i="5" s="1"/>
  <c r="F23" i="4"/>
  <c r="M5" i="4" l="1"/>
  <c r="M6" i="4" s="1"/>
  <c r="C8" i="5"/>
  <c r="F16" i="4"/>
  <c r="F14" i="4" s="1"/>
  <c r="F33" i="4"/>
  <c r="F29" i="4" s="1"/>
  <c r="F26" i="4"/>
  <c r="M7" i="4" l="1"/>
  <c r="M11" i="4" s="1"/>
  <c r="M12" i="4" s="1"/>
  <c r="C9" i="5" l="1"/>
  <c r="C14" i="5" s="1"/>
  <c r="E22" i="5" l="1"/>
  <c r="F13" i="4"/>
  <c r="F83" i="4" l="1"/>
  <c r="G5" i="5"/>
  <c r="C31" i="5"/>
  <c r="C29" i="5" l="1"/>
  <c r="E14" i="5"/>
  <c r="C32" i="5"/>
  <c r="E32" i="5" s="1"/>
  <c r="C28" i="5"/>
  <c r="C30" i="5"/>
  <c r="E30" i="5" s="1"/>
  <c r="C15" i="5" l="1"/>
  <c r="E15" i="5" s="1"/>
  <c r="C16" i="5" l="1"/>
  <c r="E16" i="5" s="1"/>
  <c r="C17" i="5" l="1"/>
  <c r="E17" i="5" s="1"/>
  <c r="C18" i="5" l="1"/>
  <c r="E18" i="5" s="1"/>
  <c r="C19" i="5" l="1"/>
  <c r="E19" i="5" s="1"/>
  <c r="E20" i="5" s="1"/>
  <c r="M13" i="4" s="1"/>
  <c r="F84" i="4" l="1"/>
  <c r="E86" i="4" l="1"/>
  <c r="F86" i="4" s="1"/>
  <c r="J9" i="5"/>
  <c r="E85" i="4" l="1"/>
  <c r="E87" i="4" s="1"/>
  <c r="I14" i="5"/>
  <c r="K14" i="5" s="1"/>
  <c r="K22" i="5"/>
  <c r="I30" i="5"/>
  <c r="K30" i="5" s="1"/>
  <c r="I28" i="5"/>
  <c r="I31" i="5"/>
  <c r="I29" i="5"/>
  <c r="I32" i="5"/>
  <c r="K32" i="5" s="1"/>
  <c r="F85" i="4" l="1"/>
  <c r="F87" i="4"/>
  <c r="I15" i="5"/>
  <c r="K15" i="5" s="1"/>
  <c r="E21" i="5" l="1"/>
  <c r="E23" i="5" s="1"/>
  <c r="E29" i="5" s="1"/>
  <c r="I16" i="5"/>
  <c r="K16" i="5" s="1"/>
  <c r="E31" i="5" l="1"/>
  <c r="E28" i="5"/>
  <c r="M14" i="4"/>
  <c r="I17" i="5"/>
  <c r="K17" i="5" s="1"/>
  <c r="K20" i="5" s="1"/>
  <c r="K21" i="5" s="1"/>
  <c r="D8" i="5" l="1"/>
  <c r="M15" i="4" s="1"/>
  <c r="M18" i="4" s="1"/>
  <c r="M19" i="4" s="1"/>
  <c r="K23" i="5"/>
  <c r="K29" i="5" s="1"/>
  <c r="F90" i="4"/>
  <c r="K31" i="5" l="1"/>
  <c r="K28" i="5"/>
  <c r="F91" i="4"/>
  <c r="K8" i="5" l="1"/>
  <c r="F92" i="4" s="1"/>
  <c r="F95" i="4" s="1"/>
  <c r="F8" i="5" l="1"/>
  <c r="F9" i="5" s="1"/>
  <c r="F9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Chandralekha MR</author>
  </authors>
  <commentList>
    <comment ref="I4" authorId="0" shapeId="0" xr:uid="{DEB86833-9E65-474F-980D-B3BE18D542D4}">
      <text>
        <r>
          <rPr>
            <b/>
            <sz val="9"/>
            <color indexed="81"/>
            <rFont val="Tahoma"/>
            <family val="2"/>
          </rPr>
          <t>Chandralekha MR:</t>
        </r>
        <r>
          <rPr>
            <sz val="9"/>
            <color indexed="81"/>
            <rFont val="Tahoma"/>
            <family val="2"/>
          </rPr>
          <t xml:space="preserve">
Yes! This is how you do it.</t>
        </r>
      </text>
    </comment>
    <comment ref="D7" authorId="0" shapeId="0" xr:uid="{C5A75808-07C5-42C6-BC9F-6FB373F88872}">
      <text>
        <r>
          <rPr>
            <b/>
            <sz val="9"/>
            <color indexed="81"/>
            <rFont val="Tahoma"/>
            <family val="2"/>
          </rPr>
          <t>Chandralekha MR:</t>
        </r>
        <r>
          <rPr>
            <sz val="9"/>
            <color indexed="81"/>
            <rFont val="Tahoma"/>
            <family val="2"/>
          </rPr>
          <t xml:space="preserve">
Example: Special Allowance, LTA etc.</t>
        </r>
      </text>
    </comment>
    <comment ref="E17" authorId="0" shapeId="0" xr:uid="{A6110309-BE0E-43C7-AA0E-72C8621ACC96}">
      <text>
        <r>
          <rPr>
            <b/>
            <sz val="9"/>
            <color indexed="81"/>
            <rFont val="Tahoma"/>
            <family val="2"/>
          </rPr>
          <t>Chandralekha MR:</t>
        </r>
        <r>
          <rPr>
            <sz val="9"/>
            <color indexed="81"/>
            <rFont val="Tahoma"/>
            <family val="2"/>
          </rPr>
          <t xml:space="preserve">
Select Metro only if you live in Delhi, Mumbai, Kolkata, or Chennai</t>
        </r>
      </text>
    </comment>
    <comment ref="F22" authorId="0" shapeId="0" xr:uid="{F833C741-166F-4670-8684-DF45073153D0}">
      <text>
        <r>
          <rPr>
            <b/>
            <sz val="9"/>
            <color indexed="81"/>
            <rFont val="Tahoma"/>
            <family val="2"/>
          </rPr>
          <t>Chandralekha MR:</t>
        </r>
        <r>
          <rPr>
            <sz val="9"/>
            <color indexed="81"/>
            <rFont val="Tahoma"/>
            <family val="2"/>
          </rPr>
          <t xml:space="preserve">
Add only exempted part. E.g.: If LTA of 20k is given and you have claimed only 12k, then enter only 12K here.</t>
        </r>
      </text>
    </comment>
    <comment ref="D26" authorId="0" shapeId="0" xr:uid="{E48AE3F3-B3CC-473C-85F7-EFB04EF52292}">
      <text>
        <r>
          <rPr>
            <b/>
            <sz val="9"/>
            <color indexed="81"/>
            <rFont val="Tahoma"/>
            <family val="2"/>
          </rPr>
          <t>Chandralekha MR:</t>
        </r>
        <r>
          <rPr>
            <sz val="9"/>
            <color indexed="81"/>
            <rFont val="Tahoma"/>
            <family val="2"/>
          </rPr>
          <t xml:space="preserve">
If you have two self occupied properties, then add the values of both and fill.</t>
        </r>
      </text>
    </comment>
    <comment ref="D29" authorId="0" shapeId="0" xr:uid="{F99F1631-B70E-4704-A67C-69999528FDF5}">
      <text>
        <r>
          <rPr>
            <b/>
            <sz val="9"/>
            <color indexed="81"/>
            <rFont val="Tahoma"/>
            <family val="2"/>
          </rPr>
          <t>Chandralekha MR:</t>
        </r>
        <r>
          <rPr>
            <sz val="9"/>
            <color indexed="81"/>
            <rFont val="Tahoma"/>
            <family val="2"/>
          </rPr>
          <t xml:space="preserve">
If you have two let out properties, then add the values of both and fill.</t>
        </r>
      </text>
    </comment>
    <comment ref="D40" authorId="0" shapeId="0" xr:uid="{30224562-C650-4436-88D7-1E4A8C9A0DAA}">
      <text>
        <r>
          <rPr>
            <b/>
            <sz val="9"/>
            <color indexed="81"/>
            <rFont val="Tahoma"/>
            <family val="2"/>
          </rPr>
          <t>Chandralekha MR:</t>
        </r>
        <r>
          <rPr>
            <sz val="9"/>
            <color indexed="81"/>
            <rFont val="Tahoma"/>
            <family val="2"/>
          </rPr>
          <t xml:space="preserve">
This income will be charged at 30% irrespective of Income Tax Slab rate</t>
        </r>
      </text>
    </comment>
    <comment ref="D41" authorId="0" shapeId="0" xr:uid="{8AC7AB50-1BF1-4FAB-B5B4-F9FF8B0CEFCC}">
      <text>
        <r>
          <rPr>
            <b/>
            <sz val="9"/>
            <color indexed="81"/>
            <rFont val="Tahoma"/>
            <family val="2"/>
          </rPr>
          <t>Chandralekha MR:</t>
        </r>
        <r>
          <rPr>
            <sz val="9"/>
            <color indexed="81"/>
            <rFont val="Tahoma"/>
            <family val="2"/>
          </rPr>
          <t xml:space="preserve">
You can add other interest incomes, commission etc</t>
        </r>
      </text>
    </comment>
    <comment ref="D43" authorId="0" shapeId="0" xr:uid="{DDE7F1B8-4842-4C1B-9527-E357AA74B062}">
      <text>
        <r>
          <rPr>
            <b/>
            <sz val="9"/>
            <color indexed="81"/>
            <rFont val="Tahoma"/>
            <family val="2"/>
          </rPr>
          <t>Chandralekha MR:</t>
        </r>
        <r>
          <rPr>
            <sz val="9"/>
            <color indexed="81"/>
            <rFont val="Tahoma"/>
            <family val="2"/>
          </rPr>
          <t xml:space="preserve">
This income is charged as per your Income Tax Slab rate</t>
        </r>
      </text>
    </comment>
    <comment ref="D50" authorId="0" shapeId="0" xr:uid="{7C31099B-013F-4E38-A01F-094D04A3250A}">
      <text>
        <r>
          <rPr>
            <b/>
            <sz val="9"/>
            <color indexed="81"/>
            <rFont val="Tahoma"/>
            <family val="2"/>
          </rPr>
          <t>Chandralekha MR:</t>
        </r>
        <r>
          <rPr>
            <sz val="9"/>
            <color indexed="81"/>
            <rFont val="Tahoma"/>
            <family val="2"/>
          </rPr>
          <t xml:space="preserve">
Max: 1,50,000</t>
        </r>
      </text>
    </comment>
    <comment ref="F51" authorId="0" shapeId="0" xr:uid="{3C185CFB-7F72-46C6-9E24-4BD1D5FB942B}">
      <text>
        <r>
          <rPr>
            <b/>
            <sz val="9"/>
            <color indexed="81"/>
            <rFont val="Tahoma"/>
            <family val="2"/>
          </rPr>
          <t>Chandralekha MR:</t>
        </r>
        <r>
          <rPr>
            <sz val="9"/>
            <color indexed="81"/>
            <rFont val="Tahoma"/>
            <family val="2"/>
          </rPr>
          <t xml:space="preserve">
Enter only employee contribution, not employers</t>
        </r>
      </text>
    </comment>
    <comment ref="D65" authorId="0" shapeId="0" xr:uid="{19CF8D49-7F3A-4FA7-9DFB-7C51EB3C27A5}">
      <text>
        <r>
          <rPr>
            <b/>
            <sz val="9"/>
            <color indexed="81"/>
            <rFont val="Tahoma"/>
            <family val="2"/>
          </rPr>
          <t>Chandralekha MR:</t>
        </r>
        <r>
          <rPr>
            <sz val="9"/>
            <color indexed="81"/>
            <rFont val="Tahoma"/>
            <family val="2"/>
          </rPr>
          <t xml:space="preserve">
Max: 50,000</t>
        </r>
      </text>
    </comment>
    <comment ref="D70" authorId="0" shapeId="0" xr:uid="{329055CC-0A06-4492-9631-E3D39B77F947}">
      <text>
        <r>
          <rPr>
            <b/>
            <sz val="9"/>
            <color indexed="81"/>
            <rFont val="Tahoma"/>
            <family val="2"/>
          </rPr>
          <t>Chandralekha MR:</t>
        </r>
        <r>
          <rPr>
            <sz val="9"/>
            <color indexed="81"/>
            <rFont val="Tahoma"/>
            <family val="2"/>
          </rPr>
          <t xml:space="preserve">
Normal Citizen: Limit is 25,0000
Senior Citizen: 50,000</t>
        </r>
      </text>
    </comment>
    <comment ref="D71" authorId="0" shapeId="0" xr:uid="{9E726195-598A-435E-962F-F4C0F40F671F}">
      <text>
        <r>
          <rPr>
            <b/>
            <sz val="9"/>
            <color indexed="81"/>
            <rFont val="Tahoma"/>
            <family val="2"/>
          </rPr>
          <t>Chandralekha MR:</t>
        </r>
        <r>
          <rPr>
            <sz val="9"/>
            <color indexed="81"/>
            <rFont val="Tahoma"/>
            <family val="2"/>
          </rPr>
          <t xml:space="preserve">
Normal Citizen: Limit is 25,0000
Senior Citizen: 50,000</t>
        </r>
      </text>
    </comment>
    <comment ref="F76" authorId="0" shapeId="0" xr:uid="{CDC1D9AF-CA9A-400E-93B2-03E5DB1CC722}">
      <text>
        <r>
          <rPr>
            <b/>
            <sz val="9"/>
            <color indexed="81"/>
            <rFont val="Tahoma"/>
            <family val="2"/>
          </rPr>
          <t>Chandralekha MR:</t>
        </r>
        <r>
          <rPr>
            <sz val="9"/>
            <color indexed="81"/>
            <rFont val="Tahoma"/>
            <family val="2"/>
          </rPr>
          <t xml:space="preserve">
Assuming donations are made to institutions that have 100% deduction.</t>
        </r>
      </text>
    </comment>
    <comment ref="D77" authorId="0" shapeId="0" xr:uid="{313E0F49-927E-49C2-9183-9646C9DCB412}">
      <text>
        <r>
          <rPr>
            <b/>
            <sz val="9"/>
            <color indexed="81"/>
            <rFont val="Tahoma"/>
            <family val="2"/>
          </rPr>
          <t>Chandralekha MR:</t>
        </r>
        <r>
          <rPr>
            <sz val="9"/>
            <color indexed="81"/>
            <rFont val="Tahoma"/>
            <family val="2"/>
          </rPr>
          <t xml:space="preserve">
Minimum of the following
1) 60,000 per year
2) Yearly rent minus 10% of Adjusted Taxable Income
3) 25% of Adjusted Taxable Income
Note: The formula already takes this into account, so you don’t have to worry about the calculation.</t>
        </r>
      </text>
    </comment>
    <comment ref="E77" authorId="0" shapeId="0" xr:uid="{04E0816A-D7CE-406A-B4FE-9CE51861B21D}">
      <text>
        <r>
          <rPr>
            <b/>
            <sz val="9"/>
            <color indexed="81"/>
            <rFont val="Tahoma"/>
            <family val="2"/>
          </rPr>
          <t>Chandralekha MR:</t>
        </r>
        <r>
          <rPr>
            <sz val="9"/>
            <color indexed="81"/>
            <rFont val="Tahoma"/>
            <family val="2"/>
          </rPr>
          <t xml:space="preserve">
Enter the Annual Rent paid. You can either claim HRA or this. Not both.</t>
        </r>
      </text>
    </comment>
    <comment ref="D79" authorId="0" shapeId="0" xr:uid="{75669AD6-1A8D-4E68-BC75-8446B9E08352}">
      <text>
        <r>
          <rPr>
            <b/>
            <sz val="9"/>
            <color indexed="81"/>
            <rFont val="Tahoma"/>
            <family val="2"/>
          </rPr>
          <t>Chandralekha MR:</t>
        </r>
        <r>
          <rPr>
            <sz val="9"/>
            <color indexed="81"/>
            <rFont val="Tahoma"/>
            <family val="2"/>
          </rPr>
          <t xml:space="preserve">
No limit for deduction. Just enter the interest part of the EMI</t>
        </r>
      </text>
    </comment>
    <comment ref="D80" authorId="0" shapeId="0" xr:uid="{EF561C6F-0F10-4349-BF44-2B9A6452C3A1}">
      <text>
        <r>
          <rPr>
            <b/>
            <sz val="9"/>
            <color indexed="81"/>
            <rFont val="Tahoma"/>
            <family val="2"/>
          </rPr>
          <t>Chandralekha MR:</t>
        </r>
        <r>
          <rPr>
            <sz val="9"/>
            <color indexed="81"/>
            <rFont val="Tahoma"/>
            <family val="2"/>
          </rPr>
          <t xml:space="preserve">
</t>
        </r>
        <r>
          <rPr>
            <b/>
            <sz val="9"/>
            <color indexed="81"/>
            <rFont val="Tahoma"/>
            <family val="2"/>
          </rPr>
          <t>Conditions for claiming the deduction:</t>
        </r>
        <r>
          <rPr>
            <sz val="9"/>
            <color indexed="81"/>
            <rFont val="Tahoma"/>
            <family val="2"/>
          </rPr>
          <t xml:space="preserve">
1) Value of the house should be Rs 50 lakh or less
2) Loan taken for the house must be Rs 35 lakh or less
3) The loan must be sanctioned by a financial institution or a housing finance company
4) The loan must be sanctioned between 01.04.2016 to 31.03.2017
5) As of the date of the sanction of the loan, no other house property must be owned by you.</t>
        </r>
      </text>
    </comment>
    <comment ref="F84" authorId="0" shapeId="0" xr:uid="{C83A03D0-635D-4126-85EB-7BF29A3E35AC}">
      <text>
        <r>
          <rPr>
            <b/>
            <sz val="9"/>
            <color indexed="81"/>
            <rFont val="Tahoma"/>
            <family val="2"/>
          </rPr>
          <t>Chandralekha MR:</t>
        </r>
        <r>
          <rPr>
            <sz val="9"/>
            <color indexed="81"/>
            <rFont val="Tahoma"/>
            <family val="2"/>
          </rPr>
          <t xml:space="preserve">
In case this value is below the basic exemption limit of 2.5lakh, the capital gains are adjusted against the remaining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Chandralekha MR</author>
  </authors>
  <commentList>
    <comment ref="D8" authorId="0" shapeId="0" xr:uid="{693F5472-5BD5-4EEC-AC2C-3B7138DBB36B}">
      <text>
        <r>
          <rPr>
            <b/>
            <sz val="9"/>
            <color indexed="81"/>
            <rFont val="Tahoma"/>
            <family val="2"/>
          </rPr>
          <t>Chandralekha MR:</t>
        </r>
        <r>
          <rPr>
            <sz val="9"/>
            <color indexed="81"/>
            <rFont val="Tahoma"/>
            <family val="2"/>
          </rPr>
          <t xml:space="preserve">
*This includes surcharge + cess at 4%
</t>
        </r>
      </text>
    </comment>
    <comment ref="K8" authorId="0" shapeId="0" xr:uid="{94C61EDF-9F99-481D-A214-F37894D7A797}">
      <text>
        <r>
          <rPr>
            <b/>
            <sz val="9"/>
            <color indexed="81"/>
            <rFont val="Tahoma"/>
            <family val="2"/>
          </rPr>
          <t>Chandralekha MR:</t>
        </r>
        <r>
          <rPr>
            <sz val="9"/>
            <color indexed="81"/>
            <rFont val="Tahoma"/>
            <family val="2"/>
          </rPr>
          <t xml:space="preserve">
*This includes surcharge + cess at 4%
</t>
        </r>
      </text>
    </comment>
  </commentList>
</comments>
</file>

<file path=xl/sharedStrings.xml><?xml version="1.0" encoding="utf-8"?>
<sst xmlns="http://schemas.openxmlformats.org/spreadsheetml/2006/main" count="183" uniqueCount="128">
  <si>
    <t>Old Regime</t>
  </si>
  <si>
    <t>Total Deductions</t>
  </si>
  <si>
    <t>Tax rate</t>
  </si>
  <si>
    <t>Tax</t>
  </si>
  <si>
    <t>0 to 3,00,000</t>
  </si>
  <si>
    <t>0 to 2,50,000</t>
  </si>
  <si>
    <t>3,00,000 to 6,00,000</t>
  </si>
  <si>
    <t>2,50,000 to 5,00,000</t>
  </si>
  <si>
    <t>6,00,000 to 9,00,000</t>
  </si>
  <si>
    <t>5,00,000 to 10,00,000</t>
  </si>
  <si>
    <t>9,00,000 to 12,00,000</t>
  </si>
  <si>
    <t>More than 10,00,000</t>
  </si>
  <si>
    <t>12,00,000 to 15,00,000</t>
  </si>
  <si>
    <t>More than 1500000</t>
  </si>
  <si>
    <t>Tax Slab</t>
  </si>
  <si>
    <t>Taxable Income</t>
  </si>
  <si>
    <t>Which Tax Regime to choose?</t>
  </si>
  <si>
    <t>Up to Rs. 50 Lakh</t>
  </si>
  <si>
    <t>Above Rs. 50 Lakh and up to Rs. 1 Crore</t>
  </si>
  <si>
    <t>Above Rs. 1 Crore and up to Rs. 2 Crore</t>
  </si>
  <si>
    <t>Above Rs. 2 Crore and up to Rs. 5 Crore</t>
  </si>
  <si>
    <t>Above Rs. 5 Crore</t>
  </si>
  <si>
    <t>Total Tax*</t>
  </si>
  <si>
    <t>Surcharge rate</t>
  </si>
  <si>
    <t>Is it applicable?</t>
  </si>
  <si>
    <t>Gross Salary</t>
  </si>
  <si>
    <t>Basic + DA</t>
  </si>
  <si>
    <t>House Rent Allowance</t>
  </si>
  <si>
    <t>Bonus/Perks</t>
  </si>
  <si>
    <t>Income from Salary</t>
  </si>
  <si>
    <t>(-) Standard Deduction</t>
  </si>
  <si>
    <t>(-) H.R.A. exemption</t>
  </si>
  <si>
    <t>HRA Received</t>
  </si>
  <si>
    <t>Metro</t>
  </si>
  <si>
    <t>City of residence</t>
  </si>
  <si>
    <t>Annual rent paid</t>
  </si>
  <si>
    <t>(-) Professional Tax</t>
  </si>
  <si>
    <t>40% (Non-Metro) or 50% of Basic (Metro)</t>
  </si>
  <si>
    <t>Income from House Property</t>
  </si>
  <si>
    <t>Rent of the property for the year</t>
  </si>
  <si>
    <t>Net Annual Value</t>
  </si>
  <si>
    <t>Self occupied property (loss)</t>
  </si>
  <si>
    <t>(-) Municipal Taxes paid in the year</t>
  </si>
  <si>
    <t>(-) Interest on Housing Loan</t>
  </si>
  <si>
    <t>Let out property (loss/gain)</t>
  </si>
  <si>
    <t>NSC Interest for the year</t>
  </si>
  <si>
    <t>Income from Other Sources</t>
  </si>
  <si>
    <t>Bank Interest (Fixed Deposit)</t>
  </si>
  <si>
    <t xml:space="preserve">(-) Other exempted allowances as per form 16 (add them all and enter here) </t>
  </si>
  <si>
    <t>Leave encashment</t>
  </si>
  <si>
    <t>Other taxable income applicable under the head (add them all and enter here)</t>
  </si>
  <si>
    <t>Capital Gains</t>
  </si>
  <si>
    <t>Gross Total Income</t>
  </si>
  <si>
    <t>Public Provident Fund (PPF)</t>
  </si>
  <si>
    <t>Senior Citizen’s Saving Scheme (SCSS)</t>
  </si>
  <si>
    <t>N.S.C (Investment + accrued Interest before Maturity Year)</t>
  </si>
  <si>
    <t>Tax Saving Fixed Deposit (5 Years and above)</t>
  </si>
  <si>
    <t>Tax Savings Bonds</t>
  </si>
  <si>
    <t>E.L.S.S (Tax Saving Mutual Fund)</t>
  </si>
  <si>
    <t>Pension Plan from Insurance Companies/Mutual Funds (u/s 80CCC)</t>
  </si>
  <si>
    <t>Housing. Loan (Principal Repayment)</t>
  </si>
  <si>
    <t xml:space="preserve">Sukanya Samriddhi Account </t>
  </si>
  <si>
    <t>Stamp Duty &amp; Registration Charges</t>
  </si>
  <si>
    <t>Tuition fees for 2 children</t>
  </si>
  <si>
    <t>EPF (Employee's contribution) &amp; VPF Contribution</t>
  </si>
  <si>
    <t>(-) 80 D Medical Insurance premiums (for Self )</t>
  </si>
  <si>
    <t>(-) 80 D Medical Insurance premiums (for Parents)</t>
  </si>
  <si>
    <t>Self</t>
  </si>
  <si>
    <t>Parent</t>
  </si>
  <si>
    <t>Normal Citizen</t>
  </si>
  <si>
    <t>Net Taxable Income</t>
  </si>
  <si>
    <t>Tax to Total Income Ratio</t>
  </si>
  <si>
    <t>(-) Advance Tax Paid</t>
  </si>
  <si>
    <t xml:space="preserve">Other taxable allowances (add them all and enter here) </t>
  </si>
  <si>
    <t>Net Tax Payable (After Surcharge + Cess)</t>
  </si>
  <si>
    <t>(-) Interest on loan / Borrowing taken for Repairs, renewal, or reconstruction</t>
  </si>
  <si>
    <t>(-) Interest on loan / Borrowing taken for Construction / Acquisition</t>
  </si>
  <si>
    <t>Bank interest (Savings Account)</t>
  </si>
  <si>
    <t xml:space="preserve">Gross Total Income </t>
  </si>
  <si>
    <t>(-) 80 DD Medical Treatment of Dependent</t>
  </si>
  <si>
    <t>Income Liable to Tax at Normal Rate</t>
  </si>
  <si>
    <t>Profits and Gains of Business or Profession (enter profit only)</t>
  </si>
  <si>
    <t>Life Insurance Premium paid</t>
  </si>
  <si>
    <t>Winnings from Lottery, Crossword Puzzles, etc @ 30%</t>
  </si>
  <si>
    <t>Rent Paid minus 10% of Basic+DA</t>
  </si>
  <si>
    <r>
      <rPr>
        <b/>
        <i/>
        <sz val="14"/>
        <color theme="7"/>
        <rFont val="Calibri"/>
        <family val="2"/>
        <scheme val="minor"/>
      </rPr>
      <t>Financewizardcl's</t>
    </r>
    <r>
      <rPr>
        <b/>
        <i/>
        <sz val="14"/>
        <color theme="0"/>
        <rFont val="Calibri"/>
        <family val="2"/>
        <scheme val="minor"/>
      </rPr>
      <t xml:space="preserve"> Income Tax Calculator </t>
    </r>
    <r>
      <rPr>
        <i/>
        <sz val="11"/>
        <color theme="0"/>
        <rFont val="Calibri"/>
        <family val="2"/>
        <scheme val="minor"/>
      </rPr>
      <t>(Old Regime)</t>
    </r>
  </si>
  <si>
    <t>Long Term Capital Gains (Charged to tax @ 20%)</t>
  </si>
  <si>
    <t>Long Term Capital Gains (Charged to tax @ 10%, other than LTCG u/s 112A)</t>
  </si>
  <si>
    <t>Long Term Capital Gains u/s 112A(Charged to tax @ 10%)</t>
  </si>
  <si>
    <t>Claiming 80U?</t>
  </si>
  <si>
    <t>Severe Disability?</t>
  </si>
  <si>
    <t>(-) Deductions u/s 80EE (Interest on Loan taken for Residential House)</t>
  </si>
  <si>
    <t>(-) TDS + TCS + MAT / AMT credit utilized</t>
  </si>
  <si>
    <t>Tax at Normal Rate</t>
  </si>
  <si>
    <t>Rebate ( u/s 87A)</t>
  </si>
  <si>
    <t>Total Tax after Rebate</t>
  </si>
  <si>
    <t>Total Tax before Rebate (including capital gains tax)</t>
  </si>
  <si>
    <t>Tax after Rebate</t>
  </si>
  <si>
    <t>Other deductions if any</t>
  </si>
  <si>
    <t>National Pension System (NPS) (u/s 80CCC (1))</t>
  </si>
  <si>
    <t>Hover over the red flags on cells in the calculator to read additional information.</t>
  </si>
  <si>
    <t>Income liable at Normal rate</t>
  </si>
  <si>
    <t>Instructions for using the sheet</t>
  </si>
  <si>
    <r>
      <rPr>
        <b/>
        <i/>
        <sz val="14"/>
        <color theme="7"/>
        <rFont val="Calibri"/>
        <family val="2"/>
        <scheme val="minor"/>
      </rPr>
      <t>Financewizardcl's</t>
    </r>
    <r>
      <rPr>
        <b/>
        <i/>
        <sz val="14"/>
        <color theme="0"/>
        <rFont val="Calibri"/>
        <family val="2"/>
        <scheme val="minor"/>
      </rPr>
      <t xml:space="preserve"> Income Tax Calculator </t>
    </r>
    <r>
      <rPr>
        <i/>
        <sz val="11"/>
        <color theme="0"/>
        <rFont val="Calibri"/>
        <family val="2"/>
        <scheme val="minor"/>
      </rPr>
      <t>(New Regime FY 2023-2024)</t>
    </r>
  </si>
  <si>
    <t>Surcharge Table</t>
  </si>
  <si>
    <t>Conclusion</t>
  </si>
  <si>
    <r>
      <rPr>
        <b/>
        <i/>
        <sz val="14"/>
        <color theme="7"/>
        <rFont val="Calibri"/>
        <family val="2"/>
        <scheme val="minor"/>
      </rPr>
      <t xml:space="preserve">Financewizardcl's </t>
    </r>
    <r>
      <rPr>
        <b/>
        <i/>
        <sz val="14"/>
        <color theme="0"/>
        <rFont val="Calibri"/>
        <family val="2"/>
        <scheme val="minor"/>
      </rPr>
      <t xml:space="preserve">Old vs New (FY 23-24) Income Tax Regime Calculator </t>
    </r>
    <r>
      <rPr>
        <i/>
        <sz val="11"/>
        <color theme="0"/>
        <rFont val="Calibri"/>
        <family val="2"/>
        <scheme val="minor"/>
      </rPr>
      <t>(2023 latest version)</t>
    </r>
  </si>
  <si>
    <t>(-) Deductions u/s 80E (Interest on Loan for Higher Education)</t>
  </si>
  <si>
    <t>New Regime (FY 23-24)</t>
  </si>
  <si>
    <t>Short Term Capital Gains (Other than covered u/s 111A)</t>
  </si>
  <si>
    <t>Short Term Capital Gains (Covered u/s 111A) (Charged to tax @ 15%)</t>
  </si>
  <si>
    <t>Long Term Capital Gains (Covered u/s 112A) (Charged to tax @ 10%)</t>
  </si>
  <si>
    <t>(-)Deduction u/s 80C</t>
  </si>
  <si>
    <t>Deduction u/s 80D and 80DD</t>
  </si>
  <si>
    <t>(-) Deduction u/s 80CCD (1B) (Additional Employee’s contribution towards NPS)</t>
  </si>
  <si>
    <t>(-) Deduction u/s 80CCD (2) (Employers contribution towards NPS)</t>
  </si>
  <si>
    <t>(-) Deduction u/s 80U For Physically Disabled Assesse</t>
  </si>
  <si>
    <t>(-) Deduction u/s 80G for Donations</t>
  </si>
  <si>
    <t>(-) Deduction u/s 80GG For Rent in case of "No" HRA Component</t>
  </si>
  <si>
    <t>(-) Deduction u/s 80EEB (Interest on Auto Loan for Electronic Vehicle)</t>
  </si>
  <si>
    <t>(-) u/s 80TTA Savings Account Interest (Rs 50,000 for Senior Citizens &amp; Rs 10,000 for others)</t>
  </si>
  <si>
    <t>Note: Please do not make any edits here. This sheet is only for reference.</t>
  </si>
  <si>
    <t>Tax Remaining to be paid/refund</t>
  </si>
  <si>
    <t>Post office deposit</t>
  </si>
  <si>
    <t>(-) 80 DDB Actual Payment towards Medical Treatment of Self/ Dependent</t>
  </si>
  <si>
    <t>Tax Remaining to be paid/refund (-)</t>
  </si>
  <si>
    <t>Fill only the boxes coloured with yellow. Do not fill in the white boxes.</t>
  </si>
  <si>
    <t>https://forms.gle/s4EANpQ4kh95nuvq5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</si>
</sst>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164" formatCode="_(* #,##0.00_);_(* \(#,##0.00\);_(* &quot;-&quot;??_);_(@_)"/>
    <numFmt numFmtId="165" formatCode="_(* #,##0_);_(* \(#,##0\);_(* &quot;-&quot;??_);_(@_)"/>
    <numFmt numFmtId="166" formatCode="_ &quot;₹&quot;\ * #,##0_ ;_ &quot;₹&quot;\ * \-#,##0_ ;_ &quot;₹&quot;\ * &quot;-&quot;??_ ;_ @_ "/>
    <numFmt numFmtId="167" formatCode="&quot;₹&quot;\ #,##0"/>
    <numFmt numFmtId="168" formatCode="_ &quot;₹&quot;\ * #,##0.0_ ;_ &quot;₹&quot;\ * \-#,##0.0_ ;_ &quot;₹&quot;\ * &quot;-&quot;?_ ;_ @_ "/>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sz val="14"/>
      <color theme="0"/>
      <name val="Calibri"/>
      <family val="2"/>
      <scheme val="minor"/>
    </font>
    <font>
      <b/>
      <i/>
      <sz val="14"/>
      <color theme="7"/>
      <name val="Calibri"/>
      <family val="2"/>
      <scheme val="minor"/>
    </font>
    <font>
      <i/>
      <sz val="11"/>
      <color theme="0"/>
      <name val="Calibri"/>
      <family val="2"/>
      <scheme val="minor"/>
    </font>
    <font>
      <b/>
      <sz val="11"/>
      <name val="Calibri"/>
      <family val="2"/>
      <scheme val="minor"/>
    </font>
    <font>
      <sz val="10"/>
      <name val="Arial"/>
      <family val="2"/>
    </font>
    <font>
      <sz val="11"/>
      <name val="Calibri"/>
      <family val="2"/>
      <scheme val="minor"/>
    </font>
    <font>
      <sz val="9"/>
      <color indexed="81"/>
      <name val="Tahoma"/>
      <family val="2"/>
    </font>
    <font>
      <b/>
      <sz val="9"/>
      <color indexed="81"/>
      <name val="Tahoma"/>
      <family val="2"/>
    </font>
    <font>
      <b/>
      <i/>
      <sz val="11"/>
      <color rgb="FFFF0000"/>
      <name val="Calibri"/>
      <family val="2"/>
      <scheme val="minor"/>
    </font>
    <font>
      <b/>
      <sz val="12"/>
      <color theme="0"/>
      <name val="Calibri"/>
      <family val="2"/>
      <scheme val="minor"/>
    </font>
    <font>
      <u/>
      <sz val="11"/>
      <color theme="10"/>
      <name val="Calibri"/>
      <family val="2"/>
      <scheme val="minor"/>
    </font>
    <font>
      <u/>
      <sz val="11"/>
      <color rgb="FFFFC000"/>
      <name val="Calibri"/>
      <family val="2"/>
      <scheme val="minor"/>
    </font>
    <font>
      <sz val="11"/>
      <color rgb="FFFFC000"/>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rgb="FFF1C900"/>
        <bgColor indexed="64"/>
      </patternFill>
    </fill>
    <fill>
      <patternFill patternType="solid">
        <fgColor theme="0"/>
        <bgColor indexed="64"/>
      </patternFill>
    </fill>
    <fill>
      <patternFill patternType="solid">
        <fgColor indexed="9"/>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C00000"/>
        <bgColor indexed="64"/>
      </patternFill>
    </fill>
  </fills>
  <borders count="9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medium">
        <color theme="1"/>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0"/>
      </right>
      <top/>
      <bottom style="thin">
        <color theme="0"/>
      </bottom>
      <diagonal/>
    </border>
    <border>
      <left style="thin">
        <color theme="0"/>
      </left>
      <right style="medium">
        <color theme="1"/>
      </right>
      <top/>
      <bottom style="thin">
        <color theme="0"/>
      </bottom>
      <diagonal/>
    </border>
    <border>
      <left style="medium">
        <color theme="1"/>
      </left>
      <right style="thin">
        <color theme="0"/>
      </right>
      <top style="thin">
        <color theme="0"/>
      </top>
      <bottom/>
      <diagonal/>
    </border>
    <border>
      <left style="thin">
        <color theme="0"/>
      </left>
      <right style="medium">
        <color theme="1"/>
      </right>
      <top style="thin">
        <color theme="0"/>
      </top>
      <bottom/>
      <diagonal/>
    </border>
    <border>
      <left style="medium">
        <color theme="1"/>
      </left>
      <right style="thin">
        <color indexed="64"/>
      </right>
      <top/>
      <bottom style="thin">
        <color indexed="64"/>
      </bottom>
      <diagonal/>
    </border>
    <border>
      <left style="thin">
        <color indexed="64"/>
      </left>
      <right style="medium">
        <color theme="1"/>
      </right>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theme="1"/>
      </right>
      <top style="medium">
        <color theme="1"/>
      </top>
      <bottom/>
      <diagonal/>
    </border>
    <border>
      <left style="medium">
        <color theme="1"/>
      </left>
      <right/>
      <top style="thin">
        <color indexed="64"/>
      </top>
      <bottom style="medium">
        <color theme="1"/>
      </bottom>
      <diagonal/>
    </border>
    <border>
      <left style="thin">
        <color theme="1"/>
      </left>
      <right style="thin">
        <color theme="1"/>
      </right>
      <top style="thin">
        <color theme="1"/>
      </top>
      <bottom style="medium">
        <color theme="1"/>
      </bottom>
      <diagonal/>
    </border>
    <border>
      <left style="thin">
        <color indexed="64"/>
      </left>
      <right style="medium">
        <color indexed="64"/>
      </right>
      <top style="medium">
        <color theme="1"/>
      </top>
      <bottom/>
      <diagonal/>
    </border>
    <border>
      <left style="medium">
        <color theme="1"/>
      </left>
      <right style="thin">
        <color indexed="64"/>
      </right>
      <top style="medium">
        <color theme="1"/>
      </top>
      <bottom/>
      <diagonal/>
    </border>
    <border>
      <left style="thin">
        <color theme="1"/>
      </left>
      <right style="thin">
        <color theme="1"/>
      </right>
      <top style="medium">
        <color theme="1"/>
      </top>
      <bottom style="thin">
        <color theme="1"/>
      </bottom>
      <diagonal/>
    </border>
    <border>
      <left style="thin">
        <color indexed="64"/>
      </left>
      <right/>
      <top style="medium">
        <color indexed="64"/>
      </top>
      <bottom style="medium">
        <color indexed="64"/>
      </bottom>
      <diagonal/>
    </border>
    <border>
      <left style="medium">
        <color theme="1"/>
      </left>
      <right style="thin">
        <color indexed="64"/>
      </right>
      <top style="medium">
        <color indexed="64"/>
      </top>
      <bottom style="thin">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medium">
        <color indexed="64"/>
      </top>
      <bottom/>
      <diagonal/>
    </border>
    <border>
      <left style="medium">
        <color theme="1"/>
      </left>
      <right/>
      <top style="medium">
        <color indexed="64"/>
      </top>
      <bottom/>
      <diagonal/>
    </border>
    <border>
      <left style="medium">
        <color theme="1"/>
      </left>
      <right style="thin">
        <color indexed="64"/>
      </right>
      <top style="medium">
        <color indexed="64"/>
      </top>
      <bottom style="medium">
        <color theme="1"/>
      </bottom>
      <diagonal/>
    </border>
    <border>
      <left style="thin">
        <color indexed="64"/>
      </left>
      <right style="thin">
        <color indexed="64"/>
      </right>
      <top style="medium">
        <color indexed="64"/>
      </top>
      <bottom style="medium">
        <color theme="1"/>
      </bottom>
      <diagonal/>
    </border>
    <border>
      <left style="thin">
        <color indexed="64"/>
      </left>
      <right style="medium">
        <color theme="1"/>
      </right>
      <top style="medium">
        <color indexed="64"/>
      </top>
      <bottom style="medium">
        <color theme="1"/>
      </bottom>
      <diagonal/>
    </border>
    <border>
      <left style="thin">
        <color indexed="64"/>
      </left>
      <right style="thin">
        <color indexed="64"/>
      </right>
      <top style="medium">
        <color theme="1"/>
      </top>
      <bottom/>
      <diagonal/>
    </border>
    <border>
      <left style="thin">
        <color indexed="64"/>
      </left>
      <right style="medium">
        <color theme="1"/>
      </right>
      <top style="medium">
        <color theme="1"/>
      </top>
      <bottom/>
      <diagonal/>
    </border>
    <border>
      <left style="thin">
        <color indexed="64"/>
      </left>
      <right style="medium">
        <color theme="1"/>
      </right>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thin">
        <color indexed="64"/>
      </top>
      <bottom style="medium">
        <color theme="1"/>
      </bottom>
      <diagonal/>
    </border>
    <border>
      <left/>
      <right style="medium">
        <color indexed="64"/>
      </right>
      <top style="medium">
        <color indexed="64"/>
      </top>
      <bottom style="medium">
        <color indexed="64"/>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9" fillId="0" borderId="0"/>
    <xf numFmtId="0" fontId="15" fillId="0" borderId="0" applyNumberFormat="0" applyFill="0" applyBorder="0" applyAlignment="0" applyProtection="0"/>
  </cellStyleXfs>
  <cellXfs count="258">
    <xf numFmtId="0" fontId="0" fillId="0" borderId="0" xfId="0"/>
    <xf numFmtId="166" fontId="0" fillId="0" borderId="7" xfId="1" applyNumberFormat="1" applyFont="1" applyBorder="1" applyProtection="1">
      <protection hidden="1"/>
    </xf>
    <xf numFmtId="166" fontId="8" fillId="4" borderId="11" xfId="1" applyNumberFormat="1" applyFont="1" applyFill="1" applyBorder="1" applyProtection="1">
      <protection hidden="1"/>
    </xf>
    <xf numFmtId="166" fontId="0" fillId="0" borderId="7" xfId="0" applyNumberFormat="1" applyBorder="1" applyAlignment="1" applyProtection="1">
      <alignment horizontal="left"/>
      <protection hidden="1"/>
    </xf>
    <xf numFmtId="166" fontId="3" fillId="4" borderId="70" xfId="0" applyNumberFormat="1" applyFont="1" applyFill="1" applyBorder="1" applyProtection="1">
      <protection hidden="1"/>
    </xf>
    <xf numFmtId="166" fontId="2" fillId="3" borderId="0" xfId="0" applyNumberFormat="1" applyFont="1" applyFill="1" applyProtection="1">
      <protection hidden="1"/>
    </xf>
    <xf numFmtId="166" fontId="0" fillId="3" borderId="0" xfId="2" applyNumberFormat="1" applyFont="1" applyFill="1" applyBorder="1" applyAlignment="1" applyProtection="1">
      <alignment horizontal="left"/>
      <protection hidden="1"/>
    </xf>
    <xf numFmtId="166" fontId="3" fillId="3" borderId="0" xfId="0" applyNumberFormat="1" applyFont="1" applyFill="1" applyAlignment="1" applyProtection="1">
      <alignment horizontal="left"/>
      <protection hidden="1"/>
    </xf>
    <xf numFmtId="166" fontId="3" fillId="3" borderId="0" xfId="0" applyNumberFormat="1" applyFont="1" applyFill="1" applyProtection="1">
      <protection hidden="1"/>
    </xf>
    <xf numFmtId="166" fontId="0" fillId="0" borderId="47" xfId="2" applyNumberFormat="1" applyFont="1" applyBorder="1" applyAlignment="1" applyProtection="1">
      <alignment horizontal="left"/>
      <protection hidden="1"/>
    </xf>
    <xf numFmtId="166" fontId="3" fillId="4" borderId="49" xfId="0" applyNumberFormat="1" applyFont="1" applyFill="1" applyBorder="1" applyAlignment="1" applyProtection="1">
      <alignment horizontal="left"/>
      <protection hidden="1"/>
    </xf>
    <xf numFmtId="166" fontId="2" fillId="2" borderId="77" xfId="0" applyNumberFormat="1" applyFont="1" applyFill="1" applyBorder="1" applyProtection="1">
      <protection hidden="1"/>
    </xf>
    <xf numFmtId="166" fontId="3" fillId="4" borderId="81" xfId="0" applyNumberFormat="1" applyFont="1" applyFill="1" applyBorder="1" applyProtection="1">
      <protection hidden="1"/>
    </xf>
    <xf numFmtId="166" fontId="2" fillId="2" borderId="84" xfId="0" applyNumberFormat="1" applyFont="1" applyFill="1" applyBorder="1" applyAlignment="1" applyProtection="1">
      <alignment horizontal="left"/>
      <protection hidden="1"/>
    </xf>
    <xf numFmtId="166" fontId="0" fillId="0" borderId="86" xfId="0" applyNumberFormat="1" applyBorder="1" applyAlignment="1" applyProtection="1">
      <alignment horizontal="left"/>
      <protection hidden="1"/>
    </xf>
    <xf numFmtId="0" fontId="0" fillId="0" borderId="0" xfId="0" applyProtection="1">
      <protection hidden="1"/>
    </xf>
    <xf numFmtId="0" fontId="0" fillId="3" borderId="4" xfId="0" applyFill="1" applyBorder="1" applyProtection="1">
      <protection hidden="1"/>
    </xf>
    <xf numFmtId="0" fontId="0" fillId="3" borderId="0" xfId="0" applyFill="1" applyProtection="1">
      <protection hidden="1"/>
    </xf>
    <xf numFmtId="0" fontId="0" fillId="3" borderId="5" xfId="0" applyFill="1" applyBorder="1" applyProtection="1">
      <protection hidden="1"/>
    </xf>
    <xf numFmtId="0" fontId="2" fillId="3" borderId="0" xfId="0" applyFont="1" applyFill="1" applyAlignment="1" applyProtection="1">
      <alignment horizontal="center"/>
      <protection hidden="1"/>
    </xf>
    <xf numFmtId="0" fontId="0" fillId="0" borderId="46" xfId="0" applyBorder="1" applyProtection="1">
      <protection hidden="1"/>
    </xf>
    <xf numFmtId="0" fontId="0" fillId="0" borderId="58" xfId="0" applyBorder="1" applyProtection="1">
      <protection hidden="1"/>
    </xf>
    <xf numFmtId="0" fontId="0" fillId="0" borderId="6" xfId="0" applyBorder="1" applyProtection="1">
      <protection hidden="1"/>
    </xf>
    <xf numFmtId="168" fontId="0" fillId="0" borderId="0" xfId="0" applyNumberFormat="1" applyProtection="1">
      <protection hidden="1"/>
    </xf>
    <xf numFmtId="0" fontId="0" fillId="3" borderId="17" xfId="0" applyFill="1" applyBorder="1" applyProtection="1">
      <protection hidden="1"/>
    </xf>
    <xf numFmtId="0" fontId="0" fillId="3" borderId="23" xfId="0" applyFill="1" applyBorder="1" applyProtection="1">
      <protection hidden="1"/>
    </xf>
    <xf numFmtId="0" fontId="0" fillId="3" borderId="18" xfId="0" applyFill="1" applyBorder="1" applyProtection="1">
      <protection hidden="1"/>
    </xf>
    <xf numFmtId="0" fontId="0" fillId="0" borderId="0" xfId="0" applyProtection="1">
      <protection locked="0" hidden="1"/>
    </xf>
    <xf numFmtId="0" fontId="2" fillId="9" borderId="88" xfId="0" applyFont="1" applyFill="1" applyBorder="1" applyAlignment="1" applyProtection="1">
      <alignment horizontal="left"/>
      <protection locked="0" hidden="1"/>
    </xf>
    <xf numFmtId="0" fontId="0" fillId="3" borderId="4" xfId="0" applyFill="1" applyBorder="1" applyProtection="1">
      <protection locked="0" hidden="1"/>
    </xf>
    <xf numFmtId="0" fontId="0" fillId="3" borderId="0" xfId="0" applyFill="1" applyProtection="1">
      <protection locked="0" hidden="1"/>
    </xf>
    <xf numFmtId="0" fontId="0" fillId="3" borderId="5" xfId="0" applyFill="1" applyBorder="1" applyProtection="1">
      <protection locked="0" hidden="1"/>
    </xf>
    <xf numFmtId="0" fontId="0" fillId="7" borderId="89" xfId="0" applyFill="1" applyBorder="1" applyAlignment="1" applyProtection="1">
      <alignment horizontal="left"/>
      <protection locked="0" hidden="1"/>
    </xf>
    <xf numFmtId="0" fontId="0" fillId="3" borderId="63" xfId="0" applyFill="1" applyBorder="1" applyProtection="1">
      <protection locked="0" hidden="1"/>
    </xf>
    <xf numFmtId="0" fontId="0" fillId="3" borderId="64" xfId="0" applyFill="1" applyBorder="1" applyProtection="1">
      <protection locked="0" hidden="1"/>
    </xf>
    <xf numFmtId="0" fontId="2" fillId="2" borderId="30" xfId="0" applyFont="1" applyFill="1" applyBorder="1" applyAlignment="1" applyProtection="1">
      <alignment horizontal="left"/>
      <protection locked="0" hidden="1"/>
    </xf>
    <xf numFmtId="166" fontId="2" fillId="2" borderId="31" xfId="0" applyNumberFormat="1" applyFont="1" applyFill="1" applyBorder="1" applyProtection="1">
      <protection locked="0" hidden="1"/>
    </xf>
    <xf numFmtId="0" fontId="2" fillId="3" borderId="0" xfId="0" applyFont="1" applyFill="1" applyAlignment="1" applyProtection="1">
      <alignment horizontal="center"/>
      <protection locked="0" hidden="1"/>
    </xf>
    <xf numFmtId="0" fontId="0" fillId="0" borderId="90" xfId="0" applyBorder="1" applyAlignment="1" applyProtection="1">
      <alignment horizontal="left"/>
      <protection locked="0" hidden="1"/>
    </xf>
    <xf numFmtId="0" fontId="0" fillId="0" borderId="44" xfId="0" applyBorder="1" applyProtection="1">
      <protection locked="0" hidden="1"/>
    </xf>
    <xf numFmtId="166" fontId="0" fillId="0" borderId="45" xfId="0" applyNumberFormat="1" applyBorder="1" applyProtection="1">
      <protection locked="0" hidden="1"/>
    </xf>
    <xf numFmtId="2" fontId="0" fillId="0" borderId="13" xfId="3" applyNumberFormat="1" applyFont="1" applyBorder="1" applyAlignment="1" applyProtection="1">
      <alignment horizontal="left"/>
      <protection locked="0" hidden="1"/>
    </xf>
    <xf numFmtId="166" fontId="0" fillId="7" borderId="8" xfId="0" applyNumberFormat="1" applyFill="1" applyBorder="1" applyProtection="1">
      <protection locked="0" hidden="1"/>
    </xf>
    <xf numFmtId="166" fontId="0" fillId="3" borderId="0" xfId="0" applyNumberFormat="1" applyFill="1" applyProtection="1">
      <protection locked="0" hidden="1"/>
    </xf>
    <xf numFmtId="0" fontId="0" fillId="0" borderId="46" xfId="0" applyBorder="1" applyAlignment="1" applyProtection="1">
      <alignment horizontal="left" indent="2"/>
      <protection locked="0" hidden="1"/>
    </xf>
    <xf numFmtId="166" fontId="0" fillId="0" borderId="47" xfId="0" applyNumberFormat="1" applyBorder="1" applyProtection="1">
      <protection locked="0" hidden="1"/>
    </xf>
    <xf numFmtId="2" fontId="0" fillId="0" borderId="6" xfId="3" applyNumberFormat="1" applyFont="1" applyBorder="1" applyAlignment="1" applyProtection="1">
      <alignment horizontal="left"/>
      <protection locked="0" hidden="1"/>
    </xf>
    <xf numFmtId="0" fontId="0" fillId="0" borderId="46" xfId="0" applyBorder="1" applyProtection="1">
      <protection locked="0" hidden="1"/>
    </xf>
    <xf numFmtId="0" fontId="14" fillId="2" borderId="88" xfId="0" applyFont="1" applyFill="1" applyBorder="1" applyAlignment="1" applyProtection="1">
      <alignment horizontal="center"/>
      <protection locked="0" hidden="1"/>
    </xf>
    <xf numFmtId="0" fontId="0" fillId="3" borderId="89" xfId="0" applyFill="1" applyBorder="1" applyProtection="1">
      <protection locked="0" hidden="1"/>
    </xf>
    <xf numFmtId="2" fontId="8" fillId="4" borderId="10" xfId="3" applyNumberFormat="1" applyFont="1" applyFill="1" applyBorder="1" applyAlignment="1" applyProtection="1">
      <alignment horizontal="left"/>
      <protection locked="0" hidden="1"/>
    </xf>
    <xf numFmtId="166" fontId="8" fillId="4" borderId="12" xfId="0" applyNumberFormat="1" applyFont="1" applyFill="1" applyBorder="1" applyProtection="1">
      <protection locked="0" hidden="1"/>
    </xf>
    <xf numFmtId="166" fontId="8" fillId="3" borderId="0" xfId="0" applyNumberFormat="1" applyFont="1" applyFill="1" applyProtection="1">
      <protection locked="0" hidden="1"/>
    </xf>
    <xf numFmtId="0" fontId="0" fillId="0" borderId="48" xfId="0" applyBorder="1" applyProtection="1">
      <protection locked="0" hidden="1"/>
    </xf>
    <xf numFmtId="166" fontId="0" fillId="0" borderId="49" xfId="0" applyNumberFormat="1" applyBorder="1" applyProtection="1">
      <protection locked="0" hidden="1"/>
    </xf>
    <xf numFmtId="0" fontId="3" fillId="3" borderId="0" xfId="0" applyFont="1" applyFill="1" applyAlignment="1" applyProtection="1">
      <alignment horizontal="center" vertical="center" textRotation="90"/>
      <protection locked="0" hidden="1"/>
    </xf>
    <xf numFmtId="2" fontId="8" fillId="3" borderId="0" xfId="3" applyNumberFormat="1" applyFont="1" applyFill="1" applyAlignment="1" applyProtection="1">
      <alignment horizontal="left"/>
      <protection locked="0" hidden="1"/>
    </xf>
    <xf numFmtId="0" fontId="3" fillId="4" borderId="50" xfId="0" applyFont="1" applyFill="1" applyBorder="1" applyProtection="1">
      <protection locked="0" hidden="1"/>
    </xf>
    <xf numFmtId="166" fontId="3" fillId="4" borderId="51" xfId="0" applyNumberFormat="1" applyFont="1" applyFill="1" applyBorder="1" applyProtection="1">
      <protection locked="0" hidden="1"/>
    </xf>
    <xf numFmtId="0" fontId="0" fillId="3" borderId="90" xfId="0" applyFill="1" applyBorder="1" applyProtection="1">
      <protection locked="0" hidden="1"/>
    </xf>
    <xf numFmtId="0" fontId="0" fillId="5" borderId="50" xfId="0" applyFill="1" applyBorder="1" applyProtection="1">
      <protection locked="0" hidden="1"/>
    </xf>
    <xf numFmtId="166" fontId="3" fillId="5" borderId="51" xfId="0" applyNumberFormat="1" applyFont="1" applyFill="1" applyBorder="1" applyProtection="1">
      <protection locked="0" hidden="1"/>
    </xf>
    <xf numFmtId="0" fontId="2" fillId="2" borderId="52" xfId="0" applyFont="1" applyFill="1" applyBorder="1" applyProtection="1">
      <protection locked="0" hidden="1"/>
    </xf>
    <xf numFmtId="166" fontId="2" fillId="2" borderId="53" xfId="0" applyNumberFormat="1" applyFont="1" applyFill="1" applyBorder="1" applyProtection="1">
      <protection locked="0" hidden="1"/>
    </xf>
    <xf numFmtId="0" fontId="3" fillId="5" borderId="4" xfId="0" applyFont="1" applyFill="1" applyBorder="1" applyAlignment="1" applyProtection="1">
      <alignment horizontal="center" vertical="center" textRotation="90"/>
      <protection locked="0" hidden="1"/>
    </xf>
    <xf numFmtId="0" fontId="3" fillId="4" borderId="6" xfId="0" applyFont="1" applyFill="1" applyBorder="1" applyProtection="1">
      <protection locked="0" hidden="1"/>
    </xf>
    <xf numFmtId="0" fontId="0" fillId="4" borderId="7" xfId="0" applyFill="1" applyBorder="1" applyProtection="1">
      <protection locked="0" hidden="1"/>
    </xf>
    <xf numFmtId="166" fontId="3" fillId="4" borderId="8" xfId="0" applyNumberFormat="1" applyFont="1" applyFill="1" applyBorder="1" applyProtection="1">
      <protection locked="0" hidden="1"/>
    </xf>
    <xf numFmtId="0" fontId="2" fillId="2" borderId="54" xfId="0" applyFont="1" applyFill="1" applyBorder="1" applyProtection="1">
      <protection locked="0" hidden="1"/>
    </xf>
    <xf numFmtId="166" fontId="2" fillId="2" borderId="55" xfId="0" applyNumberFormat="1" applyFont="1" applyFill="1" applyBorder="1" applyProtection="1">
      <protection locked="0" hidden="1"/>
    </xf>
    <xf numFmtId="0" fontId="0" fillId="0" borderId="13" xfId="0" applyBorder="1" applyProtection="1">
      <protection locked="0" hidden="1"/>
    </xf>
    <xf numFmtId="0" fontId="0" fillId="0" borderId="7" xfId="0" applyBorder="1" applyProtection="1">
      <protection locked="0" hidden="1"/>
    </xf>
    <xf numFmtId="166" fontId="0" fillId="0" borderId="8" xfId="0" applyNumberFormat="1" applyBorder="1" applyProtection="1">
      <protection locked="0" hidden="1"/>
    </xf>
    <xf numFmtId="0" fontId="10" fillId="6" borderId="13" xfId="0" applyFont="1" applyFill="1" applyBorder="1" applyAlignment="1" applyProtection="1">
      <alignment vertical="center"/>
      <protection locked="0" hidden="1"/>
    </xf>
    <xf numFmtId="0" fontId="0" fillId="0" borderId="9" xfId="0" applyBorder="1" applyProtection="1">
      <protection locked="0" hidden="1"/>
    </xf>
    <xf numFmtId="0" fontId="0" fillId="0" borderId="56" xfId="0" applyBorder="1" applyProtection="1">
      <protection locked="0" hidden="1"/>
    </xf>
    <xf numFmtId="166" fontId="0" fillId="0" borderId="57" xfId="0" applyNumberFormat="1" applyBorder="1" applyProtection="1">
      <protection locked="0" hidden="1"/>
    </xf>
    <xf numFmtId="2" fontId="10" fillId="0" borderId="35" xfId="3" applyNumberFormat="1" applyFont="1" applyBorder="1" applyAlignment="1" applyProtection="1">
      <alignment horizontal="left" indent="1"/>
      <protection locked="0" hidden="1"/>
    </xf>
    <xf numFmtId="166" fontId="0" fillId="7" borderId="9" xfId="0" applyNumberFormat="1" applyFill="1" applyBorder="1" applyAlignment="1" applyProtection="1">
      <alignment horizontal="center"/>
      <protection locked="0" hidden="1"/>
    </xf>
    <xf numFmtId="166" fontId="0" fillId="7" borderId="9" xfId="0" applyNumberFormat="1" applyFill="1" applyBorder="1" applyProtection="1">
      <protection locked="0" hidden="1"/>
    </xf>
    <xf numFmtId="0" fontId="3" fillId="4" borderId="46" xfId="0" applyFont="1" applyFill="1" applyBorder="1" applyProtection="1">
      <protection locked="0" hidden="1"/>
    </xf>
    <xf numFmtId="166" fontId="3" fillId="4" borderId="47" xfId="0" applyNumberFormat="1" applyFont="1" applyFill="1" applyBorder="1" applyProtection="1">
      <protection locked="0" hidden="1"/>
    </xf>
    <xf numFmtId="166" fontId="0" fillId="0" borderId="9" xfId="0" applyNumberFormat="1" applyBorder="1" applyProtection="1">
      <protection locked="0" hidden="1"/>
    </xf>
    <xf numFmtId="0" fontId="0" fillId="0" borderId="58" xfId="0" applyBorder="1" applyProtection="1">
      <protection locked="0" hidden="1"/>
    </xf>
    <xf numFmtId="9" fontId="0" fillId="0" borderId="59" xfId="2" applyFont="1" applyBorder="1" applyProtection="1">
      <protection locked="0" hidden="1"/>
    </xf>
    <xf numFmtId="0" fontId="0" fillId="3" borderId="65" xfId="0" applyFill="1" applyBorder="1" applyProtection="1">
      <protection locked="0" hidden="1"/>
    </xf>
    <xf numFmtId="0" fontId="0" fillId="3" borderId="66" xfId="0" applyFill="1" applyBorder="1" applyProtection="1">
      <protection locked="0" hidden="1"/>
    </xf>
    <xf numFmtId="0" fontId="0" fillId="3" borderId="67" xfId="0" applyFill="1" applyBorder="1" applyProtection="1">
      <protection locked="0" hidden="1"/>
    </xf>
    <xf numFmtId="2" fontId="10" fillId="0" borderId="32" xfId="3" applyNumberFormat="1" applyFont="1" applyBorder="1" applyAlignment="1" applyProtection="1">
      <alignment horizontal="left" indent="1"/>
      <protection locked="0" hidden="1"/>
    </xf>
    <xf numFmtId="0" fontId="0" fillId="0" borderId="32" xfId="0" applyBorder="1" applyProtection="1">
      <protection locked="0" hidden="1"/>
    </xf>
    <xf numFmtId="166" fontId="0" fillId="0" borderId="7" xfId="0" applyNumberFormat="1" applyBorder="1" applyProtection="1">
      <protection locked="0" hidden="1"/>
    </xf>
    <xf numFmtId="0" fontId="0" fillId="0" borderId="6" xfId="0" applyBorder="1" applyProtection="1">
      <protection locked="0" hidden="1"/>
    </xf>
    <xf numFmtId="0" fontId="0" fillId="0" borderId="10" xfId="0" applyBorder="1" applyProtection="1">
      <protection locked="0" hidden="1"/>
    </xf>
    <xf numFmtId="166" fontId="0" fillId="0" borderId="11" xfId="0" applyNumberFormat="1" applyBorder="1" applyProtection="1">
      <protection locked="0" hidden="1"/>
    </xf>
    <xf numFmtId="166" fontId="0" fillId="7" borderId="12" xfId="0" applyNumberFormat="1" applyFill="1" applyBorder="1" applyProtection="1">
      <protection locked="0" hidden="1"/>
    </xf>
    <xf numFmtId="0" fontId="3" fillId="4" borderId="32" xfId="0" applyFont="1" applyFill="1" applyBorder="1" applyProtection="1">
      <protection locked="0" hidden="1"/>
    </xf>
    <xf numFmtId="44" fontId="0" fillId="4" borderId="27" xfId="0" applyNumberFormat="1" applyFill="1" applyBorder="1" applyProtection="1">
      <protection locked="0" hidden="1"/>
    </xf>
    <xf numFmtId="166" fontId="3" fillId="4" borderId="34" xfId="0" applyNumberFormat="1" applyFont="1" applyFill="1" applyBorder="1" applyProtection="1">
      <protection locked="0" hidden="1"/>
    </xf>
    <xf numFmtId="0" fontId="3" fillId="8" borderId="32" xfId="0" applyFont="1" applyFill="1" applyBorder="1" applyAlignment="1" applyProtection="1">
      <alignment horizontal="left"/>
      <protection locked="0" hidden="1"/>
    </xf>
    <xf numFmtId="166" fontId="3" fillId="8" borderId="7" xfId="0" applyNumberFormat="1" applyFont="1" applyFill="1" applyBorder="1" applyProtection="1">
      <protection locked="0" hidden="1"/>
    </xf>
    <xf numFmtId="166" fontId="3" fillId="8" borderId="8" xfId="0" applyNumberFormat="1" applyFont="1" applyFill="1" applyBorder="1" applyProtection="1">
      <protection locked="0" hidden="1"/>
    </xf>
    <xf numFmtId="165" fontId="0" fillId="0" borderId="6" xfId="1" applyNumberFormat="1" applyFont="1" applyBorder="1" applyProtection="1">
      <protection locked="0" hidden="1"/>
    </xf>
    <xf numFmtId="166" fontId="0" fillId="7" borderId="7" xfId="0" applyNumberFormat="1" applyFill="1" applyBorder="1" applyProtection="1">
      <protection locked="0" hidden="1"/>
    </xf>
    <xf numFmtId="165" fontId="0" fillId="0" borderId="35" xfId="1" applyNumberFormat="1" applyFont="1" applyBorder="1" applyAlignment="1" applyProtection="1">
      <alignment horizontal="left"/>
      <protection locked="0" hidden="1"/>
    </xf>
    <xf numFmtId="0" fontId="3" fillId="8" borderId="13" xfId="0" applyFont="1" applyFill="1" applyBorder="1" applyAlignment="1" applyProtection="1">
      <alignment horizontal="left"/>
      <protection locked="0" hidden="1"/>
    </xf>
    <xf numFmtId="166" fontId="0" fillId="8" borderId="7" xfId="0" applyNumberFormat="1" applyFill="1" applyBorder="1" applyProtection="1">
      <protection locked="0" hidden="1"/>
    </xf>
    <xf numFmtId="0" fontId="0" fillId="0" borderId="35" xfId="0" applyBorder="1" applyAlignment="1" applyProtection="1">
      <alignment horizontal="left" indent="1"/>
      <protection locked="0" hidden="1"/>
    </xf>
    <xf numFmtId="44" fontId="3" fillId="4" borderId="7" xfId="0" applyNumberFormat="1" applyFont="1" applyFill="1" applyBorder="1" applyProtection="1">
      <protection locked="0" hidden="1"/>
    </xf>
    <xf numFmtId="44" fontId="0" fillId="0" borderId="7" xfId="0" applyNumberFormat="1" applyBorder="1" applyProtection="1">
      <protection locked="0" hidden="1"/>
    </xf>
    <xf numFmtId="44" fontId="0" fillId="0" borderId="24" xfId="0" applyNumberFormat="1" applyBorder="1" applyProtection="1">
      <protection locked="0" hidden="1"/>
    </xf>
    <xf numFmtId="166" fontId="0" fillId="7" borderId="16" xfId="0" applyNumberFormat="1" applyFill="1" applyBorder="1" applyProtection="1">
      <protection locked="0" hidden="1"/>
    </xf>
    <xf numFmtId="0" fontId="0" fillId="5" borderId="6" xfId="0" applyFill="1" applyBorder="1" applyProtection="1">
      <protection locked="0" hidden="1"/>
    </xf>
    <xf numFmtId="44" fontId="3" fillId="5" borderId="7" xfId="0" applyNumberFormat="1" applyFont="1" applyFill="1" applyBorder="1" applyProtection="1">
      <protection locked="0" hidden="1"/>
    </xf>
    <xf numFmtId="0" fontId="2" fillId="2" borderId="37" xfId="0" applyFont="1" applyFill="1" applyBorder="1" applyAlignment="1" applyProtection="1">
      <alignment horizontal="left"/>
      <protection locked="0" hidden="1"/>
    </xf>
    <xf numFmtId="44" fontId="2" fillId="2" borderId="2" xfId="0" applyNumberFormat="1" applyFont="1" applyFill="1" applyBorder="1" applyProtection="1">
      <protection locked="0" hidden="1"/>
    </xf>
    <xf numFmtId="166" fontId="2" fillId="2" borderId="15" xfId="0" applyNumberFormat="1" applyFont="1" applyFill="1" applyBorder="1" applyProtection="1">
      <protection locked="0" hidden="1"/>
    </xf>
    <xf numFmtId="0" fontId="0" fillId="0" borderId="33" xfId="0" applyBorder="1" applyProtection="1">
      <protection locked="0" hidden="1"/>
    </xf>
    <xf numFmtId="166" fontId="3" fillId="0" borderId="7" xfId="0" applyNumberFormat="1" applyFont="1" applyBorder="1" applyProtection="1">
      <protection locked="0" hidden="1"/>
    </xf>
    <xf numFmtId="166" fontId="3" fillId="0" borderId="8" xfId="0" applyNumberFormat="1" applyFont="1" applyBorder="1" applyProtection="1">
      <protection locked="0" hidden="1"/>
    </xf>
    <xf numFmtId="0" fontId="0" fillId="0" borderId="4" xfId="0" applyBorder="1" applyAlignment="1" applyProtection="1">
      <alignment horizontal="left" indent="2"/>
      <protection locked="0" hidden="1"/>
    </xf>
    <xf numFmtId="0" fontId="0" fillId="0" borderId="24" xfId="0" applyBorder="1" applyProtection="1">
      <protection locked="0" hidden="1"/>
    </xf>
    <xf numFmtId="0" fontId="0" fillId="0" borderId="6" xfId="0" applyBorder="1" applyAlignment="1" applyProtection="1">
      <alignment wrapText="1"/>
      <protection locked="0" hidden="1"/>
    </xf>
    <xf numFmtId="0" fontId="0" fillId="0" borderId="35" xfId="0" applyBorder="1" applyProtection="1">
      <protection locked="0" hidden="1"/>
    </xf>
    <xf numFmtId="166" fontId="3" fillId="0" borderId="29" xfId="0" applyNumberFormat="1" applyFont="1" applyBorder="1" applyProtection="1">
      <protection locked="0" hidden="1"/>
    </xf>
    <xf numFmtId="166" fontId="3" fillId="0" borderId="34" xfId="0" applyNumberFormat="1" applyFont="1" applyBorder="1" applyProtection="1">
      <protection locked="0" hidden="1"/>
    </xf>
    <xf numFmtId="0" fontId="0" fillId="0" borderId="35" xfId="0" applyBorder="1" applyAlignment="1" applyProtection="1">
      <alignment horizontal="left" indent="2"/>
      <protection locked="0" hidden="1"/>
    </xf>
    <xf numFmtId="165" fontId="0" fillId="7" borderId="0" xfId="1" applyNumberFormat="1" applyFont="1" applyFill="1" applyBorder="1" applyProtection="1">
      <protection locked="0" hidden="1"/>
    </xf>
    <xf numFmtId="0" fontId="0" fillId="0" borderId="32" xfId="0" applyBorder="1" applyAlignment="1" applyProtection="1">
      <alignment horizontal="left" indent="2"/>
      <protection locked="0" hidden="1"/>
    </xf>
    <xf numFmtId="0" fontId="0" fillId="0" borderId="32" xfId="0" applyBorder="1" applyAlignment="1" applyProtection="1">
      <alignment horizontal="left"/>
      <protection locked="0" hidden="1"/>
    </xf>
    <xf numFmtId="166" fontId="0" fillId="5" borderId="8" xfId="0" applyNumberFormat="1" applyFill="1" applyBorder="1" applyProtection="1">
      <protection locked="0" hidden="1"/>
    </xf>
    <xf numFmtId="168" fontId="0" fillId="0" borderId="0" xfId="0" applyNumberFormat="1" applyProtection="1">
      <protection locked="0" hidden="1"/>
    </xf>
    <xf numFmtId="0" fontId="3" fillId="5" borderId="17" xfId="0" applyFont="1" applyFill="1" applyBorder="1" applyAlignment="1" applyProtection="1">
      <alignment vertical="center" textRotation="90"/>
      <protection locked="0" hidden="1"/>
    </xf>
    <xf numFmtId="0" fontId="2" fillId="2" borderId="35" xfId="0" applyFont="1" applyFill="1" applyBorder="1" applyProtection="1">
      <protection locked="0" hidden="1"/>
    </xf>
    <xf numFmtId="0" fontId="4" fillId="2" borderId="38" xfId="0" applyFont="1" applyFill="1" applyBorder="1" applyProtection="1">
      <protection locked="0" hidden="1"/>
    </xf>
    <xf numFmtId="166" fontId="2" fillId="2" borderId="39" xfId="0" applyNumberFormat="1" applyFont="1" applyFill="1" applyBorder="1" applyProtection="1">
      <protection locked="0" hidden="1"/>
    </xf>
    <xf numFmtId="0" fontId="3" fillId="5" borderId="4" xfId="0" applyFont="1" applyFill="1" applyBorder="1" applyAlignment="1" applyProtection="1">
      <alignment vertical="center" textRotation="90"/>
      <protection locked="0" hidden="1"/>
    </xf>
    <xf numFmtId="0" fontId="0" fillId="5" borderId="14" xfId="0" applyFill="1" applyBorder="1" applyProtection="1">
      <protection locked="0" hidden="1"/>
    </xf>
    <xf numFmtId="166" fontId="0" fillId="5" borderId="22" xfId="0" applyNumberFormat="1" applyFill="1" applyBorder="1" applyProtection="1">
      <protection locked="0" hidden="1"/>
    </xf>
    <xf numFmtId="166" fontId="0" fillId="5" borderId="15" xfId="0" applyNumberFormat="1" applyFill="1" applyBorder="1" applyProtection="1">
      <protection locked="0" hidden="1"/>
    </xf>
    <xf numFmtId="166" fontId="0" fillId="0" borderId="0" xfId="0" applyNumberFormat="1" applyProtection="1">
      <protection locked="0" hidden="1"/>
    </xf>
    <xf numFmtId="166" fontId="0" fillId="0" borderId="8" xfId="0" applyNumberFormat="1" applyBorder="1" applyAlignment="1" applyProtection="1">
      <alignment horizontal="right" vertical="center"/>
      <protection locked="0" hidden="1"/>
    </xf>
    <xf numFmtId="166" fontId="0" fillId="0" borderId="5" xfId="0" applyNumberFormat="1" applyBorder="1" applyAlignment="1" applyProtection="1">
      <alignment horizontal="right" vertical="center"/>
      <protection locked="0" hidden="1"/>
    </xf>
    <xf numFmtId="166" fontId="0" fillId="0" borderId="24" xfId="0" applyNumberFormat="1" applyBorder="1" applyProtection="1">
      <protection locked="0" hidden="1"/>
    </xf>
    <xf numFmtId="166" fontId="0" fillId="0" borderId="12" xfId="0" applyNumberFormat="1" applyBorder="1" applyAlignment="1" applyProtection="1">
      <alignment horizontal="right" vertical="center"/>
      <protection locked="0" hidden="1"/>
    </xf>
    <xf numFmtId="0" fontId="2" fillId="2" borderId="17" xfId="0" applyFont="1" applyFill="1" applyBorder="1" applyProtection="1">
      <protection locked="0" hidden="1"/>
    </xf>
    <xf numFmtId="0" fontId="2" fillId="2" borderId="41" xfId="0" applyFont="1" applyFill="1" applyBorder="1" applyProtection="1">
      <protection locked="0" hidden="1"/>
    </xf>
    <xf numFmtId="166" fontId="2" fillId="2" borderId="42" xfId="0" applyNumberFormat="1" applyFont="1" applyFill="1" applyBorder="1" applyProtection="1">
      <protection locked="0" hidden="1"/>
    </xf>
    <xf numFmtId="0" fontId="2" fillId="2" borderId="4" xfId="0" applyFont="1" applyFill="1" applyBorder="1" applyProtection="1">
      <protection locked="0" hidden="1"/>
    </xf>
    <xf numFmtId="0" fontId="2" fillId="2" borderId="38" xfId="0" applyFont="1" applyFill="1" applyBorder="1" applyProtection="1">
      <protection locked="0" hidden="1"/>
    </xf>
    <xf numFmtId="0" fontId="2" fillId="2" borderId="32" xfId="0" applyFont="1" applyFill="1" applyBorder="1" applyProtection="1">
      <protection locked="0" hidden="1"/>
    </xf>
    <xf numFmtId="0" fontId="4" fillId="2" borderId="27" xfId="0" applyFont="1" applyFill="1" applyBorder="1" applyProtection="1">
      <protection locked="0" hidden="1"/>
    </xf>
    <xf numFmtId="166" fontId="2" fillId="2" borderId="34" xfId="0" applyNumberFormat="1" applyFont="1" applyFill="1" applyBorder="1" applyProtection="1">
      <protection locked="0" hidden="1"/>
    </xf>
    <xf numFmtId="0" fontId="0" fillId="7" borderId="7" xfId="0" applyFill="1" applyBorder="1" applyProtection="1">
      <protection locked="0" hidden="1"/>
    </xf>
    <xf numFmtId="0" fontId="2" fillId="2" borderId="6" xfId="0" applyFont="1" applyFill="1" applyBorder="1" applyProtection="1">
      <protection locked="0" hidden="1"/>
    </xf>
    <xf numFmtId="0" fontId="2" fillId="2" borderId="7" xfId="0" applyFont="1" applyFill="1" applyBorder="1" applyProtection="1">
      <protection locked="0" hidden="1"/>
    </xf>
    <xf numFmtId="166" fontId="2" fillId="2" borderId="8" xfId="0" applyNumberFormat="1" applyFont="1" applyFill="1" applyBorder="1" applyProtection="1">
      <protection locked="0" hidden="1"/>
    </xf>
    <xf numFmtId="0" fontId="0" fillId="0" borderId="11" xfId="0" applyBorder="1" applyProtection="1">
      <protection locked="0" hidden="1"/>
    </xf>
    <xf numFmtId="9" fontId="0" fillId="0" borderId="12" xfId="2" applyFont="1" applyBorder="1" applyProtection="1">
      <protection locked="0" hidden="1"/>
    </xf>
    <xf numFmtId="0" fontId="0" fillId="3" borderId="17" xfId="0" applyFill="1" applyBorder="1" applyProtection="1">
      <protection locked="0" hidden="1"/>
    </xf>
    <xf numFmtId="0" fontId="0" fillId="3" borderId="23" xfId="0" applyFill="1" applyBorder="1" applyProtection="1">
      <protection locked="0" hidden="1"/>
    </xf>
    <xf numFmtId="0" fontId="0" fillId="3" borderId="18" xfId="0" applyFill="1" applyBorder="1" applyProtection="1">
      <protection locked="0" hidden="1"/>
    </xf>
    <xf numFmtId="0" fontId="13" fillId="0" borderId="0" xfId="0" applyFont="1" applyProtection="1">
      <protection hidden="1"/>
    </xf>
    <xf numFmtId="3" fontId="0" fillId="3" borderId="0" xfId="0" applyNumberFormat="1" applyFill="1" applyProtection="1">
      <protection hidden="1"/>
    </xf>
    <xf numFmtId="165" fontId="0" fillId="3" borderId="0" xfId="1" applyNumberFormat="1" applyFont="1" applyFill="1" applyBorder="1" applyProtection="1">
      <protection hidden="1"/>
    </xf>
    <xf numFmtId="9" fontId="0" fillId="0" borderId="0" xfId="2" applyFont="1" applyProtection="1">
      <protection hidden="1"/>
    </xf>
    <xf numFmtId="3" fontId="2" fillId="2" borderId="68" xfId="0" applyNumberFormat="1" applyFont="1" applyFill="1" applyBorder="1" applyAlignment="1" applyProtection="1">
      <alignment horizontal="center"/>
      <protection hidden="1"/>
    </xf>
    <xf numFmtId="3" fontId="2" fillId="3" borderId="0" xfId="0" applyNumberFormat="1" applyFont="1" applyFill="1" applyProtection="1">
      <protection hidden="1"/>
    </xf>
    <xf numFmtId="3" fontId="2" fillId="2" borderId="15" xfId="0" applyNumberFormat="1" applyFont="1" applyFill="1" applyBorder="1" applyAlignment="1" applyProtection="1">
      <alignment horizontal="center"/>
      <protection hidden="1"/>
    </xf>
    <xf numFmtId="9" fontId="0" fillId="0" borderId="0" xfId="0" applyNumberFormat="1" applyProtection="1">
      <protection hidden="1"/>
    </xf>
    <xf numFmtId="0" fontId="0" fillId="0" borderId="60" xfId="0" applyBorder="1" applyAlignment="1" applyProtection="1">
      <alignment horizontal="left"/>
      <protection hidden="1"/>
    </xf>
    <xf numFmtId="166" fontId="0" fillId="0" borderId="73" xfId="1" applyNumberFormat="1" applyFont="1" applyBorder="1" applyAlignment="1" applyProtection="1">
      <alignment horizontal="center"/>
      <protection hidden="1"/>
    </xf>
    <xf numFmtId="3" fontId="0" fillId="3" borderId="0" xfId="0" applyNumberFormat="1" applyFill="1" applyAlignment="1" applyProtection="1">
      <alignment vertical="center"/>
      <protection hidden="1"/>
    </xf>
    <xf numFmtId="0" fontId="8" fillId="4" borderId="69" xfId="0" applyFont="1" applyFill="1" applyBorder="1" applyProtection="1">
      <protection hidden="1"/>
    </xf>
    <xf numFmtId="0" fontId="8" fillId="4" borderId="10" xfId="0" applyFont="1" applyFill="1" applyBorder="1" applyProtection="1">
      <protection hidden="1"/>
    </xf>
    <xf numFmtId="44" fontId="0" fillId="0" borderId="0" xfId="0" applyNumberFormat="1" applyProtection="1">
      <protection hidden="1"/>
    </xf>
    <xf numFmtId="0" fontId="8" fillId="4" borderId="75" xfId="0" applyFont="1" applyFill="1" applyBorder="1" applyAlignment="1" applyProtection="1">
      <alignment horizontal="left"/>
      <protection hidden="1"/>
    </xf>
    <xf numFmtId="0" fontId="8" fillId="4" borderId="22" xfId="0" applyFont="1" applyFill="1" applyBorder="1" applyAlignment="1" applyProtection="1">
      <alignment horizontal="left"/>
      <protection hidden="1"/>
    </xf>
    <xf numFmtId="0" fontId="8" fillId="4" borderId="76" xfId="0" applyFont="1" applyFill="1" applyBorder="1" applyAlignment="1" applyProtection="1">
      <alignment horizontal="left"/>
      <protection hidden="1"/>
    </xf>
    <xf numFmtId="0" fontId="8" fillId="3" borderId="0" xfId="0" applyFont="1" applyFill="1" applyAlignment="1" applyProtection="1">
      <alignment horizontal="left"/>
      <protection hidden="1"/>
    </xf>
    <xf numFmtId="0" fontId="0" fillId="0" borderId="46" xfId="0" applyBorder="1" applyAlignment="1" applyProtection="1">
      <alignment horizontal="left"/>
      <protection hidden="1"/>
    </xf>
    <xf numFmtId="9" fontId="0" fillId="0" borderId="7" xfId="2" applyFont="1" applyBorder="1" applyAlignment="1" applyProtection="1">
      <alignment horizontal="left"/>
      <protection hidden="1"/>
    </xf>
    <xf numFmtId="9" fontId="0" fillId="0" borderId="7" xfId="0" applyNumberFormat="1" applyBorder="1" applyAlignment="1" applyProtection="1">
      <alignment horizontal="left"/>
      <protection hidden="1"/>
    </xf>
    <xf numFmtId="0" fontId="0" fillId="0" borderId="0" xfId="0" applyAlignment="1" applyProtection="1">
      <alignment horizontal="left"/>
      <protection hidden="1"/>
    </xf>
    <xf numFmtId="0" fontId="3" fillId="4" borderId="48" xfId="0" applyFont="1" applyFill="1" applyBorder="1" applyAlignment="1" applyProtection="1">
      <alignment horizontal="left"/>
      <protection hidden="1"/>
    </xf>
    <xf numFmtId="0" fontId="3" fillId="4" borderId="24" xfId="0" applyFont="1" applyFill="1" applyBorder="1" applyAlignment="1" applyProtection="1">
      <alignment horizontal="left"/>
      <protection hidden="1"/>
    </xf>
    <xf numFmtId="166" fontId="3" fillId="4" borderId="24" xfId="0" applyNumberFormat="1" applyFont="1" applyFill="1" applyBorder="1" applyAlignment="1" applyProtection="1">
      <alignment horizontal="left"/>
      <protection hidden="1"/>
    </xf>
    <xf numFmtId="0" fontId="2" fillId="2" borderId="63" xfId="0" applyFont="1" applyFill="1" applyBorder="1" applyAlignment="1" applyProtection="1">
      <alignment horizontal="left"/>
      <protection hidden="1"/>
    </xf>
    <xf numFmtId="0" fontId="2" fillId="2" borderId="28" xfId="0" applyFont="1" applyFill="1" applyBorder="1" applyAlignment="1" applyProtection="1">
      <alignment horizontal="left"/>
      <protection hidden="1"/>
    </xf>
    <xf numFmtId="0" fontId="2" fillId="2" borderId="38" xfId="0" applyFont="1" applyFill="1" applyBorder="1" applyAlignment="1" applyProtection="1">
      <alignment horizontal="left"/>
      <protection hidden="1"/>
    </xf>
    <xf numFmtId="166" fontId="2" fillId="2" borderId="28" xfId="0" applyNumberFormat="1" applyFont="1" applyFill="1" applyBorder="1" applyAlignment="1" applyProtection="1">
      <alignment horizontal="left"/>
      <protection hidden="1"/>
    </xf>
    <xf numFmtId="0" fontId="2" fillId="2" borderId="78" xfId="0" applyFont="1" applyFill="1" applyBorder="1" applyProtection="1">
      <protection hidden="1"/>
    </xf>
    <xf numFmtId="0" fontId="2" fillId="2" borderId="43" xfId="0" applyFont="1" applyFill="1" applyBorder="1" applyProtection="1">
      <protection hidden="1"/>
    </xf>
    <xf numFmtId="0" fontId="4" fillId="2" borderId="40" xfId="0" applyFont="1" applyFill="1" applyBorder="1" applyProtection="1">
      <protection hidden="1"/>
    </xf>
    <xf numFmtId="0" fontId="3" fillId="4" borderId="79" xfId="0" applyFont="1" applyFill="1" applyBorder="1" applyAlignment="1" applyProtection="1">
      <alignment horizontal="left"/>
      <protection hidden="1"/>
    </xf>
    <xf numFmtId="0" fontId="3" fillId="4" borderId="80" xfId="0" applyFont="1" applyFill="1" applyBorder="1" applyAlignment="1" applyProtection="1">
      <alignment horizontal="left"/>
      <protection hidden="1"/>
    </xf>
    <xf numFmtId="0" fontId="0" fillId="4" borderId="80" xfId="0" applyFill="1" applyBorder="1" applyProtection="1">
      <protection hidden="1"/>
    </xf>
    <xf numFmtId="0" fontId="2" fillId="3" borderId="0" xfId="0" applyFont="1" applyFill="1" applyAlignment="1" applyProtection="1">
      <alignment vertical="center"/>
      <protection hidden="1"/>
    </xf>
    <xf numFmtId="0" fontId="2" fillId="3" borderId="0" xfId="0" applyFont="1" applyFill="1" applyAlignment="1" applyProtection="1">
      <alignment horizontal="center" vertical="center"/>
      <protection hidden="1"/>
    </xf>
    <xf numFmtId="0" fontId="8" fillId="4" borderId="44" xfId="0" applyFont="1" applyFill="1" applyBorder="1" applyAlignment="1" applyProtection="1">
      <alignment horizontal="left"/>
      <protection hidden="1"/>
    </xf>
    <xf numFmtId="0" fontId="8" fillId="4" borderId="85" xfId="0" applyFont="1" applyFill="1" applyBorder="1" applyAlignment="1" applyProtection="1">
      <alignment horizontal="center"/>
      <protection hidden="1"/>
    </xf>
    <xf numFmtId="0" fontId="3" fillId="4" borderId="85" xfId="0" applyFont="1" applyFill="1" applyBorder="1" applyAlignment="1" applyProtection="1">
      <alignment horizontal="center"/>
      <protection hidden="1"/>
    </xf>
    <xf numFmtId="0" fontId="3" fillId="4" borderId="45" xfId="0" applyFont="1" applyFill="1" applyBorder="1" applyAlignment="1" applyProtection="1">
      <alignment horizontal="center"/>
      <protection hidden="1"/>
    </xf>
    <xf numFmtId="0" fontId="3" fillId="3" borderId="0" xfId="0" applyFont="1" applyFill="1" applyAlignment="1" applyProtection="1">
      <alignment horizontal="center"/>
      <protection hidden="1"/>
    </xf>
    <xf numFmtId="9" fontId="0" fillId="0" borderId="7" xfId="2" applyFont="1" applyBorder="1" applyProtection="1">
      <protection hidden="1"/>
    </xf>
    <xf numFmtId="166" fontId="0" fillId="0" borderId="47" xfId="2" applyNumberFormat="1" applyFont="1" applyBorder="1" applyProtection="1">
      <protection hidden="1"/>
    </xf>
    <xf numFmtId="166" fontId="0" fillId="3" borderId="0" xfId="2" applyNumberFormat="1" applyFont="1" applyFill="1" applyBorder="1" applyProtection="1">
      <protection hidden="1"/>
    </xf>
    <xf numFmtId="9" fontId="0" fillId="0" borderId="7" xfId="0" applyNumberFormat="1" applyBorder="1" applyProtection="1">
      <protection hidden="1"/>
    </xf>
    <xf numFmtId="9" fontId="0" fillId="0" borderId="86" xfId="0" applyNumberFormat="1" applyBorder="1" applyProtection="1">
      <protection hidden="1"/>
    </xf>
    <xf numFmtId="166" fontId="0" fillId="0" borderId="59" xfId="2" applyNumberFormat="1" applyFont="1" applyBorder="1" applyProtection="1">
      <protection hidden="1"/>
    </xf>
    <xf numFmtId="0" fontId="5" fillId="2" borderId="60" xfId="0" quotePrefix="1" applyFont="1" applyFill="1" applyBorder="1" applyAlignment="1" applyProtection="1">
      <alignment horizontal="center"/>
      <protection locked="0" hidden="1"/>
    </xf>
    <xf numFmtId="0" fontId="5" fillId="2" borderId="61" xfId="0" quotePrefix="1" applyFont="1" applyFill="1" applyBorder="1" applyAlignment="1" applyProtection="1">
      <alignment horizontal="center"/>
      <protection locked="0" hidden="1"/>
    </xf>
    <xf numFmtId="0" fontId="5" fillId="2" borderId="62" xfId="0" quotePrefix="1" applyFont="1" applyFill="1" applyBorder="1" applyAlignment="1" applyProtection="1">
      <alignment horizontal="center"/>
      <protection locked="0" hidden="1"/>
    </xf>
    <xf numFmtId="0" fontId="3" fillId="5" borderId="19" xfId="0" applyFont="1" applyFill="1" applyBorder="1" applyAlignment="1" applyProtection="1">
      <alignment horizontal="center" vertical="center" textRotation="90"/>
      <protection locked="0" hidden="1"/>
    </xf>
    <xf numFmtId="0" fontId="3" fillId="5" borderId="20" xfId="0" applyFont="1" applyFill="1" applyBorder="1" applyAlignment="1" applyProtection="1">
      <alignment horizontal="center" vertical="center" textRotation="90"/>
      <protection locked="0" hidden="1"/>
    </xf>
    <xf numFmtId="0" fontId="3" fillId="5" borderId="21" xfId="0" applyFont="1" applyFill="1" applyBorder="1" applyAlignment="1" applyProtection="1">
      <alignment horizontal="center" vertical="center" textRotation="90"/>
      <protection locked="0" hidden="1"/>
    </xf>
    <xf numFmtId="0" fontId="5" fillId="2" borderId="1" xfId="0" quotePrefix="1" applyFont="1" applyFill="1" applyBorder="1" applyAlignment="1" applyProtection="1">
      <alignment horizontal="center"/>
      <protection locked="0" hidden="1"/>
    </xf>
    <xf numFmtId="0" fontId="5" fillId="2" borderId="2" xfId="0" quotePrefix="1" applyFont="1" applyFill="1" applyBorder="1" applyAlignment="1" applyProtection="1">
      <alignment horizontal="center"/>
      <protection locked="0" hidden="1"/>
    </xf>
    <xf numFmtId="0" fontId="5" fillId="2" borderId="3" xfId="0" quotePrefix="1" applyFont="1" applyFill="1" applyBorder="1" applyAlignment="1" applyProtection="1">
      <alignment horizontal="center"/>
      <protection locked="0" hidden="1"/>
    </xf>
    <xf numFmtId="0" fontId="3" fillId="5" borderId="1" xfId="0" applyFont="1" applyFill="1" applyBorder="1" applyAlignment="1" applyProtection="1">
      <alignment horizontal="center" vertical="center" textRotation="90"/>
      <protection locked="0" hidden="1"/>
    </xf>
    <xf numFmtId="0" fontId="3" fillId="5" borderId="4" xfId="0" applyFont="1" applyFill="1" applyBorder="1" applyAlignment="1" applyProtection="1">
      <alignment horizontal="center" vertical="center" textRotation="90"/>
      <protection locked="0" hidden="1"/>
    </xf>
    <xf numFmtId="0" fontId="3" fillId="0" borderId="4" xfId="0" applyFont="1" applyBorder="1" applyAlignment="1" applyProtection="1">
      <alignment horizontal="center" vertical="center" textRotation="90"/>
      <protection locked="0" hidden="1"/>
    </xf>
    <xf numFmtId="0" fontId="3" fillId="0" borderId="17" xfId="0" applyFont="1" applyBorder="1" applyAlignment="1" applyProtection="1">
      <alignment horizontal="center" vertical="center" textRotation="90"/>
      <protection locked="0" hidden="1"/>
    </xf>
    <xf numFmtId="0" fontId="2" fillId="2" borderId="30" xfId="0" applyFont="1" applyFill="1" applyBorder="1" applyAlignment="1" applyProtection="1">
      <alignment horizontal="left"/>
      <protection locked="0" hidden="1"/>
    </xf>
    <xf numFmtId="0" fontId="2" fillId="2" borderId="36" xfId="0" applyFont="1" applyFill="1" applyBorder="1" applyAlignment="1" applyProtection="1">
      <alignment horizontal="left"/>
      <protection locked="0" hidden="1"/>
    </xf>
    <xf numFmtId="0" fontId="2" fillId="2" borderId="63" xfId="0" applyFont="1" applyFill="1" applyBorder="1" applyAlignment="1" applyProtection="1">
      <alignment horizontal="center" vertical="center"/>
      <protection hidden="1"/>
    </xf>
    <xf numFmtId="0" fontId="2" fillId="2" borderId="0" xfId="0" applyFont="1" applyFill="1" applyAlignment="1" applyProtection="1">
      <alignment horizontal="center" vertical="center"/>
      <protection hidden="1"/>
    </xf>
    <xf numFmtId="0" fontId="2" fillId="2" borderId="64" xfId="0" applyFont="1" applyFill="1" applyBorder="1" applyAlignment="1" applyProtection="1">
      <alignment horizontal="center" vertical="center"/>
      <protection hidden="1"/>
    </xf>
    <xf numFmtId="0" fontId="2" fillId="2" borderId="60" xfId="0" applyFont="1" applyFill="1" applyBorder="1" applyAlignment="1" applyProtection="1">
      <alignment horizontal="center" vertical="center"/>
      <protection hidden="1"/>
    </xf>
    <xf numFmtId="0" fontId="2" fillId="2" borderId="61" xfId="0" applyFont="1" applyFill="1" applyBorder="1" applyAlignment="1" applyProtection="1">
      <alignment horizontal="center" vertical="center"/>
      <protection hidden="1"/>
    </xf>
    <xf numFmtId="0" fontId="2" fillId="2" borderId="62" xfId="0" applyFont="1" applyFill="1" applyBorder="1" applyAlignment="1" applyProtection="1">
      <alignment horizontal="center" vertical="center"/>
      <protection hidden="1"/>
    </xf>
    <xf numFmtId="0" fontId="2" fillId="2" borderId="60" xfId="0" applyFont="1" applyFill="1" applyBorder="1" applyAlignment="1" applyProtection="1">
      <alignment horizontal="center"/>
      <protection hidden="1"/>
    </xf>
    <xf numFmtId="0" fontId="2" fillId="2" borderId="61" xfId="0" applyFont="1" applyFill="1" applyBorder="1" applyAlignment="1" applyProtection="1">
      <alignment horizontal="center"/>
      <protection hidden="1"/>
    </xf>
    <xf numFmtId="0" fontId="2" fillId="2" borderId="62" xfId="0" applyFont="1" applyFill="1" applyBorder="1" applyAlignment="1" applyProtection="1">
      <alignment horizontal="center"/>
      <protection hidden="1"/>
    </xf>
    <xf numFmtId="0" fontId="2" fillId="2" borderId="72" xfId="0" applyFont="1" applyFill="1" applyBorder="1" applyAlignment="1" applyProtection="1">
      <alignment horizontal="center"/>
      <protection hidden="1"/>
    </xf>
    <xf numFmtId="0" fontId="2" fillId="2" borderId="82" xfId="0" applyFont="1" applyFill="1" applyBorder="1" applyAlignment="1" applyProtection="1">
      <alignment horizontal="center"/>
      <protection hidden="1"/>
    </xf>
    <xf numFmtId="0" fontId="2" fillId="2" borderId="83" xfId="0" applyFont="1" applyFill="1" applyBorder="1" applyAlignment="1" applyProtection="1">
      <alignment horizontal="center"/>
      <protection hidden="1"/>
    </xf>
    <xf numFmtId="0" fontId="5" fillId="2" borderId="1" xfId="0" quotePrefix="1" applyFont="1" applyFill="1" applyBorder="1" applyAlignment="1" applyProtection="1">
      <alignment horizontal="center"/>
      <protection hidden="1"/>
    </xf>
    <xf numFmtId="0" fontId="5" fillId="2" borderId="2" xfId="0" applyFont="1" applyFill="1" applyBorder="1" applyAlignment="1" applyProtection="1">
      <alignment horizontal="center"/>
      <protection hidden="1"/>
    </xf>
    <xf numFmtId="0" fontId="5" fillId="2" borderId="3" xfId="0" applyFont="1" applyFill="1" applyBorder="1" applyAlignment="1" applyProtection="1">
      <alignment horizontal="center"/>
      <protection hidden="1"/>
    </xf>
    <xf numFmtId="0" fontId="2" fillId="2" borderId="71" xfId="0" applyFont="1" applyFill="1" applyBorder="1" applyAlignment="1" applyProtection="1">
      <alignment horizontal="center"/>
      <protection hidden="1"/>
    </xf>
    <xf numFmtId="0" fontId="2" fillId="2" borderId="14" xfId="0" applyFont="1" applyFill="1" applyBorder="1" applyAlignment="1" applyProtection="1">
      <alignment horizontal="center"/>
      <protection hidden="1"/>
    </xf>
    <xf numFmtId="0" fontId="2" fillId="2" borderId="22" xfId="0" applyFont="1" applyFill="1" applyBorder="1" applyAlignment="1" applyProtection="1">
      <alignment horizontal="center"/>
      <protection hidden="1"/>
    </xf>
    <xf numFmtId="167" fontId="3" fillId="3" borderId="62" xfId="0" applyNumberFormat="1" applyFont="1" applyFill="1" applyBorder="1" applyAlignment="1" applyProtection="1">
      <alignment horizontal="center" vertical="center"/>
      <protection hidden="1"/>
    </xf>
    <xf numFmtId="167" fontId="3" fillId="3" borderId="67" xfId="0" applyNumberFormat="1" applyFont="1" applyFill="1" applyBorder="1" applyAlignment="1" applyProtection="1">
      <alignment horizontal="center" vertical="center"/>
      <protection hidden="1"/>
    </xf>
    <xf numFmtId="167" fontId="3" fillId="3" borderId="20" xfId="0" applyNumberFormat="1" applyFont="1" applyFill="1" applyBorder="1" applyAlignment="1" applyProtection="1">
      <alignment horizontal="center" vertical="center"/>
      <protection hidden="1"/>
    </xf>
    <xf numFmtId="167" fontId="3" fillId="3" borderId="21" xfId="0" applyNumberFormat="1" applyFont="1" applyFill="1" applyBorder="1" applyAlignment="1" applyProtection="1">
      <alignment horizontal="center" vertical="center"/>
      <protection hidden="1"/>
    </xf>
    <xf numFmtId="0" fontId="3" fillId="4" borderId="25" xfId="0" applyFont="1" applyFill="1" applyBorder="1" applyAlignment="1" applyProtection="1">
      <alignment horizontal="center"/>
      <protection hidden="1"/>
    </xf>
    <xf numFmtId="0" fontId="3" fillId="4" borderId="26" xfId="0" applyFont="1" applyFill="1" applyBorder="1" applyAlignment="1" applyProtection="1">
      <alignment horizontal="center"/>
      <protection hidden="1"/>
    </xf>
    <xf numFmtId="166" fontId="3" fillId="5" borderId="74" xfId="0" applyNumberFormat="1" applyFont="1" applyFill="1" applyBorder="1" applyAlignment="1" applyProtection="1">
      <alignment horizontal="center"/>
      <protection hidden="1"/>
    </xf>
    <xf numFmtId="166" fontId="3" fillId="5" borderId="87" xfId="0" applyNumberFormat="1" applyFont="1" applyFill="1" applyBorder="1" applyAlignment="1" applyProtection="1">
      <alignment horizontal="center"/>
      <protection hidden="1"/>
    </xf>
    <xf numFmtId="3" fontId="2" fillId="2" borderId="1" xfId="0" applyNumberFormat="1" applyFont="1" applyFill="1" applyBorder="1" applyAlignment="1" applyProtection="1">
      <alignment horizontal="center"/>
      <protection hidden="1"/>
    </xf>
    <xf numFmtId="3" fontId="2" fillId="2" borderId="3" xfId="0" applyNumberFormat="1" applyFont="1" applyFill="1" applyBorder="1" applyAlignment="1" applyProtection="1">
      <alignment horizontal="center"/>
      <protection hidden="1"/>
    </xf>
    <xf numFmtId="3" fontId="3" fillId="4" borderId="4" xfId="0" applyNumberFormat="1" applyFont="1" applyFill="1" applyBorder="1" applyAlignment="1" applyProtection="1">
      <alignment horizontal="center"/>
      <protection hidden="1"/>
    </xf>
    <xf numFmtId="3" fontId="3" fillId="4" borderId="5" xfId="0" applyNumberFormat="1" applyFont="1" applyFill="1" applyBorder="1" applyAlignment="1" applyProtection="1">
      <alignment horizontal="center"/>
      <protection hidden="1"/>
    </xf>
    <xf numFmtId="3" fontId="0" fillId="5" borderId="17" xfId="0" applyNumberFormat="1" applyFill="1" applyBorder="1" applyAlignment="1" applyProtection="1">
      <alignment horizontal="center"/>
      <protection hidden="1"/>
    </xf>
    <xf numFmtId="3" fontId="0" fillId="5" borderId="18" xfId="0" applyNumberFormat="1" applyFill="1" applyBorder="1" applyAlignment="1" applyProtection="1">
      <alignment horizontal="center"/>
      <protection hidden="1"/>
    </xf>
    <xf numFmtId="0" fontId="16" fillId="2" borderId="0" xfId="4" applyFont="1" applyFill="1" applyProtection="1">
      <protection locked="0" hidden="1"/>
    </xf>
    <xf numFmtId="0" fontId="17" fillId="2" borderId="0" xfId="0" applyFont="1" applyFill="1" applyProtection="1">
      <protection locked="0" hidden="1"/>
    </xf>
  </cellXfs>
  <cellStyles count="5">
    <cellStyle name="Comma" xfId="1" builtinId="3"/>
    <cellStyle name="Hyperlink" xfId="4" builtinId="8"/>
    <cellStyle name="Normal" xfId="0" builtinId="0"/>
    <cellStyle name="Normal 2" xfId="3" xr:uid="{40471934-E06F-4D79-8595-B9EEBB40C24B}"/>
    <cellStyle name="Percent" xfId="2" builtinId="5"/>
  </cellStyles>
  <dxfs count="0"/>
  <tableStyles count="0" defaultTableStyle="TableStyleMedium2" defaultPivotStyle="PivotStyleLight16"/>
  <colors>
    <mruColors>
      <color rgb="FFF1C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1171620</xdr:colOff>
          <xdr:row>7</xdr:row>
          <xdr:rowOff>116269</xdr:rowOff>
        </xdr:from>
        <xdr:to>
          <xdr:col>8</xdr:col>
          <xdr:colOff>3540338</xdr:colOff>
          <xdr:row>11</xdr:row>
          <xdr:rowOff>29800</xdr:rowOff>
        </xdr:to>
        <xdr:pic>
          <xdr:nvPicPr>
            <xdr:cNvPr id="4" name="Picture 3">
              <a:extLst>
                <a:ext uri="{FF2B5EF4-FFF2-40B4-BE49-F238E27FC236}">
                  <a16:creationId xmlns:a16="http://schemas.microsoft.com/office/drawing/2014/main" id="{9E6379C7-20B8-7A2B-D7CF-47964F5A22C4}"/>
                </a:ext>
              </a:extLst>
            </xdr:cNvPr>
            <xdr:cNvPicPr>
              <a:picLocks noChangeAspect="1" noChangeArrowheads="1"/>
              <a:extLst>
                <a:ext uri="{84589F7E-364E-4C9E-8A38-B11213B215E9}">
                  <a14:cameraTool cellRange="'Tax Calculation'!$F$7:$G$9" spid="_x0000_s4371"/>
                </a:ext>
              </a:extLst>
            </xdr:cNvPicPr>
          </xdr:nvPicPr>
          <xdr:blipFill>
            <a:blip xmlns:r="http://schemas.openxmlformats.org/officeDocument/2006/relationships" r:embed="rId1"/>
            <a:srcRect/>
            <a:stretch>
              <a:fillRect/>
            </a:stretch>
          </xdr:blipFill>
          <xdr:spPr bwMode="auto">
            <a:xfrm>
              <a:off x="11331620" y="1691712"/>
              <a:ext cx="2365090" cy="64836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184873</xdr:colOff>
      <xdr:row>3</xdr:row>
      <xdr:rowOff>40190</xdr:rowOff>
    </xdr:from>
    <xdr:to>
      <xdr:col>6</xdr:col>
      <xdr:colOff>88418</xdr:colOff>
      <xdr:row>8</xdr:row>
      <xdr:rowOff>48228</xdr:rowOff>
    </xdr:to>
    <xdr:sp macro="" textlink="">
      <xdr:nvSpPr>
        <xdr:cNvPr id="5" name="Rectangle 4">
          <a:extLst>
            <a:ext uri="{FF2B5EF4-FFF2-40B4-BE49-F238E27FC236}">
              <a16:creationId xmlns:a16="http://schemas.microsoft.com/office/drawing/2014/main" id="{250D446B-5D4B-92C8-B3CF-706F14DE4263}"/>
            </a:ext>
          </a:extLst>
        </xdr:cNvPr>
        <xdr:cNvSpPr/>
      </xdr:nvSpPr>
      <xdr:spPr>
        <a:xfrm>
          <a:off x="7917405" y="667152"/>
          <a:ext cx="1221772" cy="956519"/>
        </a:xfrm>
        <a:prstGeom prst="rect">
          <a:avLst/>
        </a:prstGeom>
        <a:solidFill>
          <a:schemeClr val="accent5">
            <a:lumMod val="40000"/>
            <a:lumOff val="60000"/>
          </a:schemeClr>
        </a:solidFill>
        <a:ln>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Step 1</a:t>
          </a:r>
        </a:p>
        <a:p>
          <a:pPr algn="l"/>
          <a:r>
            <a:rPr lang="en-IN" sz="1100" b="0">
              <a:solidFill>
                <a:sysClr val="windowText" lastClr="000000"/>
              </a:solidFill>
            </a:rPr>
            <a:t>Enter</a:t>
          </a:r>
          <a:r>
            <a:rPr lang="en-IN" sz="1100" b="0" baseline="0">
              <a:solidFill>
                <a:sysClr val="windowText" lastClr="000000"/>
              </a:solidFill>
            </a:rPr>
            <a:t> these details as per your Salary breakup.</a:t>
          </a:r>
          <a:endParaRPr lang="en-IN" sz="1100" b="0">
            <a:solidFill>
              <a:sysClr val="windowText" lastClr="000000"/>
            </a:solidFill>
          </a:endParaRPr>
        </a:p>
      </xdr:txBody>
    </xdr:sp>
    <xdr:clientData/>
  </xdr:twoCellAnchor>
  <xdr:twoCellAnchor>
    <xdr:from>
      <xdr:col>6</xdr:col>
      <xdr:colOff>144361</xdr:colOff>
      <xdr:row>16</xdr:row>
      <xdr:rowOff>55945</xdr:rowOff>
    </xdr:from>
    <xdr:to>
      <xdr:col>8</xdr:col>
      <xdr:colOff>1173543</xdr:colOff>
      <xdr:row>20</xdr:row>
      <xdr:rowOff>0</xdr:rowOff>
    </xdr:to>
    <xdr:sp macro="" textlink="">
      <xdr:nvSpPr>
        <xdr:cNvPr id="6" name="Rectangle 5">
          <a:extLst>
            <a:ext uri="{FF2B5EF4-FFF2-40B4-BE49-F238E27FC236}">
              <a16:creationId xmlns:a16="http://schemas.microsoft.com/office/drawing/2014/main" id="{6D9606BF-5027-4C11-B1C8-A9AD9FE4E9CB}"/>
            </a:ext>
          </a:extLst>
        </xdr:cNvPr>
        <xdr:cNvSpPr/>
      </xdr:nvSpPr>
      <xdr:spPr>
        <a:xfrm>
          <a:off x="9208230" y="3079755"/>
          <a:ext cx="2140432" cy="684888"/>
        </a:xfrm>
        <a:prstGeom prst="rect">
          <a:avLst/>
        </a:prstGeom>
        <a:solidFill>
          <a:schemeClr val="accent5">
            <a:lumMod val="40000"/>
            <a:lumOff val="60000"/>
          </a:schemeClr>
        </a:solidFill>
        <a:ln>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Step 2</a:t>
          </a:r>
        </a:p>
        <a:p>
          <a:pPr algn="l"/>
          <a:r>
            <a:rPr lang="en-IN" sz="1100" b="0">
              <a:solidFill>
                <a:sysClr val="windowText" lastClr="000000"/>
              </a:solidFill>
            </a:rPr>
            <a:t>Enter the rent</a:t>
          </a:r>
          <a:r>
            <a:rPr lang="en-IN" sz="1100" b="0" baseline="0">
              <a:solidFill>
                <a:sysClr val="windowText" lastClr="000000"/>
              </a:solidFill>
            </a:rPr>
            <a:t>, deductions and professional tax</a:t>
          </a:r>
          <a:endParaRPr lang="en-IN" sz="1100" b="0">
            <a:solidFill>
              <a:sysClr val="windowText" lastClr="000000"/>
            </a:solidFill>
          </a:endParaRPr>
        </a:p>
      </xdr:txBody>
    </xdr:sp>
    <xdr:clientData/>
  </xdr:twoCellAnchor>
  <xdr:twoCellAnchor>
    <xdr:from>
      <xdr:col>6</xdr:col>
      <xdr:colOff>168155</xdr:colOff>
      <xdr:row>26</xdr:row>
      <xdr:rowOff>127966</xdr:rowOff>
    </xdr:from>
    <xdr:to>
      <xdr:col>8</xdr:col>
      <xdr:colOff>1165506</xdr:colOff>
      <xdr:row>30</xdr:row>
      <xdr:rowOff>24114</xdr:rowOff>
    </xdr:to>
    <xdr:sp macro="" textlink="">
      <xdr:nvSpPr>
        <xdr:cNvPr id="7" name="Rectangle 6">
          <a:extLst>
            <a:ext uri="{FF2B5EF4-FFF2-40B4-BE49-F238E27FC236}">
              <a16:creationId xmlns:a16="http://schemas.microsoft.com/office/drawing/2014/main" id="{3BE14EDC-DCDD-4832-8E56-84C83CDE7C02}"/>
            </a:ext>
          </a:extLst>
        </xdr:cNvPr>
        <xdr:cNvSpPr/>
      </xdr:nvSpPr>
      <xdr:spPr>
        <a:xfrm>
          <a:off x="9218914" y="5071320"/>
          <a:ext cx="2106592" cy="635642"/>
        </a:xfrm>
        <a:prstGeom prst="rect">
          <a:avLst/>
        </a:prstGeom>
        <a:solidFill>
          <a:schemeClr val="accent5">
            <a:lumMod val="40000"/>
            <a:lumOff val="60000"/>
          </a:schemeClr>
        </a:solidFill>
        <a:ln>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Step 3</a:t>
          </a:r>
        </a:p>
        <a:p>
          <a:pPr algn="l"/>
          <a:r>
            <a:rPr lang="en-IN" sz="1100" b="0">
              <a:solidFill>
                <a:sysClr val="windowText" lastClr="000000"/>
              </a:solidFill>
            </a:rPr>
            <a:t>Enter</a:t>
          </a:r>
          <a:r>
            <a:rPr lang="en-IN" sz="1100" b="0" baseline="0">
              <a:solidFill>
                <a:sysClr val="windowText" lastClr="000000"/>
              </a:solidFill>
            </a:rPr>
            <a:t> these in case of Self occupied or let out property</a:t>
          </a:r>
          <a:endParaRPr lang="en-IN" sz="1100" b="0">
            <a:solidFill>
              <a:sysClr val="windowText" lastClr="000000"/>
            </a:solidFill>
          </a:endParaRPr>
        </a:p>
      </xdr:txBody>
    </xdr:sp>
    <xdr:clientData/>
  </xdr:twoCellAnchor>
  <xdr:twoCellAnchor>
    <xdr:from>
      <xdr:col>6</xdr:col>
      <xdr:colOff>184873</xdr:colOff>
      <xdr:row>36</xdr:row>
      <xdr:rowOff>72343</xdr:rowOff>
    </xdr:from>
    <xdr:to>
      <xdr:col>8</xdr:col>
      <xdr:colOff>1186844</xdr:colOff>
      <xdr:row>39</xdr:row>
      <xdr:rowOff>151191</xdr:rowOff>
    </xdr:to>
    <xdr:sp macro="" textlink="">
      <xdr:nvSpPr>
        <xdr:cNvPr id="8" name="Rectangle 7">
          <a:extLst>
            <a:ext uri="{FF2B5EF4-FFF2-40B4-BE49-F238E27FC236}">
              <a16:creationId xmlns:a16="http://schemas.microsoft.com/office/drawing/2014/main" id="{46B7D57D-ABFF-479A-A621-B052D19131F3}"/>
            </a:ext>
          </a:extLst>
        </xdr:cNvPr>
        <xdr:cNvSpPr/>
      </xdr:nvSpPr>
      <xdr:spPr>
        <a:xfrm>
          <a:off x="9248742" y="6747403"/>
          <a:ext cx="2113221" cy="623133"/>
        </a:xfrm>
        <a:prstGeom prst="rect">
          <a:avLst/>
        </a:prstGeom>
        <a:solidFill>
          <a:schemeClr val="accent5">
            <a:lumMod val="40000"/>
            <a:lumOff val="60000"/>
          </a:schemeClr>
        </a:solidFill>
        <a:ln>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Step 4</a:t>
          </a:r>
        </a:p>
        <a:p>
          <a:pPr algn="l"/>
          <a:r>
            <a:rPr lang="en-IN" sz="1100" b="0">
              <a:solidFill>
                <a:sysClr val="windowText" lastClr="000000"/>
              </a:solidFill>
            </a:rPr>
            <a:t>Enter</a:t>
          </a:r>
          <a:r>
            <a:rPr lang="en-IN" sz="1100" b="0" baseline="0">
              <a:solidFill>
                <a:sysClr val="windowText" lastClr="000000"/>
              </a:solidFill>
            </a:rPr>
            <a:t> all other sources of income.</a:t>
          </a:r>
          <a:endParaRPr lang="en-IN" sz="1100" b="0">
            <a:solidFill>
              <a:sysClr val="windowText" lastClr="000000"/>
            </a:solidFill>
          </a:endParaRPr>
        </a:p>
      </xdr:txBody>
    </xdr:sp>
    <xdr:clientData/>
  </xdr:twoCellAnchor>
  <xdr:twoCellAnchor>
    <xdr:from>
      <xdr:col>6</xdr:col>
      <xdr:colOff>168798</xdr:colOff>
      <xdr:row>43</xdr:row>
      <xdr:rowOff>56265</xdr:rowOff>
    </xdr:from>
    <xdr:to>
      <xdr:col>8</xdr:col>
      <xdr:colOff>1173544</xdr:colOff>
      <xdr:row>47</xdr:row>
      <xdr:rowOff>0</xdr:rowOff>
    </xdr:to>
    <xdr:sp macro="" textlink="">
      <xdr:nvSpPr>
        <xdr:cNvPr id="9" name="Rectangle 8">
          <a:extLst>
            <a:ext uri="{FF2B5EF4-FFF2-40B4-BE49-F238E27FC236}">
              <a16:creationId xmlns:a16="http://schemas.microsoft.com/office/drawing/2014/main" id="{EA175B07-9B3D-441A-B191-B71568AF8659}"/>
            </a:ext>
          </a:extLst>
        </xdr:cNvPr>
        <xdr:cNvSpPr/>
      </xdr:nvSpPr>
      <xdr:spPr>
        <a:xfrm>
          <a:off x="9219557" y="8150506"/>
          <a:ext cx="2113987" cy="683228"/>
        </a:xfrm>
        <a:prstGeom prst="rect">
          <a:avLst/>
        </a:prstGeom>
        <a:solidFill>
          <a:schemeClr val="accent5">
            <a:lumMod val="40000"/>
            <a:lumOff val="60000"/>
          </a:schemeClr>
        </a:solidFill>
        <a:ln>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Step 5</a:t>
          </a:r>
        </a:p>
        <a:p>
          <a:pPr algn="l"/>
          <a:r>
            <a:rPr lang="en-IN" sz="1100" b="0">
              <a:solidFill>
                <a:sysClr val="windowText" lastClr="000000"/>
              </a:solidFill>
            </a:rPr>
            <a:t>Enter</a:t>
          </a:r>
          <a:r>
            <a:rPr lang="en-IN" sz="1100" b="0" baseline="0">
              <a:solidFill>
                <a:sysClr val="windowText" lastClr="000000"/>
              </a:solidFill>
            </a:rPr>
            <a:t> in case you made any gains on investments you sold.</a:t>
          </a:r>
          <a:endParaRPr lang="en-IN" sz="1100" b="0">
            <a:solidFill>
              <a:sysClr val="windowText" lastClr="000000"/>
            </a:solidFill>
          </a:endParaRPr>
        </a:p>
      </xdr:txBody>
    </xdr:sp>
    <xdr:clientData/>
  </xdr:twoCellAnchor>
  <xdr:twoCellAnchor>
    <xdr:from>
      <xdr:col>6</xdr:col>
      <xdr:colOff>152401</xdr:colOff>
      <xdr:row>57</xdr:row>
      <xdr:rowOff>176514</xdr:rowOff>
    </xdr:from>
    <xdr:to>
      <xdr:col>8</xdr:col>
      <xdr:colOff>1157147</xdr:colOff>
      <xdr:row>61</xdr:row>
      <xdr:rowOff>120248</xdr:rowOff>
    </xdr:to>
    <xdr:sp macro="" textlink="">
      <xdr:nvSpPr>
        <xdr:cNvPr id="10" name="Rectangle 9">
          <a:extLst>
            <a:ext uri="{FF2B5EF4-FFF2-40B4-BE49-F238E27FC236}">
              <a16:creationId xmlns:a16="http://schemas.microsoft.com/office/drawing/2014/main" id="{95E2719A-0CF8-44CA-9F13-87A51EF89ABA}"/>
            </a:ext>
          </a:extLst>
        </xdr:cNvPr>
        <xdr:cNvSpPr/>
      </xdr:nvSpPr>
      <xdr:spPr>
        <a:xfrm>
          <a:off x="9203160" y="10867020"/>
          <a:ext cx="2113987" cy="683228"/>
        </a:xfrm>
        <a:prstGeom prst="rect">
          <a:avLst/>
        </a:prstGeom>
        <a:solidFill>
          <a:schemeClr val="accent5">
            <a:lumMod val="40000"/>
            <a:lumOff val="60000"/>
          </a:schemeClr>
        </a:solidFill>
        <a:ln>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Step 6</a:t>
          </a:r>
        </a:p>
        <a:p>
          <a:pPr algn="l"/>
          <a:r>
            <a:rPr lang="en-IN" sz="1100" b="0">
              <a:solidFill>
                <a:sysClr val="windowText" lastClr="000000"/>
              </a:solidFill>
            </a:rPr>
            <a:t>Enter</a:t>
          </a:r>
          <a:r>
            <a:rPr lang="en-IN" sz="1100" b="0" baseline="0">
              <a:solidFill>
                <a:sysClr val="windowText" lastClr="000000"/>
              </a:solidFill>
            </a:rPr>
            <a:t> all the deductions based on your investments and expense.</a:t>
          </a:r>
          <a:endParaRPr lang="en-IN" sz="1100" b="0">
            <a:solidFill>
              <a:sysClr val="windowText" lastClr="000000"/>
            </a:solidFill>
          </a:endParaRPr>
        </a:p>
      </xdr:txBody>
    </xdr:sp>
    <xdr:clientData/>
  </xdr:twoCellAnchor>
  <xdr:twoCellAnchor>
    <xdr:from>
      <xdr:col>6</xdr:col>
      <xdr:colOff>241139</xdr:colOff>
      <xdr:row>91</xdr:row>
      <xdr:rowOff>0</xdr:rowOff>
    </xdr:from>
    <xdr:to>
      <xdr:col>8</xdr:col>
      <xdr:colOff>1245885</xdr:colOff>
      <xdr:row>94</xdr:row>
      <xdr:rowOff>128607</xdr:rowOff>
    </xdr:to>
    <xdr:sp macro="" textlink="">
      <xdr:nvSpPr>
        <xdr:cNvPr id="11" name="Rectangle 10">
          <a:extLst>
            <a:ext uri="{FF2B5EF4-FFF2-40B4-BE49-F238E27FC236}">
              <a16:creationId xmlns:a16="http://schemas.microsoft.com/office/drawing/2014/main" id="{99600CE5-4487-4966-B4AA-CB4830B89BE2}"/>
            </a:ext>
          </a:extLst>
        </xdr:cNvPr>
        <xdr:cNvSpPr/>
      </xdr:nvSpPr>
      <xdr:spPr>
        <a:xfrm>
          <a:off x="9291898" y="17000316"/>
          <a:ext cx="2113987" cy="683228"/>
        </a:xfrm>
        <a:prstGeom prst="rect">
          <a:avLst/>
        </a:prstGeom>
        <a:solidFill>
          <a:schemeClr val="accent5">
            <a:lumMod val="40000"/>
            <a:lumOff val="60000"/>
          </a:schemeClr>
        </a:solidFill>
        <a:ln>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Step 7</a:t>
          </a:r>
        </a:p>
        <a:p>
          <a:pPr algn="l"/>
          <a:r>
            <a:rPr lang="en-IN" sz="1100" b="0">
              <a:solidFill>
                <a:sysClr val="windowText" lastClr="000000"/>
              </a:solidFill>
            </a:rPr>
            <a:t>Other details</a:t>
          </a:r>
          <a:r>
            <a:rPr lang="en-IN" sz="1100" b="0" baseline="0">
              <a:solidFill>
                <a:sysClr val="windowText" lastClr="000000"/>
              </a:solidFill>
            </a:rPr>
            <a:t> about taxes already paid by you.</a:t>
          </a:r>
        </a:p>
      </xdr:txBody>
    </xdr:sp>
    <xdr:clientData/>
  </xdr:twoCellAnchor>
  <xdr:twoCellAnchor>
    <xdr:from>
      <xdr:col>8</xdr:col>
      <xdr:colOff>2282976</xdr:colOff>
      <xdr:row>12</xdr:row>
      <xdr:rowOff>80380</xdr:rowOff>
    </xdr:from>
    <xdr:to>
      <xdr:col>9</xdr:col>
      <xdr:colOff>0</xdr:colOff>
      <xdr:row>17</xdr:row>
      <xdr:rowOff>158750</xdr:rowOff>
    </xdr:to>
    <xdr:sp macro="" textlink="">
      <xdr:nvSpPr>
        <xdr:cNvPr id="12" name="Rectangle 11">
          <a:extLst>
            <a:ext uri="{FF2B5EF4-FFF2-40B4-BE49-F238E27FC236}">
              <a16:creationId xmlns:a16="http://schemas.microsoft.com/office/drawing/2014/main" id="{712CD794-97F6-4D2E-9318-4E91C41E4E2A}"/>
            </a:ext>
          </a:extLst>
        </xdr:cNvPr>
        <xdr:cNvSpPr/>
      </xdr:nvSpPr>
      <xdr:spPr>
        <a:xfrm>
          <a:off x="12458095" y="2378475"/>
          <a:ext cx="2562679" cy="985513"/>
        </a:xfrm>
        <a:prstGeom prst="rect">
          <a:avLst/>
        </a:prstGeom>
        <a:solidFill>
          <a:schemeClr val="accent5">
            <a:lumMod val="40000"/>
            <a:lumOff val="60000"/>
          </a:schemeClr>
        </a:solidFill>
        <a:ln>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Step 8</a:t>
          </a:r>
        </a:p>
        <a:p>
          <a:pPr algn="l"/>
          <a:r>
            <a:rPr lang="en-IN" sz="1100" b="0" baseline="0">
              <a:solidFill>
                <a:sysClr val="windowText" lastClr="000000"/>
              </a:solidFill>
            </a:rPr>
            <a:t>Look at which regime to choose and make decision accordingly. The new tax regime is automatically computed in the right-side table.</a:t>
          </a:r>
        </a:p>
      </xdr:txBody>
    </xdr:sp>
    <xdr:clientData/>
  </xdr:twoCellAnchor>
  <xdr:twoCellAnchor>
    <xdr:from>
      <xdr:col>14</xdr:col>
      <xdr:colOff>152720</xdr:colOff>
      <xdr:row>1</xdr:row>
      <xdr:rowOff>24112</xdr:rowOff>
    </xdr:from>
    <xdr:to>
      <xdr:col>18</xdr:col>
      <xdr:colOff>490979</xdr:colOff>
      <xdr:row>10</xdr:row>
      <xdr:rowOff>6546</xdr:rowOff>
    </xdr:to>
    <xdr:sp macro="" textlink="">
      <xdr:nvSpPr>
        <xdr:cNvPr id="13" name="TextBox 12">
          <a:extLst>
            <a:ext uri="{FF2B5EF4-FFF2-40B4-BE49-F238E27FC236}">
              <a16:creationId xmlns:a16="http://schemas.microsoft.com/office/drawing/2014/main" id="{225227A8-F1B7-49E7-B86C-22E2C1BE47AA}"/>
            </a:ext>
          </a:extLst>
        </xdr:cNvPr>
        <xdr:cNvSpPr txBox="1"/>
      </xdr:nvSpPr>
      <xdr:spPr>
        <a:xfrm>
          <a:off x="22377720" y="213957"/>
          <a:ext cx="2773517" cy="17303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0000"/>
              </a:solidFill>
            </a:rPr>
            <a:t>Note:</a:t>
          </a:r>
          <a:r>
            <a:rPr lang="en-IN" sz="1100" b="1" baseline="0">
              <a:solidFill>
                <a:srgbClr val="FF0000"/>
              </a:solidFill>
            </a:rPr>
            <a:t> </a:t>
          </a:r>
        </a:p>
        <a:p>
          <a:r>
            <a:rPr lang="en-IN" sz="1100" baseline="0"/>
            <a:t>The new tax regime is for the coming Financial year as per the budget announcements made in 2023 Feb.</a:t>
          </a:r>
        </a:p>
        <a:p>
          <a:endParaRPr lang="en-IN" sz="1100" baseline="0"/>
        </a:p>
        <a:p>
          <a:r>
            <a:rPr lang="en-IN" sz="1100" baseline="0"/>
            <a:t>If you have chosen new tax regime in the last year, then this table is irrelevant. Only the first table of Old regime is helpful for tax computation.</a:t>
          </a:r>
        </a:p>
        <a:p>
          <a:endParaRPr lang="en-IN" sz="1100"/>
        </a:p>
      </xdr:txBody>
    </xdr:sp>
    <xdr:clientData/>
  </xdr:twoCellAnchor>
  <xdr:twoCellAnchor>
    <xdr:from>
      <xdr:col>10</xdr:col>
      <xdr:colOff>0</xdr:colOff>
      <xdr:row>21</xdr:row>
      <xdr:rowOff>90714</xdr:rowOff>
    </xdr:from>
    <xdr:to>
      <xdr:col>14</xdr:col>
      <xdr:colOff>0</xdr:colOff>
      <xdr:row>24</xdr:row>
      <xdr:rowOff>181427</xdr:rowOff>
    </xdr:to>
    <xdr:sp macro="" textlink="">
      <xdr:nvSpPr>
        <xdr:cNvPr id="14" name="Rectangle 13">
          <a:extLst>
            <a:ext uri="{FF2B5EF4-FFF2-40B4-BE49-F238E27FC236}">
              <a16:creationId xmlns:a16="http://schemas.microsoft.com/office/drawing/2014/main" id="{7B967CFE-E510-4AF9-B9ED-D170406483B1}"/>
            </a:ext>
          </a:extLst>
        </xdr:cNvPr>
        <xdr:cNvSpPr/>
      </xdr:nvSpPr>
      <xdr:spPr>
        <a:xfrm>
          <a:off x="15844762" y="4036785"/>
          <a:ext cx="6387798" cy="642559"/>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1">
              <a:solidFill>
                <a:schemeClr val="accent4"/>
              </a:solidFill>
            </a:rPr>
            <a:t>Step 9</a:t>
          </a:r>
        </a:p>
        <a:p>
          <a:pPr algn="l"/>
          <a:r>
            <a:rPr lang="en-IN" sz="1100" b="0" i="1" baseline="0">
              <a:solidFill>
                <a:schemeClr val="bg1"/>
              </a:solidFill>
            </a:rPr>
            <a:t>Hey! I hope you are happy. I would love to hear your feedback! Please give it in the link here. Also do state any recommendations if you have any.</a:t>
          </a:r>
        </a:p>
        <a:p>
          <a:pPr algn="l"/>
          <a:endParaRPr lang="en-IN" sz="1100" b="0" i="1" baseline="0">
            <a:solidFill>
              <a:schemeClr val="bg1"/>
            </a:solidFill>
          </a:endParaRPr>
        </a:p>
      </xdr:txBody>
    </xdr:sp>
    <xdr:clientData/>
  </xdr:twoCellAnchor>
  <xdr:twoCellAnchor>
    <xdr:from>
      <xdr:col>9</xdr:col>
      <xdr:colOff>0</xdr:colOff>
      <xdr:row>15</xdr:row>
      <xdr:rowOff>28851</xdr:rowOff>
    </xdr:from>
    <xdr:to>
      <xdr:col>10</xdr:col>
      <xdr:colOff>0</xdr:colOff>
      <xdr:row>23</xdr:row>
      <xdr:rowOff>49136</xdr:rowOff>
    </xdr:to>
    <xdr:cxnSp macro="">
      <xdr:nvCxnSpPr>
        <xdr:cNvPr id="17" name="Connector: Elbow 16">
          <a:extLst>
            <a:ext uri="{FF2B5EF4-FFF2-40B4-BE49-F238E27FC236}">
              <a16:creationId xmlns:a16="http://schemas.microsoft.com/office/drawing/2014/main" id="{2923EBB3-FCB9-E238-9973-B83E9803D080}"/>
            </a:ext>
          </a:extLst>
        </xdr:cNvPr>
        <xdr:cNvCxnSpPr>
          <a:stCxn id="12" idx="3"/>
          <a:endCxn id="14" idx="1"/>
        </xdr:cNvCxnSpPr>
      </xdr:nvCxnSpPr>
      <xdr:spPr>
        <a:xfrm>
          <a:off x="15020774" y="2871232"/>
          <a:ext cx="823988" cy="148683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187886</xdr:colOff>
      <xdr:row>17</xdr:row>
      <xdr:rowOff>158750</xdr:rowOff>
    </xdr:from>
    <xdr:to>
      <xdr:col>8</xdr:col>
      <xdr:colOff>3564315</xdr:colOff>
      <xdr:row>94</xdr:row>
      <xdr:rowOff>128607</xdr:rowOff>
    </xdr:to>
    <xdr:cxnSp macro="">
      <xdr:nvCxnSpPr>
        <xdr:cNvPr id="29" name="Connector: Elbow 28">
          <a:extLst>
            <a:ext uri="{FF2B5EF4-FFF2-40B4-BE49-F238E27FC236}">
              <a16:creationId xmlns:a16="http://schemas.microsoft.com/office/drawing/2014/main" id="{BFC3EAC1-0A93-0BA1-D15D-3C5955F9786D}"/>
            </a:ext>
          </a:extLst>
        </xdr:cNvPr>
        <xdr:cNvCxnSpPr>
          <a:stCxn id="11" idx="2"/>
          <a:endCxn id="12" idx="2"/>
        </xdr:cNvCxnSpPr>
      </xdr:nvCxnSpPr>
      <xdr:spPr>
        <a:xfrm rot="5400000" flipH="1" flipV="1">
          <a:off x="5054833" y="8672160"/>
          <a:ext cx="13992774" cy="3376429"/>
        </a:xfrm>
        <a:prstGeom prst="bentConnector3">
          <a:avLst>
            <a:gd name="adj1" fmla="val -163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151591</xdr:colOff>
      <xdr:row>20</xdr:row>
      <xdr:rowOff>165445</xdr:rowOff>
    </xdr:from>
    <xdr:to>
      <xdr:col>18</xdr:col>
      <xdr:colOff>489850</xdr:colOff>
      <xdr:row>27</xdr:row>
      <xdr:rowOff>28212</xdr:rowOff>
    </xdr:to>
    <xdr:sp macro="" textlink="">
      <xdr:nvSpPr>
        <xdr:cNvPr id="2" name="TextBox 1">
          <a:extLst>
            <a:ext uri="{FF2B5EF4-FFF2-40B4-BE49-F238E27FC236}">
              <a16:creationId xmlns:a16="http://schemas.microsoft.com/office/drawing/2014/main" id="{8E5D1CCE-8760-4FCE-82EA-C397CBBB9EF4}"/>
            </a:ext>
          </a:extLst>
        </xdr:cNvPr>
        <xdr:cNvSpPr txBox="1"/>
      </xdr:nvSpPr>
      <xdr:spPr>
        <a:xfrm>
          <a:off x="22384151" y="3930088"/>
          <a:ext cx="2787544" cy="1140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0000"/>
              </a:solidFill>
            </a:rPr>
            <a:t>Note:</a:t>
          </a:r>
          <a:r>
            <a:rPr lang="en-IN" sz="1100" b="1" baseline="0">
              <a:solidFill>
                <a:srgbClr val="FF0000"/>
              </a:solidFill>
            </a:rPr>
            <a:t> </a:t>
          </a:r>
        </a:p>
        <a:p>
          <a:r>
            <a:rPr lang="en-IN" sz="1100" baseline="0"/>
            <a:t>There can be future updates in the New Tax regime by the Government, when those updates come you will automatically receive the updated calculator right into your mailbox.</a:t>
          </a:r>
        </a:p>
      </xdr:txBody>
    </xdr:sp>
    <xdr:clientData/>
  </xdr:twoCellAnchor>
  <xdr:twoCellAnchor>
    <xdr:from>
      <xdr:col>1</xdr:col>
      <xdr:colOff>7559</xdr:colOff>
      <xdr:row>103</xdr:row>
      <xdr:rowOff>37798</xdr:rowOff>
    </xdr:from>
    <xdr:to>
      <xdr:col>7</xdr:col>
      <xdr:colOff>136070</xdr:colOff>
      <xdr:row>108</xdr:row>
      <xdr:rowOff>75596</xdr:rowOff>
    </xdr:to>
    <xdr:sp macro="" textlink="">
      <xdr:nvSpPr>
        <xdr:cNvPr id="20" name="TextBox 19">
          <a:extLst>
            <a:ext uri="{FF2B5EF4-FFF2-40B4-BE49-F238E27FC236}">
              <a16:creationId xmlns:a16="http://schemas.microsoft.com/office/drawing/2014/main" id="{AA09EE8E-CC28-4669-B89C-8365CE9F9B7C}"/>
            </a:ext>
          </a:extLst>
        </xdr:cNvPr>
        <xdr:cNvSpPr txBox="1"/>
      </xdr:nvSpPr>
      <xdr:spPr>
        <a:xfrm>
          <a:off x="264583" y="18913929"/>
          <a:ext cx="9260416" cy="944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0000"/>
              </a:solidFill>
            </a:rPr>
            <a:t>Disclaimer:</a:t>
          </a:r>
          <a:r>
            <a:rPr lang="en-IN" sz="1100" b="1" baseline="0">
              <a:solidFill>
                <a:srgbClr val="FF0000"/>
              </a:solidFill>
            </a:rPr>
            <a:t> </a:t>
          </a:r>
        </a:p>
        <a:p>
          <a:r>
            <a:rPr lang="en-IN" sz="1100" i="1" baseline="0"/>
            <a:t>Do not take this tool soley to decide your tax planning, please use it as a support system and always do your research before taking decision.</a:t>
          </a:r>
        </a:p>
        <a:p>
          <a:endParaRPr lang="en-IN" sz="1100" baseline="0"/>
        </a:p>
        <a:p>
          <a:r>
            <a:rPr lang="en-IN" sz="1100" baseline="0">
              <a:solidFill>
                <a:schemeClr val="dk1"/>
              </a:solidFill>
              <a:effectLst/>
              <a:latin typeface="+mn-lt"/>
              <a:ea typeface="+mn-ea"/>
              <a:cs typeface="+mn-cs"/>
            </a:rPr>
            <a:t>This tool serves majority of the people, however if in case you are having a different need which the tool doesn't have then drop a feedback in the link mentioned on the right side of the page.</a:t>
          </a:r>
          <a:endParaRPr lang="en-IN"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forms.gle/s4EANpQ4kh95nuvq5"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B35C1-2BB7-4390-BD4F-0EC429166501}">
  <dimension ref="B1:N98"/>
  <sheetViews>
    <sheetView showGridLines="0" tabSelected="1" zoomScale="73" workbookViewId="0">
      <selection activeCell="D9" sqref="D9"/>
    </sheetView>
  </sheetViews>
  <sheetFormatPr defaultRowHeight="14.5" x14ac:dyDescent="0.35"/>
  <cols>
    <col min="1" max="1" width="3.7265625" style="27" customWidth="1"/>
    <col min="2" max="2" width="4.81640625" style="27" customWidth="1"/>
    <col min="3" max="3" width="3.90625" style="27" customWidth="1"/>
    <col min="4" max="4" width="79.453125" style="27" bestFit="1" customWidth="1"/>
    <col min="5" max="6" width="18.90625" style="27" customWidth="1"/>
    <col min="7" max="7" width="4.6328125" style="27" customWidth="1"/>
    <col min="8" max="8" width="11.26953125" style="27" bestFit="1" customWidth="1"/>
    <col min="9" max="9" width="69.36328125" style="27" bestFit="1" customWidth="1"/>
    <col min="10" max="10" width="11.81640625" style="27" bestFit="1" customWidth="1"/>
    <col min="11" max="11" width="5.90625" style="27" customWidth="1"/>
    <col min="12" max="12" width="52.36328125" style="27" bestFit="1" customWidth="1"/>
    <col min="13" max="13" width="26.26953125" style="27" customWidth="1"/>
    <col min="14" max="14" width="6.81640625" style="27" customWidth="1"/>
    <col min="15" max="16384" width="8.7265625" style="27"/>
  </cols>
  <sheetData>
    <row r="1" spans="2:14" ht="15" thickBot="1" x14ac:dyDescent="0.4"/>
    <row r="2" spans="2:14" ht="16.5" customHeight="1" x14ac:dyDescent="0.45">
      <c r="B2" s="215" t="s">
        <v>85</v>
      </c>
      <c r="C2" s="216"/>
      <c r="D2" s="216"/>
      <c r="E2" s="216"/>
      <c r="F2" s="216"/>
      <c r="G2" s="217"/>
      <c r="I2" s="28" t="s">
        <v>102</v>
      </c>
      <c r="K2" s="209" t="s">
        <v>103</v>
      </c>
      <c r="L2" s="210"/>
      <c r="M2" s="210"/>
      <c r="N2" s="211"/>
    </row>
    <row r="3" spans="2:14" ht="17.5" customHeight="1" thickBot="1" x14ac:dyDescent="0.4">
      <c r="B3" s="29"/>
      <c r="C3" s="30"/>
      <c r="D3" s="30"/>
      <c r="E3" s="30"/>
      <c r="F3" s="30"/>
      <c r="G3" s="31"/>
      <c r="I3" s="32" t="s">
        <v>126</v>
      </c>
      <c r="K3" s="33"/>
      <c r="L3" s="30"/>
      <c r="M3" s="30"/>
      <c r="N3" s="34"/>
    </row>
    <row r="4" spans="2:14" ht="15" customHeight="1" thickBot="1" x14ac:dyDescent="0.4">
      <c r="B4" s="29"/>
      <c r="C4" s="212" t="s">
        <v>25</v>
      </c>
      <c r="D4" s="35" t="s">
        <v>25</v>
      </c>
      <c r="E4" s="36">
        <f>E10</f>
        <v>2072000</v>
      </c>
      <c r="F4" s="37"/>
      <c r="G4" s="31"/>
      <c r="I4" s="38" t="s">
        <v>100</v>
      </c>
      <c r="K4" s="33"/>
      <c r="L4" s="39" t="s">
        <v>25</v>
      </c>
      <c r="M4" s="40">
        <f>E10</f>
        <v>2072000</v>
      </c>
      <c r="N4" s="34"/>
    </row>
    <row r="5" spans="2:14" x14ac:dyDescent="0.35">
      <c r="B5" s="29"/>
      <c r="C5" s="213"/>
      <c r="D5" s="41" t="s">
        <v>26</v>
      </c>
      <c r="E5" s="42">
        <v>1200000</v>
      </c>
      <c r="F5" s="43"/>
      <c r="G5" s="31"/>
      <c r="K5" s="33"/>
      <c r="L5" s="44" t="s">
        <v>30</v>
      </c>
      <c r="M5" s="45">
        <f>F23</f>
        <v>50000</v>
      </c>
      <c r="N5" s="34"/>
    </row>
    <row r="6" spans="2:14" ht="15" thickBot="1" x14ac:dyDescent="0.4">
      <c r="B6" s="29"/>
      <c r="C6" s="213"/>
      <c r="D6" s="46" t="s">
        <v>27</v>
      </c>
      <c r="E6" s="42">
        <v>600000</v>
      </c>
      <c r="F6" s="43"/>
      <c r="G6" s="31"/>
      <c r="K6" s="33"/>
      <c r="L6" s="47" t="s">
        <v>29</v>
      </c>
      <c r="M6" s="45">
        <f>M4-M5</f>
        <v>2022000</v>
      </c>
      <c r="N6" s="34"/>
    </row>
    <row r="7" spans="2:14" ht="15.5" x14ac:dyDescent="0.35">
      <c r="B7" s="29"/>
      <c r="C7" s="213"/>
      <c r="D7" s="46" t="s">
        <v>73</v>
      </c>
      <c r="E7" s="42">
        <f>252000+20000</f>
        <v>272000</v>
      </c>
      <c r="F7" s="43"/>
      <c r="G7" s="31"/>
      <c r="I7" s="48" t="s">
        <v>105</v>
      </c>
      <c r="K7" s="33"/>
      <c r="L7" s="47" t="s">
        <v>38</v>
      </c>
      <c r="M7" s="45">
        <f>IF(F32-F33-F34&lt;0,0,F32-F33-F34)</f>
        <v>0</v>
      </c>
      <c r="N7" s="34"/>
    </row>
    <row r="8" spans="2:14" x14ac:dyDescent="0.35">
      <c r="B8" s="29"/>
      <c r="C8" s="213"/>
      <c r="D8" s="46" t="s">
        <v>49</v>
      </c>
      <c r="E8" s="42"/>
      <c r="F8" s="43"/>
      <c r="G8" s="31"/>
      <c r="I8" s="49"/>
      <c r="K8" s="33"/>
      <c r="L8" s="47" t="s">
        <v>46</v>
      </c>
      <c r="M8" s="45">
        <f>F35</f>
        <v>20000</v>
      </c>
      <c r="N8" s="34"/>
    </row>
    <row r="9" spans="2:14" x14ac:dyDescent="0.35">
      <c r="B9" s="29"/>
      <c r="C9" s="213"/>
      <c r="D9" s="46" t="s">
        <v>28</v>
      </c>
      <c r="E9" s="42"/>
      <c r="F9" s="43"/>
      <c r="G9" s="31"/>
      <c r="I9" s="49"/>
      <c r="K9" s="33"/>
      <c r="L9" s="47" t="s">
        <v>51</v>
      </c>
      <c r="M9" s="45">
        <f>F42</f>
        <v>0</v>
      </c>
      <c r="N9" s="34"/>
    </row>
    <row r="10" spans="2:14" ht="15" thickBot="1" x14ac:dyDescent="0.4">
      <c r="B10" s="29"/>
      <c r="C10" s="214"/>
      <c r="D10" s="50" t="s">
        <v>25</v>
      </c>
      <c r="E10" s="51">
        <f>SUM(E5:E9)</f>
        <v>2072000</v>
      </c>
      <c r="F10" s="52"/>
      <c r="G10" s="31"/>
      <c r="I10" s="49"/>
      <c r="K10" s="33"/>
      <c r="L10" s="53" t="s">
        <v>81</v>
      </c>
      <c r="M10" s="54">
        <f>F48</f>
        <v>0</v>
      </c>
      <c r="N10" s="34"/>
    </row>
    <row r="11" spans="2:14" x14ac:dyDescent="0.35">
      <c r="B11" s="29"/>
      <c r="C11" s="55"/>
      <c r="D11" s="56"/>
      <c r="E11" s="52"/>
      <c r="F11" s="52"/>
      <c r="G11" s="31"/>
      <c r="I11" s="49"/>
      <c r="K11" s="33"/>
      <c r="L11" s="57" t="s">
        <v>70</v>
      </c>
      <c r="M11" s="58">
        <f>M6+M7+M8+M9+M10-F66</f>
        <v>2042000</v>
      </c>
      <c r="N11" s="34"/>
    </row>
    <row r="12" spans="2:14" ht="15" thickBot="1" x14ac:dyDescent="0.4">
      <c r="B12" s="29"/>
      <c r="C12" s="30"/>
      <c r="D12" s="30"/>
      <c r="E12" s="30"/>
      <c r="F12" s="30"/>
      <c r="G12" s="31"/>
      <c r="I12" s="59"/>
      <c r="K12" s="33"/>
      <c r="L12" s="60" t="s">
        <v>80</v>
      </c>
      <c r="M12" s="61">
        <f>M11-F40-F44-F45-F46-F47</f>
        <v>2042000</v>
      </c>
      <c r="N12" s="34"/>
    </row>
    <row r="13" spans="2:14" x14ac:dyDescent="0.35">
      <c r="B13" s="29"/>
      <c r="C13" s="218" t="s">
        <v>52</v>
      </c>
      <c r="D13" s="222" t="s">
        <v>78</v>
      </c>
      <c r="E13" s="223"/>
      <c r="F13" s="36">
        <f>IF(F14+F25+F35+F42+F48&lt;0,0,F14+F25+F35+F42+F48)</f>
        <v>1670000</v>
      </c>
      <c r="G13" s="31"/>
      <c r="K13" s="33"/>
      <c r="L13" s="62" t="s">
        <v>93</v>
      </c>
      <c r="M13" s="63">
        <f>'Tax Calculation'!E20</f>
        <v>312600</v>
      </c>
      <c r="N13" s="34"/>
    </row>
    <row r="14" spans="2:14" ht="14.5" customHeight="1" x14ac:dyDescent="0.35">
      <c r="B14" s="29"/>
      <c r="C14" s="219"/>
      <c r="D14" s="65" t="s">
        <v>29</v>
      </c>
      <c r="E14" s="66"/>
      <c r="F14" s="67">
        <f>F15-F16-F22-F23-F24</f>
        <v>1650000</v>
      </c>
      <c r="G14" s="31"/>
      <c r="K14" s="33"/>
      <c r="L14" s="68" t="s">
        <v>97</v>
      </c>
      <c r="M14" s="69">
        <f>'Tax Calculation'!E23</f>
        <v>312600</v>
      </c>
      <c r="N14" s="34"/>
    </row>
    <row r="15" spans="2:14" x14ac:dyDescent="0.35">
      <c r="B15" s="29"/>
      <c r="C15" s="219"/>
      <c r="D15" s="70" t="s">
        <v>25</v>
      </c>
      <c r="E15" s="71"/>
      <c r="F15" s="72">
        <f>E10</f>
        <v>2072000</v>
      </c>
      <c r="G15" s="31"/>
      <c r="K15" s="33"/>
      <c r="L15" s="57" t="s">
        <v>74</v>
      </c>
      <c r="M15" s="58">
        <f>SUM('Tax Calculation'!D8:D9)</f>
        <v>325104</v>
      </c>
      <c r="N15" s="34"/>
    </row>
    <row r="16" spans="2:14" x14ac:dyDescent="0.35">
      <c r="B16" s="29"/>
      <c r="C16" s="219"/>
      <c r="D16" s="73" t="s">
        <v>31</v>
      </c>
      <c r="E16" s="74"/>
      <c r="F16" s="72">
        <f>IF(MIN(E19,E20,E21)&lt;0,0,MIN(E19,E20,E21))</f>
        <v>360000</v>
      </c>
      <c r="G16" s="31"/>
      <c r="K16" s="33"/>
      <c r="L16" s="75" t="s">
        <v>72</v>
      </c>
      <c r="M16" s="76"/>
      <c r="N16" s="34"/>
    </row>
    <row r="17" spans="2:14" x14ac:dyDescent="0.35">
      <c r="B17" s="29"/>
      <c r="C17" s="219"/>
      <c r="D17" s="77" t="s">
        <v>34</v>
      </c>
      <c r="E17" s="78" t="s">
        <v>33</v>
      </c>
      <c r="F17" s="72"/>
      <c r="G17" s="31"/>
      <c r="K17" s="33"/>
      <c r="L17" s="47" t="s">
        <v>92</v>
      </c>
      <c r="M17" s="45"/>
      <c r="N17" s="34"/>
    </row>
    <row r="18" spans="2:14" x14ac:dyDescent="0.35">
      <c r="B18" s="29"/>
      <c r="C18" s="219"/>
      <c r="D18" s="77" t="s">
        <v>35</v>
      </c>
      <c r="E18" s="79">
        <f>40000*12</f>
        <v>480000</v>
      </c>
      <c r="F18" s="72"/>
      <c r="G18" s="31"/>
      <c r="K18" s="33"/>
      <c r="L18" s="80" t="s">
        <v>122</v>
      </c>
      <c r="M18" s="81">
        <f>M15-M16-M17</f>
        <v>325104</v>
      </c>
      <c r="N18" s="34"/>
    </row>
    <row r="19" spans="2:14" ht="15" thickBot="1" x14ac:dyDescent="0.4">
      <c r="B19" s="29"/>
      <c r="C19" s="219"/>
      <c r="D19" s="77" t="s">
        <v>32</v>
      </c>
      <c r="E19" s="82">
        <f>IF(E18&lt;&gt;0,E6,"")</f>
        <v>600000</v>
      </c>
      <c r="F19" s="72"/>
      <c r="G19" s="31"/>
      <c r="K19" s="33"/>
      <c r="L19" s="83" t="s">
        <v>71</v>
      </c>
      <c r="M19" s="84">
        <f>M18/M11</f>
        <v>0.15920861900097943</v>
      </c>
      <c r="N19" s="34"/>
    </row>
    <row r="20" spans="2:14" ht="15" thickBot="1" x14ac:dyDescent="0.4">
      <c r="B20" s="29"/>
      <c r="C20" s="219"/>
      <c r="D20" s="77" t="s">
        <v>37</v>
      </c>
      <c r="E20" s="82">
        <f>IF(E18&lt;&gt;0,IF(E17="Metro",E5*0.5,E5*0.4),"")</f>
        <v>600000</v>
      </c>
      <c r="F20" s="72"/>
      <c r="G20" s="31"/>
      <c r="K20" s="85"/>
      <c r="L20" s="86"/>
      <c r="M20" s="86"/>
      <c r="N20" s="87"/>
    </row>
    <row r="21" spans="2:14" x14ac:dyDescent="0.35">
      <c r="B21" s="29"/>
      <c r="C21" s="219"/>
      <c r="D21" s="88" t="s">
        <v>84</v>
      </c>
      <c r="E21" s="82">
        <f>IF(E18&lt;&gt;0,E18-(0.1*E5),"")</f>
        <v>360000</v>
      </c>
      <c r="F21" s="72"/>
      <c r="G21" s="31"/>
    </row>
    <row r="22" spans="2:14" x14ac:dyDescent="0.35">
      <c r="B22" s="29"/>
      <c r="C22" s="219"/>
      <c r="D22" s="89" t="s">
        <v>48</v>
      </c>
      <c r="E22" s="90"/>
      <c r="F22" s="42">
        <v>12000</v>
      </c>
      <c r="G22" s="31"/>
    </row>
    <row r="23" spans="2:14" x14ac:dyDescent="0.35">
      <c r="B23" s="29"/>
      <c r="C23" s="219"/>
      <c r="D23" s="91" t="s">
        <v>30</v>
      </c>
      <c r="E23" s="71"/>
      <c r="F23" s="72">
        <f>IF(E4&lt;&gt;0,50000,0)</f>
        <v>50000</v>
      </c>
      <c r="G23" s="31"/>
    </row>
    <row r="24" spans="2:14" ht="15" thickBot="1" x14ac:dyDescent="0.4">
      <c r="B24" s="29"/>
      <c r="C24" s="219"/>
      <c r="D24" s="92" t="s">
        <v>36</v>
      </c>
      <c r="E24" s="93"/>
      <c r="F24" s="94"/>
      <c r="G24" s="31"/>
    </row>
    <row r="25" spans="2:14" x14ac:dyDescent="0.35">
      <c r="B25" s="29"/>
      <c r="C25" s="219"/>
      <c r="D25" s="95" t="s">
        <v>38</v>
      </c>
      <c r="E25" s="96"/>
      <c r="F25" s="97">
        <f>IF((F26+F29)&lt;-200000,-200000,(F26+F29))</f>
        <v>0</v>
      </c>
      <c r="G25" s="31"/>
    </row>
    <row r="26" spans="2:14" x14ac:dyDescent="0.35">
      <c r="B26" s="29"/>
      <c r="C26" s="219"/>
      <c r="D26" s="98" t="s">
        <v>41</v>
      </c>
      <c r="E26" s="99"/>
      <c r="F26" s="100">
        <f>-IF(SUM(F27:F28)&gt;200000,200000,SUM(F27:F28))</f>
        <v>0</v>
      </c>
      <c r="G26" s="31"/>
      <c r="K26" s="256" t="s">
        <v>127</v>
      </c>
      <c r="L26" s="257"/>
      <c r="M26" s="257"/>
      <c r="N26" s="257"/>
    </row>
    <row r="27" spans="2:14" x14ac:dyDescent="0.35">
      <c r="B27" s="29"/>
      <c r="C27" s="219"/>
      <c r="D27" s="101" t="s">
        <v>75</v>
      </c>
      <c r="E27" s="102"/>
      <c r="F27" s="72">
        <f>IF(E27&gt;30000,30000,E27)</f>
        <v>0</v>
      </c>
      <c r="G27" s="31"/>
    </row>
    <row r="28" spans="2:14" x14ac:dyDescent="0.35">
      <c r="B28" s="29"/>
      <c r="C28" s="219"/>
      <c r="D28" s="103" t="s">
        <v>76</v>
      </c>
      <c r="E28" s="102"/>
      <c r="F28" s="72">
        <f>IF(E28&gt;200000,200000,E28)</f>
        <v>0</v>
      </c>
      <c r="G28" s="31"/>
    </row>
    <row r="29" spans="2:14" x14ac:dyDescent="0.35">
      <c r="B29" s="29"/>
      <c r="C29" s="219"/>
      <c r="D29" s="104" t="s">
        <v>44</v>
      </c>
      <c r="E29" s="105"/>
      <c r="F29" s="100">
        <f>F32-F33-F34</f>
        <v>0</v>
      </c>
      <c r="G29" s="31"/>
    </row>
    <row r="30" spans="2:14" x14ac:dyDescent="0.35">
      <c r="B30" s="29"/>
      <c r="C30" s="219"/>
      <c r="D30" s="70" t="s">
        <v>39</v>
      </c>
      <c r="E30" s="79"/>
      <c r="F30" s="72"/>
      <c r="G30" s="31"/>
    </row>
    <row r="31" spans="2:14" x14ac:dyDescent="0.35">
      <c r="B31" s="29"/>
      <c r="C31" s="219"/>
      <c r="D31" s="106" t="s">
        <v>42</v>
      </c>
      <c r="E31" s="79"/>
      <c r="F31" s="72"/>
      <c r="G31" s="31"/>
    </row>
    <row r="32" spans="2:14" x14ac:dyDescent="0.35">
      <c r="B32" s="29"/>
      <c r="C32" s="219"/>
      <c r="D32" s="89" t="s">
        <v>40</v>
      </c>
      <c r="E32" s="82"/>
      <c r="F32" s="72">
        <f>E30-E31</f>
        <v>0</v>
      </c>
      <c r="G32" s="31"/>
    </row>
    <row r="33" spans="2:7" x14ac:dyDescent="0.35">
      <c r="B33" s="29"/>
      <c r="C33" s="219"/>
      <c r="D33" s="89" t="s">
        <v>30</v>
      </c>
      <c r="E33" s="90"/>
      <c r="F33" s="72">
        <f>IF(F32&lt;0,0,F32*0.3)</f>
        <v>0</v>
      </c>
      <c r="G33" s="31"/>
    </row>
    <row r="34" spans="2:7" x14ac:dyDescent="0.35">
      <c r="B34" s="29"/>
      <c r="C34" s="219"/>
      <c r="D34" s="91" t="s">
        <v>43</v>
      </c>
      <c r="E34" s="90"/>
      <c r="F34" s="42"/>
      <c r="G34" s="31"/>
    </row>
    <row r="35" spans="2:7" x14ac:dyDescent="0.35">
      <c r="B35" s="29"/>
      <c r="C35" s="219"/>
      <c r="D35" s="65" t="s">
        <v>46</v>
      </c>
      <c r="E35" s="107"/>
      <c r="F35" s="67">
        <f>SUM(F36:F41)</f>
        <v>20000</v>
      </c>
      <c r="G35" s="31"/>
    </row>
    <row r="36" spans="2:7" x14ac:dyDescent="0.35">
      <c r="B36" s="29"/>
      <c r="C36" s="219"/>
      <c r="D36" s="91" t="s">
        <v>77</v>
      </c>
      <c r="E36" s="108"/>
      <c r="F36" s="42">
        <v>8000</v>
      </c>
      <c r="G36" s="31"/>
    </row>
    <row r="37" spans="2:7" x14ac:dyDescent="0.35">
      <c r="B37" s="29"/>
      <c r="C37" s="219"/>
      <c r="D37" s="91" t="s">
        <v>47</v>
      </c>
      <c r="E37" s="108"/>
      <c r="F37" s="42">
        <v>12000</v>
      </c>
      <c r="G37" s="31"/>
    </row>
    <row r="38" spans="2:7" x14ac:dyDescent="0.35">
      <c r="B38" s="29"/>
      <c r="C38" s="219"/>
      <c r="D38" s="91" t="s">
        <v>45</v>
      </c>
      <c r="E38" s="108"/>
      <c r="F38" s="42"/>
      <c r="G38" s="31"/>
    </row>
    <row r="39" spans="2:7" x14ac:dyDescent="0.35">
      <c r="B39" s="29"/>
      <c r="C39" s="219"/>
      <c r="D39" s="91" t="s">
        <v>123</v>
      </c>
      <c r="E39" s="108"/>
      <c r="F39" s="42"/>
      <c r="G39" s="31"/>
    </row>
    <row r="40" spans="2:7" x14ac:dyDescent="0.35">
      <c r="B40" s="29"/>
      <c r="C40" s="219"/>
      <c r="D40" s="70" t="s">
        <v>83</v>
      </c>
      <c r="E40" s="109"/>
      <c r="F40" s="110"/>
      <c r="G40" s="31"/>
    </row>
    <row r="41" spans="2:7" x14ac:dyDescent="0.35">
      <c r="B41" s="29"/>
      <c r="C41" s="219"/>
      <c r="D41" s="70" t="s">
        <v>50</v>
      </c>
      <c r="E41" s="109"/>
      <c r="F41" s="110"/>
      <c r="G41" s="31"/>
    </row>
    <row r="42" spans="2:7" x14ac:dyDescent="0.35">
      <c r="B42" s="29"/>
      <c r="C42" s="219"/>
      <c r="D42" s="65" t="s">
        <v>51</v>
      </c>
      <c r="E42" s="107"/>
      <c r="F42" s="67">
        <f>SUM(F43:F47)</f>
        <v>0</v>
      </c>
      <c r="G42" s="31"/>
    </row>
    <row r="43" spans="2:7" x14ac:dyDescent="0.35">
      <c r="B43" s="29"/>
      <c r="C43" s="219"/>
      <c r="D43" s="111" t="s">
        <v>109</v>
      </c>
      <c r="E43" s="112"/>
      <c r="F43" s="42"/>
      <c r="G43" s="31"/>
    </row>
    <row r="44" spans="2:7" x14ac:dyDescent="0.35">
      <c r="B44" s="29"/>
      <c r="C44" s="219"/>
      <c r="D44" s="91" t="s">
        <v>110</v>
      </c>
      <c r="E44" s="108"/>
      <c r="F44" s="42"/>
      <c r="G44" s="31"/>
    </row>
    <row r="45" spans="2:7" x14ac:dyDescent="0.35">
      <c r="B45" s="29"/>
      <c r="C45" s="219"/>
      <c r="D45" s="91" t="s">
        <v>86</v>
      </c>
      <c r="E45" s="108"/>
      <c r="F45" s="42"/>
      <c r="G45" s="31"/>
    </row>
    <row r="46" spans="2:7" x14ac:dyDescent="0.35">
      <c r="B46" s="29"/>
      <c r="C46" s="219"/>
      <c r="D46" s="91" t="s">
        <v>87</v>
      </c>
      <c r="E46" s="108"/>
      <c r="F46" s="42"/>
      <c r="G46" s="31"/>
    </row>
    <row r="47" spans="2:7" x14ac:dyDescent="0.35">
      <c r="B47" s="29"/>
      <c r="C47" s="64"/>
      <c r="D47" s="91" t="s">
        <v>111</v>
      </c>
      <c r="E47" s="108"/>
      <c r="F47" s="42"/>
      <c r="G47" s="31"/>
    </row>
    <row r="48" spans="2:7" ht="15" thickBot="1" x14ac:dyDescent="0.4">
      <c r="B48" s="29"/>
      <c r="C48" s="64"/>
      <c r="D48" s="65" t="s">
        <v>81</v>
      </c>
      <c r="E48" s="102"/>
      <c r="F48" s="67">
        <f>E48</f>
        <v>0</v>
      </c>
      <c r="G48" s="31"/>
    </row>
    <row r="49" spans="2:7" x14ac:dyDescent="0.35">
      <c r="B49" s="29"/>
      <c r="C49" s="218" t="s">
        <v>1</v>
      </c>
      <c r="D49" s="113" t="s">
        <v>1</v>
      </c>
      <c r="E49" s="114"/>
      <c r="F49" s="115">
        <f>-SUM(F50,F65:F71,F76:F82,F73:F75)</f>
        <v>-170000</v>
      </c>
      <c r="G49" s="31"/>
    </row>
    <row r="50" spans="2:7" ht="14.5" customHeight="1" x14ac:dyDescent="0.35">
      <c r="B50" s="29"/>
      <c r="C50" s="219"/>
      <c r="D50" s="116" t="s">
        <v>112</v>
      </c>
      <c r="E50" s="117"/>
      <c r="F50" s="118">
        <f>IF(SUM(F51:F64)&gt;150000,150000,SUM(F51:F64))</f>
        <v>150000</v>
      </c>
      <c r="G50" s="31"/>
    </row>
    <row r="51" spans="2:7" x14ac:dyDescent="0.35">
      <c r="B51" s="29"/>
      <c r="C51" s="219"/>
      <c r="D51" s="119" t="s">
        <v>64</v>
      </c>
      <c r="E51" s="71"/>
      <c r="F51" s="42"/>
      <c r="G51" s="31"/>
    </row>
    <row r="52" spans="2:7" x14ac:dyDescent="0.35">
      <c r="B52" s="29"/>
      <c r="C52" s="219"/>
      <c r="D52" s="119" t="s">
        <v>53</v>
      </c>
      <c r="E52" s="71"/>
      <c r="F52" s="42"/>
      <c r="G52" s="31"/>
    </row>
    <row r="53" spans="2:7" x14ac:dyDescent="0.35">
      <c r="B53" s="29"/>
      <c r="C53" s="219"/>
      <c r="D53" s="119" t="s">
        <v>54</v>
      </c>
      <c r="E53" s="71"/>
      <c r="F53" s="42"/>
      <c r="G53" s="31"/>
    </row>
    <row r="54" spans="2:7" x14ac:dyDescent="0.35">
      <c r="B54" s="29"/>
      <c r="C54" s="219"/>
      <c r="D54" s="119" t="s">
        <v>55</v>
      </c>
      <c r="E54" s="71"/>
      <c r="F54" s="42"/>
      <c r="G54" s="31"/>
    </row>
    <row r="55" spans="2:7" x14ac:dyDescent="0.35">
      <c r="B55" s="29"/>
      <c r="C55" s="219"/>
      <c r="D55" s="119" t="s">
        <v>56</v>
      </c>
      <c r="E55" s="71"/>
      <c r="F55" s="42"/>
      <c r="G55" s="31"/>
    </row>
    <row r="56" spans="2:7" x14ac:dyDescent="0.35">
      <c r="B56" s="29"/>
      <c r="C56" s="219"/>
      <c r="D56" s="119" t="s">
        <v>57</v>
      </c>
      <c r="E56" s="71"/>
      <c r="F56" s="42"/>
      <c r="G56" s="31"/>
    </row>
    <row r="57" spans="2:7" x14ac:dyDescent="0.35">
      <c r="B57" s="29"/>
      <c r="C57" s="219"/>
      <c r="D57" s="119" t="s">
        <v>58</v>
      </c>
      <c r="E57" s="71"/>
      <c r="F57" s="42">
        <v>150000</v>
      </c>
      <c r="G57" s="31"/>
    </row>
    <row r="58" spans="2:7" x14ac:dyDescent="0.35">
      <c r="B58" s="29"/>
      <c r="C58" s="219"/>
      <c r="D58" s="119" t="s">
        <v>82</v>
      </c>
      <c r="E58" s="71"/>
      <c r="F58" s="42"/>
      <c r="G58" s="31"/>
    </row>
    <row r="59" spans="2:7" x14ac:dyDescent="0.35">
      <c r="B59" s="29"/>
      <c r="C59" s="219"/>
      <c r="D59" s="119" t="s">
        <v>99</v>
      </c>
      <c r="E59" s="71"/>
      <c r="F59" s="42"/>
      <c r="G59" s="31"/>
    </row>
    <row r="60" spans="2:7" x14ac:dyDescent="0.35">
      <c r="B60" s="29"/>
      <c r="C60" s="219"/>
      <c r="D60" s="119" t="s">
        <v>59</v>
      </c>
      <c r="E60" s="71"/>
      <c r="F60" s="42"/>
      <c r="G60" s="31"/>
    </row>
    <row r="61" spans="2:7" x14ac:dyDescent="0.35">
      <c r="B61" s="29"/>
      <c r="C61" s="219"/>
      <c r="D61" s="119" t="s">
        <v>60</v>
      </c>
      <c r="E61" s="71"/>
      <c r="F61" s="42"/>
      <c r="G61" s="31"/>
    </row>
    <row r="62" spans="2:7" x14ac:dyDescent="0.35">
      <c r="B62" s="29"/>
      <c r="C62" s="219"/>
      <c r="D62" s="119" t="s">
        <v>62</v>
      </c>
      <c r="E62" s="71"/>
      <c r="F62" s="42"/>
      <c r="G62" s="31"/>
    </row>
    <row r="63" spans="2:7" x14ac:dyDescent="0.35">
      <c r="B63" s="29"/>
      <c r="C63" s="219"/>
      <c r="D63" s="119" t="s">
        <v>61</v>
      </c>
      <c r="E63" s="71"/>
      <c r="F63" s="42"/>
      <c r="G63" s="31"/>
    </row>
    <row r="64" spans="2:7" x14ac:dyDescent="0.35">
      <c r="B64" s="29"/>
      <c r="C64" s="219"/>
      <c r="D64" s="119" t="s">
        <v>63</v>
      </c>
      <c r="E64" s="120"/>
      <c r="F64" s="110"/>
      <c r="G64" s="31"/>
    </row>
    <row r="65" spans="2:8" x14ac:dyDescent="0.35">
      <c r="B65" s="29"/>
      <c r="C65" s="219"/>
      <c r="D65" s="91" t="s">
        <v>114</v>
      </c>
      <c r="E65" s="102"/>
      <c r="F65" s="72">
        <f>IF(E65&gt;50000,50000,E65)</f>
        <v>0</v>
      </c>
      <c r="G65" s="31"/>
    </row>
    <row r="66" spans="2:8" x14ac:dyDescent="0.35">
      <c r="B66" s="29"/>
      <c r="C66" s="219"/>
      <c r="D66" s="121" t="s">
        <v>115</v>
      </c>
      <c r="E66" s="102"/>
      <c r="F66" s="72">
        <f>(IF(E66&gt;(E5*0.1),(E5*0.1),E66))</f>
        <v>0</v>
      </c>
      <c r="G66" s="31"/>
    </row>
    <row r="67" spans="2:8" x14ac:dyDescent="0.35">
      <c r="B67" s="29"/>
      <c r="C67" s="219"/>
      <c r="D67" s="122" t="s">
        <v>113</v>
      </c>
      <c r="E67" s="123"/>
      <c r="F67" s="124"/>
      <c r="G67" s="31"/>
    </row>
    <row r="68" spans="2:8" x14ac:dyDescent="0.35">
      <c r="B68" s="29"/>
      <c r="C68" s="219"/>
      <c r="D68" s="122" t="s">
        <v>67</v>
      </c>
      <c r="E68" s="79" t="s">
        <v>69</v>
      </c>
      <c r="F68" s="72"/>
      <c r="G68" s="31"/>
    </row>
    <row r="69" spans="2:8" x14ac:dyDescent="0.35">
      <c r="B69" s="29"/>
      <c r="C69" s="219"/>
      <c r="D69" s="122" t="s">
        <v>68</v>
      </c>
      <c r="E69" s="79" t="s">
        <v>69</v>
      </c>
      <c r="F69" s="72"/>
      <c r="G69" s="31"/>
    </row>
    <row r="70" spans="2:8" x14ac:dyDescent="0.35">
      <c r="B70" s="29"/>
      <c r="C70" s="219"/>
      <c r="D70" s="125" t="s">
        <v>65</v>
      </c>
      <c r="E70" s="126">
        <v>12000</v>
      </c>
      <c r="F70" s="72">
        <f>IF(E68="Normal Citizen",(IF(E70&gt;=25000,25000,E70)),(IF(E70&gt;=50000,50000,E70)))</f>
        <v>12000</v>
      </c>
      <c r="G70" s="31"/>
    </row>
    <row r="71" spans="2:8" x14ac:dyDescent="0.35">
      <c r="B71" s="29"/>
      <c r="C71" s="219"/>
      <c r="D71" s="125" t="s">
        <v>66</v>
      </c>
      <c r="E71" s="79"/>
      <c r="F71" s="72">
        <f>IF(E69="Normal Citizen",(IF(E71&gt;=25000,25000,E71)),(IF(E71&gt;=50000,50000,E71)))</f>
        <v>0</v>
      </c>
      <c r="G71" s="31"/>
    </row>
    <row r="72" spans="2:8" x14ac:dyDescent="0.35">
      <c r="B72" s="29"/>
      <c r="C72" s="219"/>
      <c r="D72" s="125"/>
      <c r="E72" s="79" t="s">
        <v>89</v>
      </c>
      <c r="F72" s="42" t="s">
        <v>90</v>
      </c>
      <c r="G72" s="31"/>
    </row>
    <row r="73" spans="2:8" x14ac:dyDescent="0.35">
      <c r="B73" s="29"/>
      <c r="C73" s="219"/>
      <c r="D73" s="125" t="s">
        <v>79</v>
      </c>
      <c r="E73" s="71"/>
      <c r="F73" s="72" t="str">
        <f>IF(AND(E72="No",F72="40-79%"),75000,IF(AND(E72="No",F72="More than 80%"),125000,""))</f>
        <v/>
      </c>
      <c r="G73" s="31"/>
    </row>
    <row r="74" spans="2:8" x14ac:dyDescent="0.35">
      <c r="B74" s="29"/>
      <c r="C74" s="219"/>
      <c r="D74" s="127" t="s">
        <v>124</v>
      </c>
      <c r="E74" s="79"/>
      <c r="F74" s="72">
        <f>IF(E68="Normal Citizen",(IF(E74&gt;=40000,40000,E74)),(IF(E74&gt;=100000,100000,E74)))</f>
        <v>0</v>
      </c>
      <c r="G74" s="31"/>
    </row>
    <row r="75" spans="2:8" x14ac:dyDescent="0.35">
      <c r="B75" s="29"/>
      <c r="C75" s="219"/>
      <c r="D75" s="128" t="s">
        <v>116</v>
      </c>
      <c r="E75" s="82"/>
      <c r="F75" s="72" t="str">
        <f>IF(AND(E72="Yes",F72="40-79%"),75000,IF(AND(E72="Yes",F72="More than 80%"),125000,""))</f>
        <v/>
      </c>
      <c r="G75" s="31"/>
    </row>
    <row r="76" spans="2:8" x14ac:dyDescent="0.35">
      <c r="B76" s="29"/>
      <c r="C76" s="219"/>
      <c r="D76" s="91" t="s">
        <v>117</v>
      </c>
      <c r="E76" s="126"/>
      <c r="F76" s="129">
        <f>E76</f>
        <v>0</v>
      </c>
      <c r="G76" s="31"/>
    </row>
    <row r="77" spans="2:8" x14ac:dyDescent="0.35">
      <c r="B77" s="29"/>
      <c r="C77" s="219"/>
      <c r="D77" s="91" t="s">
        <v>118</v>
      </c>
      <c r="E77" s="102">
        <v>0</v>
      </c>
      <c r="F77" s="72" t="str">
        <f>IF(E77&lt;&gt;0,IF(MIN(60000,E77-(F13-F42-SUM(F50,F65:F71,F76,F78:F82,F73:F75))*0.1,SUM(F50,F65:F71,F76,F78:F82,F73:F75)*0.25)&lt;0,"",MIN(60000,E77-(F13-F42-SUM(F50,F65:F71,F76,F78:F82,F73:F75))*0.1,(F13-SUM(F50,F65:F71,F76,F78:F82,F73:F75))*0.25)),"")</f>
        <v/>
      </c>
      <c r="G77" s="31"/>
      <c r="H77" s="130"/>
    </row>
    <row r="78" spans="2:8" x14ac:dyDescent="0.35">
      <c r="B78" s="29"/>
      <c r="C78" s="219"/>
      <c r="D78" s="91" t="s">
        <v>120</v>
      </c>
      <c r="E78" s="90"/>
      <c r="F78" s="72">
        <f>IF(E68="Normal Citizen",IF(F36&gt;10000,10000,F36))</f>
        <v>8000</v>
      </c>
      <c r="G78" s="31"/>
    </row>
    <row r="79" spans="2:8" x14ac:dyDescent="0.35">
      <c r="B79" s="29"/>
      <c r="C79" s="219"/>
      <c r="D79" s="91" t="s">
        <v>107</v>
      </c>
      <c r="E79" s="90"/>
      <c r="F79" s="42"/>
      <c r="G79" s="31"/>
    </row>
    <row r="80" spans="2:8" x14ac:dyDescent="0.35">
      <c r="B80" s="29"/>
      <c r="C80" s="219"/>
      <c r="D80" s="91" t="s">
        <v>91</v>
      </c>
      <c r="E80" s="102"/>
      <c r="F80" s="72">
        <f>IF(E80&gt;50000,50000,E80)</f>
        <v>0</v>
      </c>
      <c r="G80" s="31"/>
    </row>
    <row r="81" spans="2:12" x14ac:dyDescent="0.35">
      <c r="B81" s="29"/>
      <c r="C81" s="219"/>
      <c r="D81" s="91" t="s">
        <v>119</v>
      </c>
      <c r="E81" s="102"/>
      <c r="F81" s="72">
        <f>IF(E81&gt;150000,150000,E81)</f>
        <v>0</v>
      </c>
      <c r="G81" s="31"/>
    </row>
    <row r="82" spans="2:12" x14ac:dyDescent="0.35">
      <c r="B82" s="29"/>
      <c r="C82" s="64"/>
      <c r="D82" s="91" t="s">
        <v>98</v>
      </c>
      <c r="E82" s="90"/>
      <c r="F82" s="42"/>
      <c r="G82" s="31"/>
    </row>
    <row r="83" spans="2:12" ht="15" thickBot="1" x14ac:dyDescent="0.4">
      <c r="B83" s="29"/>
      <c r="C83" s="131"/>
      <c r="D83" s="132" t="s">
        <v>70</v>
      </c>
      <c r="E83" s="133"/>
      <c r="F83" s="134">
        <f>IF(F13+F49&lt;0,0,F13+F49)</f>
        <v>1500000</v>
      </c>
      <c r="G83" s="31"/>
    </row>
    <row r="84" spans="2:12" x14ac:dyDescent="0.35">
      <c r="B84" s="29"/>
      <c r="C84" s="135"/>
      <c r="D84" s="136" t="s">
        <v>80</v>
      </c>
      <c r="E84" s="137"/>
      <c r="F84" s="138">
        <f>IF(F83-F44-F45-F46-F40-F47&lt;0,0,F83-F44-F45-F46-F40-F47)</f>
        <v>1500000</v>
      </c>
      <c r="G84" s="31"/>
    </row>
    <row r="85" spans="2:12" x14ac:dyDescent="0.35">
      <c r="B85" s="29"/>
      <c r="C85" s="220"/>
      <c r="D85" s="91" t="s">
        <v>110</v>
      </c>
      <c r="E85" s="90">
        <f>IF(F84&lt;=250000,IF(F44&lt;(250000-F84)-E86,F44,(250000-F84)-E86),0)</f>
        <v>0</v>
      </c>
      <c r="F85" s="72">
        <f>(F44-E85)*0.15</f>
        <v>0</v>
      </c>
      <c r="G85" s="31"/>
      <c r="H85" s="139"/>
      <c r="J85" s="139"/>
    </row>
    <row r="86" spans="2:12" x14ac:dyDescent="0.35">
      <c r="B86" s="29"/>
      <c r="C86" s="220"/>
      <c r="D86" s="91" t="s">
        <v>86</v>
      </c>
      <c r="E86" s="90">
        <f>IF(F84&lt;=250000,IF(F45&lt;(250000-F84),F45,(250000-F84)),0)</f>
        <v>0</v>
      </c>
      <c r="F86" s="140">
        <f>(F45-E86)*0.2</f>
        <v>0</v>
      </c>
      <c r="G86" s="31"/>
      <c r="H86" s="139"/>
      <c r="J86" s="139"/>
      <c r="L86" s="139"/>
    </row>
    <row r="87" spans="2:12" x14ac:dyDescent="0.35">
      <c r="B87" s="29"/>
      <c r="C87" s="220"/>
      <c r="D87" s="91" t="s">
        <v>87</v>
      </c>
      <c r="E87" s="90">
        <f>IF(F84&lt;=250000,IF(F46&lt;(250000-F84)-E86-E85,F46,(250000-F84)-E86-E85),0)</f>
        <v>0</v>
      </c>
      <c r="F87" s="141">
        <f>(F46-E87)*0.1</f>
        <v>0</v>
      </c>
      <c r="G87" s="31"/>
      <c r="J87" s="139"/>
      <c r="K87" s="139"/>
      <c r="L87" s="139"/>
    </row>
    <row r="88" spans="2:12" x14ac:dyDescent="0.35">
      <c r="B88" s="29"/>
      <c r="C88" s="220"/>
      <c r="D88" s="91" t="s">
        <v>88</v>
      </c>
      <c r="E88" s="142"/>
      <c r="F88" s="140">
        <f>IF(F47-100000&lt;0,0,(F47-100000)*0.1)</f>
        <v>0</v>
      </c>
      <c r="G88" s="31"/>
      <c r="L88" s="139"/>
    </row>
    <row r="89" spans="2:12" ht="15" thickBot="1" x14ac:dyDescent="0.4">
      <c r="B89" s="29"/>
      <c r="C89" s="220"/>
      <c r="D89" s="92" t="s">
        <v>83</v>
      </c>
      <c r="E89" s="93"/>
      <c r="F89" s="143">
        <f>F40*0.3</f>
        <v>0</v>
      </c>
      <c r="G89" s="31"/>
    </row>
    <row r="90" spans="2:12" ht="15" thickBot="1" x14ac:dyDescent="0.4">
      <c r="B90" s="29"/>
      <c r="C90" s="220"/>
      <c r="D90" s="144" t="s">
        <v>93</v>
      </c>
      <c r="E90" s="145"/>
      <c r="F90" s="146">
        <f>'Tax Calculation'!K20</f>
        <v>262500</v>
      </c>
      <c r="G90" s="31"/>
      <c r="K90" s="139"/>
    </row>
    <row r="91" spans="2:12" x14ac:dyDescent="0.35">
      <c r="B91" s="29"/>
      <c r="C91" s="220"/>
      <c r="D91" s="147" t="s">
        <v>97</v>
      </c>
      <c r="E91" s="148"/>
      <c r="F91" s="134">
        <f>'Tax Calculation'!K23</f>
        <v>262500</v>
      </c>
      <c r="G91" s="31"/>
      <c r="K91" s="139"/>
    </row>
    <row r="92" spans="2:12" x14ac:dyDescent="0.35">
      <c r="B92" s="29"/>
      <c r="C92" s="220"/>
      <c r="D92" s="149" t="s">
        <v>74</v>
      </c>
      <c r="E92" s="150"/>
      <c r="F92" s="151">
        <f>SUM('Tax Calculation'!K8:K9)</f>
        <v>273000</v>
      </c>
      <c r="G92" s="31"/>
    </row>
    <row r="93" spans="2:12" x14ac:dyDescent="0.35">
      <c r="B93" s="29"/>
      <c r="C93" s="220"/>
      <c r="D93" s="91" t="s">
        <v>72</v>
      </c>
      <c r="E93" s="152"/>
      <c r="F93" s="72"/>
      <c r="G93" s="31"/>
    </row>
    <row r="94" spans="2:12" x14ac:dyDescent="0.35">
      <c r="B94" s="29"/>
      <c r="C94" s="220"/>
      <c r="D94" s="91" t="s">
        <v>92</v>
      </c>
      <c r="E94" s="152"/>
      <c r="F94" s="72"/>
      <c r="G94" s="31"/>
    </row>
    <row r="95" spans="2:12" x14ac:dyDescent="0.35">
      <c r="B95" s="29"/>
      <c r="C95" s="220"/>
      <c r="D95" s="153" t="s">
        <v>125</v>
      </c>
      <c r="E95" s="154"/>
      <c r="F95" s="155">
        <f>F92-F93-F94</f>
        <v>273000</v>
      </c>
      <c r="G95" s="31"/>
    </row>
    <row r="96" spans="2:12" ht="15" thickBot="1" x14ac:dyDescent="0.4">
      <c r="B96" s="29"/>
      <c r="C96" s="221"/>
      <c r="D96" s="92" t="s">
        <v>71</v>
      </c>
      <c r="E96" s="156"/>
      <c r="F96" s="157">
        <f>F92/F13</f>
        <v>0.16347305389221556</v>
      </c>
      <c r="G96" s="31"/>
    </row>
    <row r="97" spans="2:7" x14ac:dyDescent="0.35">
      <c r="B97" s="29"/>
      <c r="C97" s="30"/>
      <c r="D97" s="30"/>
      <c r="E97" s="30"/>
      <c r="F97" s="30"/>
      <c r="G97" s="31"/>
    </row>
    <row r="98" spans="2:7" ht="15" thickBot="1" x14ac:dyDescent="0.4">
      <c r="B98" s="158"/>
      <c r="C98" s="159"/>
      <c r="D98" s="159"/>
      <c r="E98" s="159"/>
      <c r="F98" s="159"/>
      <c r="G98" s="160"/>
    </row>
  </sheetData>
  <sheetProtection algorithmName="SHA-512" hashValue="anx1Gc/sUXLCF7CeFS0JjGAiRG6etoWWUUsUa96rE22msBCYrN8xULQw5tAJ+mJgYcejTraNDEYBsOhwRKuZqA==" saltValue="MjqJO+2kp/XsvRV85pKTnQ==" spinCount="100000" sheet="1" objects="1" scenarios="1"/>
  <mergeCells count="8">
    <mergeCell ref="K2:N2"/>
    <mergeCell ref="C4:C10"/>
    <mergeCell ref="B2:G2"/>
    <mergeCell ref="C49:C81"/>
    <mergeCell ref="C90:C96"/>
    <mergeCell ref="C85:C89"/>
    <mergeCell ref="D13:E13"/>
    <mergeCell ref="C13:C46"/>
  </mergeCells>
  <dataValidations count="5">
    <dataValidation type="list" allowBlank="1" showInputMessage="1" showErrorMessage="1" sqref="E17" xr:uid="{4C0F0F99-C39A-4616-A97B-6635BE786EF5}">
      <formula1>"Metro, Non-Metro"</formula1>
    </dataValidation>
    <dataValidation type="list" allowBlank="1" showInputMessage="1" showErrorMessage="1" sqref="E69" xr:uid="{E49E9CF9-0B73-4EF2-BAF3-44CA153D1E19}">
      <formula1>"Normal Citizen, Senior Citizen"</formula1>
    </dataValidation>
    <dataValidation type="list" allowBlank="1" showInputMessage="1" showErrorMessage="1" sqref="E68" xr:uid="{626CE43F-9F7B-47D0-995D-70B12AE181A7}">
      <formula1>"Normal Citizen"</formula1>
    </dataValidation>
    <dataValidation type="list" allowBlank="1" showInputMessage="1" showErrorMessage="1" sqref="E72" xr:uid="{C80FA7E3-A5C8-4C58-A3A1-A842F8C462E0}">
      <formula1>"Claiming 80U?, Yes, No"</formula1>
    </dataValidation>
    <dataValidation type="list" allowBlank="1" showInputMessage="1" showErrorMessage="1" sqref="F72" xr:uid="{4BED4934-803F-4503-90E0-545E2CA5A408}">
      <formula1>"Severe Disability?, Less than 40%, 40-79%, More than 80%"</formula1>
    </dataValidation>
  </dataValidations>
  <hyperlinks>
    <hyperlink ref="K26" r:id="rId1" xr:uid="{7496E33E-7738-4ED4-AE38-78423C61DCBC}"/>
  </hyperlinks>
  <pageMargins left="0.7" right="0.7" top="0.75" bottom="0.75" header="0.3" footer="0.3"/>
  <pageSetup orientation="portrait" horizontalDpi="1200" verticalDpi="1200" r:id="rId2"/>
  <ignoredErrors>
    <ignoredError sqref="E4 E7 E10 M13:M15 F14:F16 E18:E21 M18:M19 F23 F25:F29 F32:F33 F35 F42" unlockedFormula="1"/>
  </ignoredErrors>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005A-D4C4-44B7-A230-27E70135CC4F}">
  <dimension ref="B1:M33"/>
  <sheetViews>
    <sheetView showGridLines="0" zoomScale="76" workbookViewId="0">
      <selection activeCell="D14" sqref="D14"/>
    </sheetView>
  </sheetViews>
  <sheetFormatPr defaultRowHeight="14.5" x14ac:dyDescent="0.35"/>
  <cols>
    <col min="1" max="1" width="2.1796875" style="15" customWidth="1"/>
    <col min="2" max="2" width="42.453125" style="15" bestFit="1" customWidth="1"/>
    <col min="3" max="3" width="14.36328125" style="15" bestFit="1" customWidth="1"/>
    <col min="4" max="4" width="15.1796875" style="15" customWidth="1"/>
    <col min="5" max="6" width="20.1796875" style="15" customWidth="1"/>
    <col min="7" max="7" width="10.36328125" style="15" customWidth="1"/>
    <col min="8" max="8" width="33.1796875" style="15" customWidth="1"/>
    <col min="9" max="9" width="25.54296875" style="15" bestFit="1" customWidth="1"/>
    <col min="10" max="10" width="13.453125" style="15" bestFit="1" customWidth="1"/>
    <col min="11" max="11" width="15.90625" style="15" customWidth="1"/>
    <col min="12" max="12" width="12.08984375" style="15" bestFit="1" customWidth="1"/>
    <col min="13" max="13" width="14.26953125" style="15" bestFit="1" customWidth="1"/>
    <col min="14" max="14" width="34.26953125" style="15" bestFit="1" customWidth="1"/>
    <col min="15" max="15" width="34.453125" style="15" bestFit="1" customWidth="1"/>
    <col min="16" max="16" width="14.7265625" style="15" bestFit="1" customWidth="1"/>
    <col min="17" max="16384" width="8.7265625" style="15"/>
  </cols>
  <sheetData>
    <row r="1" spans="2:13" x14ac:dyDescent="0.35">
      <c r="B1" s="161" t="s">
        <v>121</v>
      </c>
    </row>
    <row r="2" spans="2:13" ht="11" customHeight="1" thickBot="1" x14ac:dyDescent="0.4"/>
    <row r="3" spans="2:13" ht="18.5" x14ac:dyDescent="0.45">
      <c r="B3" s="236" t="s">
        <v>106</v>
      </c>
      <c r="C3" s="237"/>
      <c r="D3" s="237"/>
      <c r="E3" s="237"/>
      <c r="F3" s="237"/>
      <c r="G3" s="237"/>
      <c r="H3" s="237"/>
      <c r="I3" s="237"/>
      <c r="J3" s="237"/>
      <c r="K3" s="238"/>
    </row>
    <row r="4" spans="2:13" ht="15" thickBot="1" x14ac:dyDescent="0.4">
      <c r="B4" s="16"/>
      <c r="C4" s="17"/>
      <c r="D4" s="17"/>
      <c r="E4" s="17"/>
      <c r="F4" s="17"/>
      <c r="G4" s="17"/>
      <c r="H4" s="17"/>
      <c r="I4" s="17"/>
      <c r="J4" s="17"/>
      <c r="K4" s="18"/>
    </row>
    <row r="5" spans="2:13" ht="15" thickBot="1" x14ac:dyDescent="0.4">
      <c r="B5" s="16"/>
      <c r="C5" s="17"/>
      <c r="D5" s="162"/>
      <c r="E5" s="246" t="s">
        <v>52</v>
      </c>
      <c r="F5" s="247"/>
      <c r="G5" s="248">
        <f>'Income Tax Calculator'!F13</f>
        <v>1670000</v>
      </c>
      <c r="H5" s="249"/>
      <c r="I5" s="163"/>
      <c r="J5" s="17"/>
      <c r="K5" s="18"/>
    </row>
    <row r="6" spans="2:13" ht="15" thickBot="1" x14ac:dyDescent="0.4">
      <c r="B6" s="16"/>
      <c r="C6" s="162"/>
      <c r="D6" s="162"/>
      <c r="E6" s="162"/>
      <c r="F6" s="162"/>
      <c r="G6" s="162"/>
      <c r="H6" s="17"/>
      <c r="I6" s="17"/>
      <c r="J6" s="17"/>
      <c r="K6" s="18"/>
      <c r="L6" s="164"/>
    </row>
    <row r="7" spans="2:13" ht="15" thickBot="1" x14ac:dyDescent="0.4">
      <c r="B7" s="233" t="s">
        <v>108</v>
      </c>
      <c r="C7" s="239"/>
      <c r="D7" s="165" t="s">
        <v>22</v>
      </c>
      <c r="E7" s="166"/>
      <c r="F7" s="250" t="s">
        <v>16</v>
      </c>
      <c r="G7" s="251"/>
      <c r="H7" s="162"/>
      <c r="I7" s="240" t="s">
        <v>0</v>
      </c>
      <c r="J7" s="241"/>
      <c r="K7" s="167" t="s">
        <v>22</v>
      </c>
      <c r="M7" s="168"/>
    </row>
    <row r="8" spans="2:13" x14ac:dyDescent="0.35">
      <c r="B8" s="169" t="s">
        <v>1</v>
      </c>
      <c r="C8" s="170">
        <f>'Income Tax Calculator'!F23+'Income Tax Calculator'!F66</f>
        <v>50000</v>
      </c>
      <c r="D8" s="242">
        <f>(E23+SUM(E28:E32))*1.04</f>
        <v>325104</v>
      </c>
      <c r="E8" s="171"/>
      <c r="F8" s="252" t="str">
        <f>IF(D8&lt;K8,"NEW REGIME",IF(D8&gt;K8,"OLD REGIME","BOTH ARE SAME"))</f>
        <v>OLD REGIME</v>
      </c>
      <c r="G8" s="253"/>
      <c r="H8" s="162"/>
      <c r="I8" s="22" t="s">
        <v>1</v>
      </c>
      <c r="J8" s="1">
        <f>'Income Tax Calculator'!F49</f>
        <v>-170000</v>
      </c>
      <c r="K8" s="244">
        <f>(K23+SUM(K28:K32))*1.04</f>
        <v>273000</v>
      </c>
    </row>
    <row r="9" spans="2:13" ht="15" thickBot="1" x14ac:dyDescent="0.4">
      <c r="B9" s="172" t="s">
        <v>101</v>
      </c>
      <c r="C9" s="4">
        <f>'Income Tax Calculator'!M12</f>
        <v>2042000</v>
      </c>
      <c r="D9" s="243"/>
      <c r="E9" s="171"/>
      <c r="F9" s="254" t="str">
        <f>"Difference is ₹ "&amp;IF(F8="New Regime",K8-D8,D8-K8)</f>
        <v>Difference is ₹ 52104</v>
      </c>
      <c r="G9" s="255"/>
      <c r="H9" s="162"/>
      <c r="I9" s="173" t="s">
        <v>101</v>
      </c>
      <c r="J9" s="2">
        <f>'Income Tax Calculator'!F84</f>
        <v>1500000</v>
      </c>
      <c r="K9" s="245"/>
    </row>
    <row r="10" spans="2:13" x14ac:dyDescent="0.35">
      <c r="B10" s="16"/>
      <c r="C10" s="162"/>
      <c r="D10" s="162"/>
      <c r="E10" s="162"/>
      <c r="F10" s="162"/>
      <c r="G10" s="162"/>
      <c r="H10" s="17"/>
      <c r="I10" s="17"/>
      <c r="J10" s="17"/>
      <c r="K10" s="18"/>
    </row>
    <row r="11" spans="2:13" ht="15" thickBot="1" x14ac:dyDescent="0.4">
      <c r="B11" s="16"/>
      <c r="C11" s="17"/>
      <c r="D11" s="17"/>
      <c r="E11" s="17"/>
      <c r="F11" s="17"/>
      <c r="G11" s="17"/>
      <c r="H11" s="17"/>
      <c r="I11" s="17"/>
      <c r="J11" s="17"/>
      <c r="K11" s="18"/>
      <c r="M11" s="174"/>
    </row>
    <row r="12" spans="2:13" ht="15" thickBot="1" x14ac:dyDescent="0.4">
      <c r="B12" s="230" t="s">
        <v>108</v>
      </c>
      <c r="C12" s="231"/>
      <c r="D12" s="231"/>
      <c r="E12" s="232"/>
      <c r="F12" s="19"/>
      <c r="G12" s="19"/>
      <c r="H12" s="233" t="s">
        <v>0</v>
      </c>
      <c r="I12" s="234"/>
      <c r="J12" s="234"/>
      <c r="K12" s="235"/>
    </row>
    <row r="13" spans="2:13" x14ac:dyDescent="0.35">
      <c r="B13" s="175" t="s">
        <v>14</v>
      </c>
      <c r="C13" s="176" t="s">
        <v>15</v>
      </c>
      <c r="D13" s="176" t="s">
        <v>2</v>
      </c>
      <c r="E13" s="177" t="s">
        <v>3</v>
      </c>
      <c r="F13" s="178"/>
      <c r="G13" s="178"/>
      <c r="H13" s="175" t="s">
        <v>14</v>
      </c>
      <c r="I13" s="176" t="s">
        <v>15</v>
      </c>
      <c r="J13" s="176" t="s">
        <v>2</v>
      </c>
      <c r="K13" s="177" t="s">
        <v>3</v>
      </c>
    </row>
    <row r="14" spans="2:13" x14ac:dyDescent="0.35">
      <c r="B14" s="179" t="s">
        <v>4</v>
      </c>
      <c r="C14" s="3">
        <f>IF($C$9&gt;300000,300000,$C$9)</f>
        <v>300000</v>
      </c>
      <c r="D14" s="180">
        <v>0</v>
      </c>
      <c r="E14" s="9">
        <f>D14*C14</f>
        <v>0</v>
      </c>
      <c r="F14" s="6"/>
      <c r="G14" s="6"/>
      <c r="H14" s="179" t="s">
        <v>5</v>
      </c>
      <c r="I14" s="3">
        <f>IF($J$9&gt;250000,250000,$J$9)</f>
        <v>250000</v>
      </c>
      <c r="J14" s="181">
        <v>0</v>
      </c>
      <c r="K14" s="9">
        <f>J14*I14</f>
        <v>0</v>
      </c>
    </row>
    <row r="15" spans="2:13" x14ac:dyDescent="0.35">
      <c r="B15" s="179" t="s">
        <v>6</v>
      </c>
      <c r="C15" s="3">
        <f>IF($C$9&gt;600000,300000,$C$9-$C$14)</f>
        <v>300000</v>
      </c>
      <c r="D15" s="180">
        <v>0.05</v>
      </c>
      <c r="E15" s="9">
        <f>D15*C15</f>
        <v>15000</v>
      </c>
      <c r="F15" s="6"/>
      <c r="G15" s="6"/>
      <c r="H15" s="179" t="s">
        <v>7</v>
      </c>
      <c r="I15" s="3">
        <f>IF($J$9&gt;500000,250000,$J$9-$I$14)</f>
        <v>250000</v>
      </c>
      <c r="J15" s="181">
        <v>0.05</v>
      </c>
      <c r="K15" s="9">
        <f>J15*I15</f>
        <v>12500</v>
      </c>
    </row>
    <row r="16" spans="2:13" x14ac:dyDescent="0.35">
      <c r="B16" s="179" t="s">
        <v>8</v>
      </c>
      <c r="C16" s="3">
        <f>IF($C$9&gt;900000,300000,$C$9-$C$14-$C$15)</f>
        <v>300000</v>
      </c>
      <c r="D16" s="181">
        <v>0.1</v>
      </c>
      <c r="E16" s="9">
        <f t="shared" ref="E16:E18" si="0">D16*C16</f>
        <v>30000</v>
      </c>
      <c r="F16" s="6"/>
      <c r="G16" s="6"/>
      <c r="H16" s="179" t="s">
        <v>9</v>
      </c>
      <c r="I16" s="3">
        <f>IF($J$9&gt;1000000,500000,$J$9-$I$14-$I$15)</f>
        <v>500000</v>
      </c>
      <c r="J16" s="181">
        <v>0.2</v>
      </c>
      <c r="K16" s="9">
        <f t="shared" ref="K16:K17" si="1">J16*I16</f>
        <v>100000</v>
      </c>
    </row>
    <row r="17" spans="2:12" x14ac:dyDescent="0.35">
      <c r="B17" s="179" t="s">
        <v>10</v>
      </c>
      <c r="C17" s="3">
        <f>IF($C$9&gt;1200000,300000,$C$9-$C$14-$C$15-$C$16)</f>
        <v>300000</v>
      </c>
      <c r="D17" s="181">
        <v>0.15</v>
      </c>
      <c r="E17" s="9">
        <f t="shared" si="0"/>
        <v>45000</v>
      </c>
      <c r="F17" s="6"/>
      <c r="G17" s="6"/>
      <c r="H17" s="179" t="s">
        <v>11</v>
      </c>
      <c r="I17" s="3">
        <f>IF($J$9&gt;1000000,$J$9-1000000,$J$9-$I$14-$I$15-$I$16)</f>
        <v>500000</v>
      </c>
      <c r="J17" s="181">
        <v>0.3</v>
      </c>
      <c r="K17" s="9">
        <f t="shared" si="1"/>
        <v>150000</v>
      </c>
    </row>
    <row r="18" spans="2:12" x14ac:dyDescent="0.35">
      <c r="B18" s="179" t="s">
        <v>12</v>
      </c>
      <c r="C18" s="3">
        <f>IF(C9&gt;1500000,300000,$C$9-$C$14-$C$15-$C$16-$C$17)</f>
        <v>300000</v>
      </c>
      <c r="D18" s="181">
        <v>0.2</v>
      </c>
      <c r="E18" s="9">
        <f t="shared" si="0"/>
        <v>60000</v>
      </c>
      <c r="F18" s="6"/>
      <c r="G18" s="6"/>
      <c r="H18" s="179"/>
      <c r="I18" s="3"/>
      <c r="J18" s="181"/>
      <c r="K18" s="9"/>
      <c r="L18" s="23"/>
    </row>
    <row r="19" spans="2:12" x14ac:dyDescent="0.35">
      <c r="B19" s="179" t="s">
        <v>13</v>
      </c>
      <c r="C19" s="3">
        <f>IF($C$9&gt;1500000,$C$9-1500000,$C$9-$C$14-$C$15-$C$16-$C$17-$C$18)</f>
        <v>542000</v>
      </c>
      <c r="D19" s="181">
        <v>0.3</v>
      </c>
      <c r="E19" s="9">
        <f>D19*C19</f>
        <v>162600</v>
      </c>
      <c r="F19" s="6"/>
      <c r="G19" s="6"/>
      <c r="H19" s="179"/>
      <c r="I19" s="182"/>
      <c r="J19" s="181"/>
      <c r="K19" s="9"/>
    </row>
    <row r="20" spans="2:12" ht="15" thickBot="1" x14ac:dyDescent="0.4">
      <c r="B20" s="183" t="s">
        <v>93</v>
      </c>
      <c r="C20" s="184"/>
      <c r="D20" s="184"/>
      <c r="E20" s="10">
        <f>SUM(E14:E19)</f>
        <v>312600</v>
      </c>
      <c r="F20" s="7"/>
      <c r="G20" s="7"/>
      <c r="H20" s="183" t="s">
        <v>93</v>
      </c>
      <c r="I20" s="185"/>
      <c r="J20" s="184"/>
      <c r="K20" s="10">
        <f>(SUM(K14:K19))</f>
        <v>262500</v>
      </c>
    </row>
    <row r="21" spans="2:12" ht="15" thickBot="1" x14ac:dyDescent="0.4">
      <c r="B21" s="186" t="s">
        <v>96</v>
      </c>
      <c r="C21" s="187"/>
      <c r="D21" s="188"/>
      <c r="E21" s="11">
        <f>E20+'Income Tax Calculator'!F85+'Income Tax Calculator'!F86+'Income Tax Calculator'!F87+'Income Tax Calculator'!F88+'Income Tax Calculator'!F89</f>
        <v>312600</v>
      </c>
      <c r="F21" s="5"/>
      <c r="G21" s="5"/>
      <c r="H21" s="186" t="s">
        <v>96</v>
      </c>
      <c r="I21" s="189"/>
      <c r="J21" s="188"/>
      <c r="K21" s="13">
        <f>K20+'Income Tax Calculator'!F85+'Income Tax Calculator'!F86+'Income Tax Calculator'!F87+'Income Tax Calculator'!F88+'Income Tax Calculator'!F89</f>
        <v>262500</v>
      </c>
    </row>
    <row r="22" spans="2:12" ht="15" thickBot="1" x14ac:dyDescent="0.4">
      <c r="B22" s="190" t="s">
        <v>94</v>
      </c>
      <c r="C22" s="191"/>
      <c r="D22" s="192"/>
      <c r="E22" s="11">
        <f>(IF(C9&lt;=700000,25000,0))</f>
        <v>0</v>
      </c>
      <c r="F22" s="5"/>
      <c r="G22" s="5"/>
      <c r="H22" s="190" t="s">
        <v>94</v>
      </c>
      <c r="I22" s="191"/>
      <c r="J22" s="192"/>
      <c r="K22" s="11">
        <f>(IF(J9&lt;=500000,12500,0))</f>
        <v>0</v>
      </c>
    </row>
    <row r="23" spans="2:12" ht="15" thickBot="1" x14ac:dyDescent="0.4">
      <c r="B23" s="193" t="s">
        <v>95</v>
      </c>
      <c r="C23" s="194"/>
      <c r="D23" s="195"/>
      <c r="E23" s="12">
        <f>IF(E21-E22&lt;0,0,E21-E22)</f>
        <v>312600</v>
      </c>
      <c r="F23" s="8"/>
      <c r="G23" s="8"/>
      <c r="H23" s="193" t="s">
        <v>95</v>
      </c>
      <c r="I23" s="194"/>
      <c r="J23" s="195"/>
      <c r="K23" s="12">
        <f>IF(K21-K22&lt;0,0,K21-K22)</f>
        <v>262500</v>
      </c>
    </row>
    <row r="24" spans="2:12" ht="15" thickBot="1" x14ac:dyDescent="0.4">
      <c r="B24" s="16"/>
      <c r="C24" s="17"/>
      <c r="D24" s="17"/>
      <c r="E24" s="17"/>
      <c r="F24" s="17"/>
      <c r="G24" s="17"/>
      <c r="H24" s="17"/>
      <c r="I24" s="17"/>
      <c r="J24" s="17"/>
      <c r="K24" s="18"/>
    </row>
    <row r="25" spans="2:12" x14ac:dyDescent="0.35">
      <c r="B25" s="227" t="s">
        <v>104</v>
      </c>
      <c r="C25" s="228"/>
      <c r="D25" s="228"/>
      <c r="E25" s="229"/>
      <c r="F25" s="196"/>
      <c r="G25" s="196"/>
      <c r="H25" s="227" t="s">
        <v>104</v>
      </c>
      <c r="I25" s="228"/>
      <c r="J25" s="228"/>
      <c r="K25" s="229"/>
    </row>
    <row r="26" spans="2:12" ht="15" thickBot="1" x14ac:dyDescent="0.4">
      <c r="B26" s="224" t="s">
        <v>108</v>
      </c>
      <c r="C26" s="225"/>
      <c r="D26" s="225"/>
      <c r="E26" s="226"/>
      <c r="F26" s="197"/>
      <c r="G26" s="197"/>
      <c r="H26" s="224" t="s">
        <v>0</v>
      </c>
      <c r="I26" s="225"/>
      <c r="J26" s="225"/>
      <c r="K26" s="226"/>
    </row>
    <row r="27" spans="2:12" x14ac:dyDescent="0.35">
      <c r="B27" s="198" t="s">
        <v>14</v>
      </c>
      <c r="C27" s="199" t="s">
        <v>24</v>
      </c>
      <c r="D27" s="200" t="s">
        <v>23</v>
      </c>
      <c r="E27" s="201" t="s">
        <v>3</v>
      </c>
      <c r="F27" s="202"/>
      <c r="G27" s="202"/>
      <c r="H27" s="198" t="s">
        <v>14</v>
      </c>
      <c r="I27" s="199" t="s">
        <v>24</v>
      </c>
      <c r="J27" s="200" t="s">
        <v>23</v>
      </c>
      <c r="K27" s="201" t="s">
        <v>3</v>
      </c>
    </row>
    <row r="28" spans="2:12" x14ac:dyDescent="0.35">
      <c r="B28" s="20" t="s">
        <v>17</v>
      </c>
      <c r="C28" s="3" t="str">
        <f>IF($C$9&gt;5000000,"Yes","No")</f>
        <v>No</v>
      </c>
      <c r="D28" s="203">
        <v>0</v>
      </c>
      <c r="E28" s="204" t="str">
        <f>IF(C28="Yes",$E$23*D28,"")</f>
        <v/>
      </c>
      <c r="F28" s="205"/>
      <c r="G28" s="205"/>
      <c r="H28" s="20" t="s">
        <v>17</v>
      </c>
      <c r="I28" s="3" t="str">
        <f>IF($J$9&gt;5000000,"Yes","No")</f>
        <v>No</v>
      </c>
      <c r="J28" s="203">
        <v>0</v>
      </c>
      <c r="K28" s="204" t="str">
        <f>IF(I28="Yes",$K$23*J28,"")</f>
        <v/>
      </c>
    </row>
    <row r="29" spans="2:12" x14ac:dyDescent="0.35">
      <c r="B29" s="20" t="s">
        <v>18</v>
      </c>
      <c r="C29" s="3" t="str">
        <f>IF(AND($C$9&gt;5000000,$C$9&lt;=10000000),"Yes","No")</f>
        <v>No</v>
      </c>
      <c r="D29" s="206">
        <v>0.1</v>
      </c>
      <c r="E29" s="204" t="str">
        <f>IF(C29="Yes",$E$23*D29,"")</f>
        <v/>
      </c>
      <c r="F29" s="205"/>
      <c r="G29" s="205"/>
      <c r="H29" s="20" t="s">
        <v>18</v>
      </c>
      <c r="I29" s="3" t="str">
        <f>IF(AND($J$9&gt;5000000,$C$9&lt;=10000000),"Yes","No")</f>
        <v>No</v>
      </c>
      <c r="J29" s="206">
        <v>0.1</v>
      </c>
      <c r="K29" s="204" t="str">
        <f>IF(I29="Yes",$K$23*J29,"")</f>
        <v/>
      </c>
    </row>
    <row r="30" spans="2:12" x14ac:dyDescent="0.35">
      <c r="B30" s="20" t="s">
        <v>19</v>
      </c>
      <c r="C30" s="3" t="str">
        <f>IF(AND($C$9&gt;10000000,$C$9&lt;=20000000),"Yes","No")</f>
        <v>No</v>
      </c>
      <c r="D30" s="206">
        <v>0.15</v>
      </c>
      <c r="E30" s="204" t="str">
        <f>IF(C30="Yes",$E$23*D30,"")</f>
        <v/>
      </c>
      <c r="F30" s="205"/>
      <c r="G30" s="205"/>
      <c r="H30" s="20" t="s">
        <v>19</v>
      </c>
      <c r="I30" s="3" t="str">
        <f>IF(AND($J$9&gt;10000000,$C$9&lt;=20000000),"Yes","No")</f>
        <v>No</v>
      </c>
      <c r="J30" s="206">
        <v>0.15</v>
      </c>
      <c r="K30" s="204" t="str">
        <f>IF(I30="Yes",$K$23*J30,"")</f>
        <v/>
      </c>
    </row>
    <row r="31" spans="2:12" x14ac:dyDescent="0.35">
      <c r="B31" s="20" t="s">
        <v>20</v>
      </c>
      <c r="C31" s="3" t="str">
        <f>IF(AND($C$9&gt;20000000,$C$9&lt;=50000000),"Yes","No")</f>
        <v>No</v>
      </c>
      <c r="D31" s="206">
        <v>0.25</v>
      </c>
      <c r="E31" s="204" t="str">
        <f>IF(C31="Yes",$E$23*D31,"")</f>
        <v/>
      </c>
      <c r="F31" s="205"/>
      <c r="G31" s="205"/>
      <c r="H31" s="20" t="s">
        <v>20</v>
      </c>
      <c r="I31" s="3" t="str">
        <f>IF(AND($J$9&gt;20000000,$C$9&lt;=50000000),"Yes","No")</f>
        <v>No</v>
      </c>
      <c r="J31" s="206">
        <v>0.25</v>
      </c>
      <c r="K31" s="204" t="str">
        <f>IF(I31="Yes",$K$23*J31,"")</f>
        <v/>
      </c>
    </row>
    <row r="32" spans="2:12" ht="15" thickBot="1" x14ac:dyDescent="0.4">
      <c r="B32" s="21" t="s">
        <v>21</v>
      </c>
      <c r="C32" s="14" t="str">
        <f>IF($C$9&gt;50000000,"Yes","No")</f>
        <v>No</v>
      </c>
      <c r="D32" s="207">
        <v>0.25</v>
      </c>
      <c r="E32" s="208" t="str">
        <f>IF(C32="Yes",$E$23*D32,"")</f>
        <v/>
      </c>
      <c r="F32" s="205"/>
      <c r="G32" s="205"/>
      <c r="H32" s="21" t="s">
        <v>21</v>
      </c>
      <c r="I32" s="14" t="str">
        <f>IF($J$9&gt;50000000,"Yes","No")</f>
        <v>No</v>
      </c>
      <c r="J32" s="207">
        <v>0.37</v>
      </c>
      <c r="K32" s="208" t="str">
        <f>IF(I32="Yes",$K$23*J32,"")</f>
        <v/>
      </c>
    </row>
    <row r="33" spans="2:11" ht="15" thickBot="1" x14ac:dyDescent="0.4">
      <c r="B33" s="24"/>
      <c r="C33" s="25"/>
      <c r="D33" s="25"/>
      <c r="E33" s="25"/>
      <c r="F33" s="25"/>
      <c r="G33" s="25"/>
      <c r="H33" s="25"/>
      <c r="I33" s="25"/>
      <c r="J33" s="25"/>
      <c r="K33" s="26"/>
    </row>
  </sheetData>
  <sheetProtection algorithmName="SHA-512" hashValue="SJMb5Me6ABJInmtwypCr28szLCn4IZ8b5G9qzILpIcbC1EWrrz3bQpVK3cf/gUJriUoit26qJkg6PRrTP2A3iw==" saltValue="ev8TUBI0hhiYELrfyrJTEg==" spinCount="100000" sheet="1" objects="1" scenarios="1"/>
  <mergeCells count="16">
    <mergeCell ref="B3:K3"/>
    <mergeCell ref="B7:C7"/>
    <mergeCell ref="I7:J7"/>
    <mergeCell ref="D8:D9"/>
    <mergeCell ref="K8:K9"/>
    <mergeCell ref="E5:F5"/>
    <mergeCell ref="G5:H5"/>
    <mergeCell ref="F7:G7"/>
    <mergeCell ref="F8:G8"/>
    <mergeCell ref="F9:G9"/>
    <mergeCell ref="B26:E26"/>
    <mergeCell ref="H26:K26"/>
    <mergeCell ref="B25:E25"/>
    <mergeCell ref="H25:K25"/>
    <mergeCell ref="B12:E12"/>
    <mergeCell ref="H12:K12"/>
  </mergeCell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Income Tax Calculator</vt:lpstr>
      <vt:lpstr>Tax 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Chandralekha MR</dc:creator>
  <cp:lastModifiedBy>Chandralekha MR</cp:lastModifiedBy>
  <dcterms:created xsi:type="dcterms:W3CDTF">2023-02-15T16:51:17Z</dcterms:created>
  <dcterms:modified xsi:type="dcterms:W3CDTF">2023-03-08T13:05:04Z</dcterms:modified>
</cp:coreProperties>
</file>